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207" sheetId="62" r:id="rId48"/>
    <sheet name="Div 3" sheetId="12" r:id="rId49"/>
    <sheet name="300" sheetId="15" r:id="rId50"/>
    <sheet name="300 &amp; 317" sheetId="18" r:id="rId51"/>
    <sheet name="301" sheetId="63" r:id="rId52"/>
    <sheet name="306" sheetId="67" r:id="rId53"/>
    <sheet name="330" sheetId="24" r:id="rId54"/>
    <sheet name="307" sheetId="68" r:id="rId55"/>
    <sheet name="314" sheetId="73" r:id="rId56"/>
    <sheet name="308" sheetId="27" r:id="rId57"/>
    <sheet name="311" sheetId="70" r:id="rId58"/>
    <sheet name="324" sheetId="82" r:id="rId59"/>
    <sheet name="331" sheetId="30" r:id="rId60"/>
    <sheet name="315" sheetId="74" r:id="rId61"/>
    <sheet name="326" sheetId="84" r:id="rId62"/>
    <sheet name="332" sheetId="33" r:id="rId63"/>
    <sheet name="316" sheetId="75" r:id="rId64"/>
    <sheet name="320" sheetId="78" r:id="rId65"/>
    <sheet name="Div 6" sheetId="51" r:id="rId66"/>
    <sheet name="317" sheetId="76" r:id="rId67"/>
    <sheet name="310" sheetId="21" r:id="rId68"/>
    <sheet name="309" sheetId="69" r:id="rId69"/>
    <sheet name="313" sheetId="72" r:id="rId70"/>
    <sheet name="321" sheetId="79" r:id="rId71"/>
    <sheet name="322" sheetId="80" r:id="rId72"/>
    <sheet name="325" sheetId="83" r:id="rId73"/>
    <sheet name="327" sheetId="85" r:id="rId74"/>
    <sheet name="335" sheetId="86" r:id="rId75"/>
    <sheet name="Div 4" sheetId="36" r:id="rId76"/>
    <sheet name="310 &amp; 491" sheetId="39" r:id="rId77"/>
    <sheet name="491" sheetId="42" r:id="rId78"/>
    <sheet name="405" sheetId="87" r:id="rId79"/>
    <sheet name="406" sheetId="88" r:id="rId80"/>
    <sheet name="411" sheetId="91" r:id="rId81"/>
    <sheet name="412" sheetId="92" r:id="rId82"/>
    <sheet name="420" sheetId="98" r:id="rId83"/>
    <sheet name="413" sheetId="93" r:id="rId84"/>
    <sheet name="414" sheetId="94" r:id="rId85"/>
    <sheet name="415" sheetId="95" r:id="rId86"/>
    <sheet name="418" sheetId="97" r:id="rId87"/>
    <sheet name="423" sheetId="99" r:id="rId88"/>
    <sheet name="424" sheetId="100" r:id="rId89"/>
    <sheet name="425" sheetId="101" r:id="rId90"/>
    <sheet name="455" sheetId="108" r:id="rId91"/>
    <sheet name="492" sheetId="45" r:id="rId92"/>
    <sheet name="430" sheetId="102" r:id="rId93"/>
    <sheet name="433" sheetId="103" r:id="rId94"/>
    <sheet name="435" sheetId="104" r:id="rId95"/>
    <sheet name="444" sheetId="105" r:id="rId96"/>
    <sheet name="450" sheetId="107" r:id="rId97"/>
    <sheet name="Div 5" sheetId="48" r:id="rId98"/>
    <sheet name="501" sheetId="109" r:id="rId99"/>
    <sheet name="Dept" sheetId="110" state="hidden" r:id="rId100"/>
    <sheet name="OSR_Dept_Y0WUKY" sheetId="111" state="hidden" r:id="rId101"/>
    <sheet name="OSR_Summary (...56e5d78f_5JEYZH" sheetId="112" state="hidden" r:id="rId102"/>
  </sheets>
  <definedNames>
    <definedName name="OSRRefD13x_0" localSheetId="49">'300'!$D$13:$D$101</definedName>
    <definedName name="OSRRefD13x_0" localSheetId="50">'300 &amp; 317'!$D$13:$D$118</definedName>
    <definedName name="OSRRefD13x_0" localSheetId="54">'307'!$D$13:$D$40</definedName>
    <definedName name="OSRRefD13x_0" localSheetId="56">'308'!$D$13:$D$39</definedName>
    <definedName name="OSRRefD13x_0" localSheetId="68">'309'!$D$13:$D$14</definedName>
    <definedName name="OSRRefD13x_0" localSheetId="67">'310'!$D$13:$D$20</definedName>
    <definedName name="OSRRefD13x_0" localSheetId="76">'310 &amp; 491'!$D$13:$D$27</definedName>
    <definedName name="OSRRefD13x_0" localSheetId="57">'311'!$D$13:$D$38</definedName>
    <definedName name="OSRRefD13x_0" localSheetId="69">'313'!$D$13:$D$17</definedName>
    <definedName name="OSRRefD13x_0" localSheetId="55">'314'!$D$13:$D$31</definedName>
    <definedName name="OSRRefD13x_0" localSheetId="60">'315'!$D$13:$D$48</definedName>
    <definedName name="OSRRefD13x_0" localSheetId="63">'316'!$D$13:$D$24</definedName>
    <definedName name="OSRRefD13x_0" localSheetId="66">'317'!$D$13:$D$36</definedName>
    <definedName name="OSRRefD13x_0" localSheetId="64">'320'!$D$13:$D$15</definedName>
    <definedName name="OSRRefD13x_0" localSheetId="70">'321'!$D$13:$D$14</definedName>
    <definedName name="OSRRefD13x_0" localSheetId="71">'322'!$D$13:$D$14</definedName>
    <definedName name="OSRRefD13x_0" localSheetId="58">'324'!$D$13:$D$15</definedName>
    <definedName name="OSRRefD13x_0" localSheetId="72">'325'!$D$13:$D$14</definedName>
    <definedName name="OSRRefD13x_0" localSheetId="61">'326'!$D$13:$D$36</definedName>
    <definedName name="OSRRefD13x_0" localSheetId="73">'327'!$D$13</definedName>
    <definedName name="OSRRefD13x_0" localSheetId="53">'330'!$D$13:$D$45</definedName>
    <definedName name="OSRRefD13x_0" localSheetId="59">'331'!$D$13:$D$51</definedName>
    <definedName name="OSRRefD13x_0" localSheetId="62">'332'!$D$13:$D$27</definedName>
    <definedName name="OSRRefD13x_0" localSheetId="78">'405'!$D$13:$D$14</definedName>
    <definedName name="OSRRefD13x_0" localSheetId="79">'406'!$D$13:$D$14</definedName>
    <definedName name="OSRRefD13x_0" localSheetId="81">'412'!$D$13:$D$14</definedName>
    <definedName name="OSRRefD13x_0" localSheetId="83">'413'!$D$13:$D$14</definedName>
    <definedName name="OSRRefD13x_0" localSheetId="84">'414'!$D$13:$D$14</definedName>
    <definedName name="OSRRefD13x_0" localSheetId="85">'415'!$D$13:$D$14</definedName>
    <definedName name="OSRRefD13x_0" localSheetId="86">'418'!$D$13:$D$14</definedName>
    <definedName name="OSRRefD13x_0" localSheetId="88">'424'!$D$13</definedName>
    <definedName name="OSRRefD13x_0" localSheetId="89">'425'!$D$13:$D$14</definedName>
    <definedName name="OSRRefD13x_0" localSheetId="93">'433'!$D$13:$D$15</definedName>
    <definedName name="OSRRefD13x_0" localSheetId="94">'435'!$D$13:$D$15</definedName>
    <definedName name="OSRRefD13x_0" localSheetId="95">'444'!$D$13:$D$15</definedName>
    <definedName name="OSRRefD13x_0" localSheetId="96">'450'!$D$13:$D$15</definedName>
    <definedName name="OSRRefD13x_0" localSheetId="77">'491'!$D$13:$D$21</definedName>
    <definedName name="OSRRefD13x_0" localSheetId="91">'492'!$D$13:$D$17</definedName>
    <definedName name="OSRRefD13x_0" localSheetId="98">'501'!$D$13</definedName>
    <definedName name="OSRRefD13x_0" localSheetId="48">'Div 3'!$D$13:$D$104</definedName>
    <definedName name="OSRRefD13x_0" localSheetId="75">'Div 4'!$D$13:$D$22</definedName>
    <definedName name="OSRRefD13x_0" localSheetId="97">'Div 5'!$D$13</definedName>
    <definedName name="OSRRefD13x_0" localSheetId="65">'Div 6'!$D$13:$D$36</definedName>
    <definedName name="OSRRefD13x_0" localSheetId="2">Summary!$D$13:$D$128</definedName>
    <definedName name="OSRRefD16x_0" localSheetId="49">'300'!$D$104:$D$150</definedName>
    <definedName name="OSRRefD16x_0" localSheetId="50">'300 &amp; 317'!$D$121:$D$174</definedName>
    <definedName name="OSRRefD16x_0" localSheetId="54">'307'!$D$43:$D$59</definedName>
    <definedName name="OSRRefD16x_0" localSheetId="56">'308'!$D$42:$D$54</definedName>
    <definedName name="OSRRefD16x_0" localSheetId="68">'309'!$D$17:$D$18</definedName>
    <definedName name="OSRRefD16x_0" localSheetId="67">'310'!$D$23:$D$24</definedName>
    <definedName name="OSRRefD16x_0" localSheetId="76">'310 &amp; 491'!$D$30:$D$31</definedName>
    <definedName name="OSRRefD16x_0" localSheetId="57">'311'!$D$41:$D$53</definedName>
    <definedName name="OSRRefD16x_0" localSheetId="69">'313'!$D$20:$D$21</definedName>
    <definedName name="OSRRefD16x_0" localSheetId="55">'314'!$D$34:$D$47</definedName>
    <definedName name="OSRRefD16x_0" localSheetId="60">'315'!$D$51:$D$67</definedName>
    <definedName name="OSRRefD16x_0" localSheetId="66">'317'!$D$39:$D$51</definedName>
    <definedName name="OSRRefD16x_0" localSheetId="64">'320'!$D$18:$D$22</definedName>
    <definedName name="OSRRefD16x_0" localSheetId="70">'321'!$D$17:$D$18</definedName>
    <definedName name="OSRRefD16x_0" localSheetId="71">'322'!$D$17:$D$18</definedName>
    <definedName name="OSRRefD16x_0" localSheetId="58">'324'!$D$18:$D$19</definedName>
    <definedName name="OSRRefD16x_0" localSheetId="72">'325'!$D$17:$D$18</definedName>
    <definedName name="OSRRefD16x_0" localSheetId="61">'326'!$D$39:$D$51</definedName>
    <definedName name="OSRRefD16x_0" localSheetId="73">'327'!$D$16</definedName>
    <definedName name="OSRRefD16x_0" localSheetId="53">'330'!$D$48:$D$68</definedName>
    <definedName name="OSRRefD16x_0" localSheetId="59">'331'!$D$54:$D$75</definedName>
    <definedName name="OSRRefD16x_0" localSheetId="62">'332'!$D$30:$D$34</definedName>
    <definedName name="OSRRefD16x_0" localSheetId="78">'405'!$D$17:$D$18</definedName>
    <definedName name="OSRRefD16x_0" localSheetId="79">'406'!$D$17:$D$18</definedName>
    <definedName name="OSRRefD16x_0" localSheetId="81">'412'!$D$17</definedName>
    <definedName name="OSRRefD16x_0" localSheetId="83">'413'!$D$17:$D$18</definedName>
    <definedName name="OSRRefD16x_0" localSheetId="84">'414'!$D$17:$D$18</definedName>
    <definedName name="OSRRefD16x_0" localSheetId="85">'415'!$D$17:$D$18</definedName>
    <definedName name="OSRRefD16x_0" localSheetId="86">'418'!$D$17:$D$18</definedName>
    <definedName name="OSRRefD16x_0" localSheetId="87">'423'!$D$15</definedName>
    <definedName name="OSRRefD16x_0" localSheetId="88">'424'!$D$16:$D$17</definedName>
    <definedName name="OSRRefD16x_0" localSheetId="89">'425'!$D$17:$D$18</definedName>
    <definedName name="OSRRefD16x_0" localSheetId="93">'433'!$D$18:$D$19</definedName>
    <definedName name="OSRRefD16x_0" localSheetId="94">'435'!$D$18:$D$19</definedName>
    <definedName name="OSRRefD16x_0" localSheetId="95">'444'!$D$18:$D$19</definedName>
    <definedName name="OSRRefD16x_0" localSheetId="96">'450'!$D$18:$D$19</definedName>
    <definedName name="OSRRefD16x_0" localSheetId="77">'491'!$D$24:$D$25</definedName>
    <definedName name="OSRRefD16x_0" localSheetId="91">'492'!$D$20:$D$21</definedName>
    <definedName name="OSRRefD16x_0" localSheetId="48">'Div 3'!$D$107:$D$155</definedName>
    <definedName name="OSRRefD16x_0" localSheetId="75">'Div 4'!$D$25:$D$26</definedName>
    <definedName name="OSRRefD16x_0" localSheetId="65">'Div 6'!$D$39:$D$51</definedName>
    <definedName name="OSRRefD16x_0" localSheetId="2">Summary!$D$131:$D$186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'203'!$D$20:$D$29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9">'300'!$D$156:$D$165</definedName>
    <definedName name="OSRRefD22_0x_0" localSheetId="50">'300 &amp; 317'!$D$180:$D$189</definedName>
    <definedName name="OSRRefD22_0x_0" localSheetId="51">'301'!$D$20:$D$28</definedName>
    <definedName name="OSRRefD22_0x_0" localSheetId="52">'306'!$D$20:$D$28</definedName>
    <definedName name="OSRRefD22_0x_0" localSheetId="54">'307'!$D$65:$D$72</definedName>
    <definedName name="OSRRefD22_0x_0" localSheetId="56">'308'!$D$60:$D$68</definedName>
    <definedName name="OSRRefD22_0x_0" localSheetId="68">'309'!$D$24:$D$31</definedName>
    <definedName name="OSRRefD22_0x_0" localSheetId="67">'310'!$D$30:$D$37</definedName>
    <definedName name="OSRRefD22_0x_0" localSheetId="76">'310 &amp; 491'!$D$37:$D$45</definedName>
    <definedName name="OSRRefD22_0x_0" localSheetId="57">'311'!$D$59:$D$67</definedName>
    <definedName name="OSRRefD22_0x_0" localSheetId="69">'313'!$D$27:$D$34</definedName>
    <definedName name="OSRRefD22_0x_0" localSheetId="55">'314'!$D$53:$D$59</definedName>
    <definedName name="OSRRefD22_0x_0" localSheetId="60">'315'!$D$73:$D$80</definedName>
    <definedName name="OSRRefD22_0x_0" localSheetId="63">'316'!$D$32:$D$39</definedName>
    <definedName name="OSRRefD22_0x_0" localSheetId="66">'317'!$D$57:$D$65</definedName>
    <definedName name="OSRRefD22_0x_0" localSheetId="64">'320'!$D$28:$D$34</definedName>
    <definedName name="OSRRefD22_0x_0" localSheetId="70">'321'!$D$24:$D$31</definedName>
    <definedName name="OSRRefD22_0x_0" localSheetId="71">'322'!$D$24:$D$31</definedName>
    <definedName name="OSRRefD22_0x_0" localSheetId="72">'325'!$D$24:$D$31</definedName>
    <definedName name="OSRRefD22_0x_0" localSheetId="61">'326'!$D$57:$D$64</definedName>
    <definedName name="OSRRefD22_0x_0" localSheetId="73">'327'!$D$22</definedName>
    <definedName name="OSRRefD22_0x_0" localSheetId="53">'330'!$D$74:$D$81</definedName>
    <definedName name="OSRRefD22_0x_0" localSheetId="59">'331'!$D$81:$D$88</definedName>
    <definedName name="OSRRefD22_0x_0" localSheetId="62">'332'!$D$40:$D$47</definedName>
    <definedName name="OSRRefD22_0x_0" localSheetId="78">'405'!$D$24:$D$31</definedName>
    <definedName name="OSRRefD22_0x_0" localSheetId="79">'406'!$D$24:$D$31</definedName>
    <definedName name="OSRRefD22_0x_0" localSheetId="80">'411'!$D$20:$D$28</definedName>
    <definedName name="OSRRefD22_0x_0" localSheetId="81">'412'!$D$23:$D$30</definedName>
    <definedName name="OSRRefD22_0x_0" localSheetId="83">'413'!$D$24:$D$31</definedName>
    <definedName name="OSRRefD22_0x_0" localSheetId="84">'414'!$D$24:$D$30</definedName>
    <definedName name="OSRRefD22_0x_0" localSheetId="85">'415'!$D$24:$D$31</definedName>
    <definedName name="OSRRefD22_0x_0" localSheetId="86">'418'!$D$24:$D$31</definedName>
    <definedName name="OSRRefD22_0x_0" localSheetId="82">'420'!$D$20:$D$21</definedName>
    <definedName name="OSRRefD22_0x_0" localSheetId="87">'423'!$D$21:$D$28</definedName>
    <definedName name="OSRRefD22_0x_0" localSheetId="88">'424'!$D$23</definedName>
    <definedName name="OSRRefD22_0x_0" localSheetId="89">'425'!$D$24:$D$31</definedName>
    <definedName name="OSRRefD22_0x_0" localSheetId="92">'430'!$D$20:$D$27</definedName>
    <definedName name="OSRRefD22_0x_0" localSheetId="93">'433'!$D$25:$D$33</definedName>
    <definedName name="OSRRefD22_0x_0" localSheetId="94">'435'!$D$25:$D$27</definedName>
    <definedName name="OSRRefD22_0x_0" localSheetId="95">'444'!$D$25:$D$33</definedName>
    <definedName name="OSRRefD22_0x_0" localSheetId="96">'450'!$D$25:$D$33</definedName>
    <definedName name="OSRRefD22_0x_0" localSheetId="90">'455'!$D$20:$D$26</definedName>
    <definedName name="OSRRefD22_0x_0" localSheetId="77">'491'!$D$31:$D$39</definedName>
    <definedName name="OSRRefD22_0x_0" localSheetId="91">'492'!$D$27:$D$35</definedName>
    <definedName name="OSRRefD22_0x_0" localSheetId="98">'501'!$D$21:$D$29</definedName>
    <definedName name="OSRRefD22_0x_0" localSheetId="39">'Div 2'!$D$20:$D$30</definedName>
    <definedName name="OSRRefD22_0x_0" localSheetId="48">'Div 3'!$D$161:$D$170</definedName>
    <definedName name="OSRRefD22_0x_0" localSheetId="75">'Div 4'!$D$32:$D$40</definedName>
    <definedName name="OSRRefD22_0x_0" localSheetId="97">'Div 5'!$D$21:$D$29</definedName>
    <definedName name="OSRRefD22_0x_0" localSheetId="65">'Div 6'!$D$57:$D$65</definedName>
    <definedName name="OSRRefD22_0x_0" localSheetId="2">Summary!$D$192:$D$201</definedName>
    <definedName name="OSRRefD22_10x_0" localSheetId="41">'201'!$D$51:$D$53</definedName>
    <definedName name="OSRRefD22_10x_0" localSheetId="42">'202'!$D$52:$D$54</definedName>
    <definedName name="OSRRefD22_10x_0" localSheetId="43">'203'!$D$53:$D$54</definedName>
    <definedName name="OSRRefD22_10x_0" localSheetId="49">'300'!$D$193:$D$194</definedName>
    <definedName name="OSRRefD22_10x_0" localSheetId="50">'300 &amp; 317'!$D$217:$D$218</definedName>
    <definedName name="OSRRefD22_10x_0" localSheetId="51">'301'!$D$56</definedName>
    <definedName name="OSRRefD22_10x_0" localSheetId="54">'307'!$D$100</definedName>
    <definedName name="OSRRefD22_10x_0" localSheetId="56">'308'!$D$96</definedName>
    <definedName name="OSRRefD22_10x_0" localSheetId="68">'309'!$D$58</definedName>
    <definedName name="OSRRefD22_10x_0" localSheetId="67">'310'!$D$63</definedName>
    <definedName name="OSRRefD22_10x_0" localSheetId="76">'310 &amp; 491'!$D$74:$D$75</definedName>
    <definedName name="OSRRefD22_10x_0" localSheetId="57">'311'!$D$95</definedName>
    <definedName name="OSRRefD22_10x_0" localSheetId="69">'313'!$D$60:$D$64</definedName>
    <definedName name="OSRRefD22_10x_0" localSheetId="60">'315'!$D$109</definedName>
    <definedName name="OSRRefD22_10x_0" localSheetId="63">'316'!$D$67</definedName>
    <definedName name="OSRRefD22_10x_0" localSheetId="66">'317'!$D$92</definedName>
    <definedName name="OSRRefD22_10x_0" localSheetId="70">'321'!$D$62</definedName>
    <definedName name="OSRRefD22_10x_0" localSheetId="71">'322'!$D$57:$D$61</definedName>
    <definedName name="OSRRefD22_10x_0" localSheetId="72">'325'!$D$56:$D$58</definedName>
    <definedName name="OSRRefD22_10x_0" localSheetId="61">'326'!$D$88</definedName>
    <definedName name="OSRRefD22_10x_0" localSheetId="53">'330'!$D$107:$D$109</definedName>
    <definedName name="OSRRefD22_10x_0" localSheetId="59">'331'!$D$113</definedName>
    <definedName name="OSRRefD22_10x_0" localSheetId="62">'332'!$D$71</definedName>
    <definedName name="OSRRefD22_10x_0" localSheetId="78">'405'!$D$56</definedName>
    <definedName name="OSRRefD22_10x_0" localSheetId="79">'406'!$D$57:$D$61</definedName>
    <definedName name="OSRRefD22_10x_0" localSheetId="80">'411'!$D$55:$D$56</definedName>
    <definedName name="OSRRefD22_10x_0" localSheetId="81">'412'!$D$57:$D$61</definedName>
    <definedName name="OSRRefD22_10x_0" localSheetId="83">'413'!$D$60</definedName>
    <definedName name="OSRRefD22_10x_0" localSheetId="84">'414'!$D$54</definedName>
    <definedName name="OSRRefD22_10x_0" localSheetId="85">'415'!$D$56</definedName>
    <definedName name="OSRRefD22_10x_0" localSheetId="86">'418'!$D$60:$D$62</definedName>
    <definedName name="OSRRefD22_10x_0" localSheetId="88">'424'!$D$47:$D$48</definedName>
    <definedName name="OSRRefD22_10x_0" localSheetId="89">'425'!$D$57</definedName>
    <definedName name="OSRRefD22_10x_0" localSheetId="93">'433'!$D$58</definedName>
    <definedName name="OSRRefD22_10x_0" localSheetId="95">'444'!$D$58</definedName>
    <definedName name="OSRRefD22_10x_0" localSheetId="96">'450'!$D$58</definedName>
    <definedName name="OSRRefD22_10x_0" localSheetId="77">'491'!$D$68</definedName>
    <definedName name="OSRRefD22_10x_0" localSheetId="91">'492'!$D$61</definedName>
    <definedName name="OSRRefD22_10x_0" localSheetId="98">'501'!$D$57</definedName>
    <definedName name="OSRRefD22_10x_0" localSheetId="39">'Div 2'!$D$57</definedName>
    <definedName name="OSRRefD22_10x_0" localSheetId="48">'Div 3'!$D$198:$D$199</definedName>
    <definedName name="OSRRefD22_10x_0" localSheetId="75">'Div 4'!$D$68:$D$69</definedName>
    <definedName name="OSRRefD22_10x_0" localSheetId="97">'Div 5'!$D$57</definedName>
    <definedName name="OSRRefD22_10x_0" localSheetId="65">'Div 6'!$D$92</definedName>
    <definedName name="OSRRefD22_10x_0" localSheetId="2">Summary!$D$230:$D$231</definedName>
    <definedName name="OSRRefD22_11x_0" localSheetId="41">'201'!$D$55</definedName>
    <definedName name="OSRRefD22_11x_0" localSheetId="42">'202'!$D$56</definedName>
    <definedName name="OSRRefD22_11x_0" localSheetId="43">'203'!$D$56</definedName>
    <definedName name="OSRRefD22_11x_0" localSheetId="49">'300'!$D$196</definedName>
    <definedName name="OSRRefD22_11x_0" localSheetId="50">'300 &amp; 317'!$D$220</definedName>
    <definedName name="OSRRefD22_11x_0" localSheetId="51">'301'!$D$58</definedName>
    <definedName name="OSRRefD22_11x_0" localSheetId="56">'308'!$D$98:$D$100</definedName>
    <definedName name="OSRRefD22_11x_0" localSheetId="67">'310'!$D$65</definedName>
    <definedName name="OSRRefD22_11x_0" localSheetId="76">'310 &amp; 491'!$D$77</definedName>
    <definedName name="OSRRefD22_11x_0" localSheetId="57">'311'!$D$97:$D$99</definedName>
    <definedName name="OSRRefD22_11x_0" localSheetId="69">'313'!$D$66</definedName>
    <definedName name="OSRRefD22_11x_0" localSheetId="60">'315'!$D$111</definedName>
    <definedName name="OSRRefD22_11x_0" localSheetId="63">'316'!$D$69</definedName>
    <definedName name="OSRRefD22_11x_0" localSheetId="70">'321'!$D$64</definedName>
    <definedName name="OSRRefD22_11x_0" localSheetId="71">'322'!$D$63</definedName>
    <definedName name="OSRRefD22_11x_0" localSheetId="72">'325'!$D$60:$D$62</definedName>
    <definedName name="OSRRefD22_11x_0" localSheetId="61">'326'!$D$90</definedName>
    <definedName name="OSRRefD22_11x_0" localSheetId="53">'330'!$D$111</definedName>
    <definedName name="OSRRefD22_11x_0" localSheetId="59">'331'!$D$115</definedName>
    <definedName name="OSRRefD22_11x_0" localSheetId="62">'332'!$D$73:$D$78</definedName>
    <definedName name="OSRRefD22_11x_0" localSheetId="78">'405'!$D$58:$D$60</definedName>
    <definedName name="OSRRefD22_11x_0" localSheetId="79">'406'!$D$63</definedName>
    <definedName name="OSRRefD22_11x_0" localSheetId="80">'411'!$D$58:$D$62</definedName>
    <definedName name="OSRRefD22_11x_0" localSheetId="81">'412'!$D$63</definedName>
    <definedName name="OSRRefD22_11x_0" localSheetId="84">'414'!$D$56</definedName>
    <definedName name="OSRRefD22_11x_0" localSheetId="85">'415'!$D$58:$D$60</definedName>
    <definedName name="OSRRefD22_11x_0" localSheetId="86">'418'!$D$64</definedName>
    <definedName name="OSRRefD22_11x_0" localSheetId="88">'424'!$D$50</definedName>
    <definedName name="OSRRefD22_11x_0" localSheetId="89">'425'!$D$59:$D$60</definedName>
    <definedName name="OSRRefD22_11x_0" localSheetId="93">'433'!$D$60</definedName>
    <definedName name="OSRRefD22_11x_0" localSheetId="95">'444'!$D$60:$D$61</definedName>
    <definedName name="OSRRefD22_11x_0" localSheetId="96">'450'!$D$60</definedName>
    <definedName name="OSRRefD22_11x_0" localSheetId="77">'491'!$D$70</definedName>
    <definedName name="OSRRefD22_11x_0" localSheetId="91">'492'!$D$63</definedName>
    <definedName name="OSRRefD22_11x_0" localSheetId="39">'Div 2'!$D$59</definedName>
    <definedName name="OSRRefD22_11x_0" localSheetId="48">'Div 3'!$D$201</definedName>
    <definedName name="OSRRefD22_11x_0" localSheetId="75">'Div 4'!$D$71</definedName>
    <definedName name="OSRRefD22_11x_0" localSheetId="2">Summary!$D$233:$D$234</definedName>
    <definedName name="OSRRefD22_12x_0" localSheetId="41">'201'!$D$57:$D$60</definedName>
    <definedName name="OSRRefD22_12x_0" localSheetId="42">'202'!$D$58</definedName>
    <definedName name="OSRRefD22_12x_0" localSheetId="43">'203'!$D$58:$D$61</definedName>
    <definedName name="OSRRefD22_12x_0" localSheetId="49">'300'!$D$198</definedName>
    <definedName name="OSRRefD22_12x_0" localSheetId="50">'300 &amp; 317'!$D$222</definedName>
    <definedName name="OSRRefD22_12x_0" localSheetId="51">'301'!$D$60</definedName>
    <definedName name="OSRRefD22_12x_0" localSheetId="56">'308'!$D$102:$D$103</definedName>
    <definedName name="OSRRefD22_12x_0" localSheetId="67">'310'!$D$67</definedName>
    <definedName name="OSRRefD22_12x_0" localSheetId="76">'310 &amp; 491'!$D$79</definedName>
    <definedName name="OSRRefD22_12x_0" localSheetId="57">'311'!$D$101:$D$102</definedName>
    <definedName name="OSRRefD22_12x_0" localSheetId="69">'313'!$D$68</definedName>
    <definedName name="OSRRefD22_12x_0" localSheetId="71">'322'!$D$65</definedName>
    <definedName name="OSRRefD22_12x_0" localSheetId="72">'325'!$D$64</definedName>
    <definedName name="OSRRefD22_12x_0" localSheetId="61">'326'!$D$92:$D$94</definedName>
    <definedName name="OSRRefD22_12x_0" localSheetId="59">'331'!$D$117</definedName>
    <definedName name="OSRRefD22_12x_0" localSheetId="62">'332'!$D$80</definedName>
    <definedName name="OSRRefD22_12x_0" localSheetId="78">'405'!$D$62</definedName>
    <definedName name="OSRRefD22_12x_0" localSheetId="79">'406'!$D$65</definedName>
    <definedName name="OSRRefD22_12x_0" localSheetId="80">'411'!$D$64:$D$69</definedName>
    <definedName name="OSRRefD22_12x_0" localSheetId="81">'412'!$D$65</definedName>
    <definedName name="OSRRefD22_12x_0" localSheetId="84">'414'!$D$58:$D$64</definedName>
    <definedName name="OSRRefD22_12x_0" localSheetId="85">'415'!$D$62:$D$66</definedName>
    <definedName name="OSRRefD22_12x_0" localSheetId="86">'418'!$D$66:$D$71</definedName>
    <definedName name="OSRRefD22_12x_0" localSheetId="89">'425'!$D$62:$D$66</definedName>
    <definedName name="OSRRefD22_12x_0" localSheetId="93">'433'!$D$62:$D$64</definedName>
    <definedName name="OSRRefD22_12x_0" localSheetId="95">'444'!$D$63:$D$65</definedName>
    <definedName name="OSRRefD22_12x_0" localSheetId="96">'450'!$D$62</definedName>
    <definedName name="OSRRefD22_12x_0" localSheetId="77">'491'!$D$72</definedName>
    <definedName name="OSRRefD22_12x_0" localSheetId="91">'492'!$D$65:$D$67</definedName>
    <definedName name="OSRRefD22_12x_0" localSheetId="39">'Div 2'!$D$61:$D$64</definedName>
    <definedName name="OSRRefD22_12x_0" localSheetId="48">'Div 3'!$D$203</definedName>
    <definedName name="OSRRefD22_12x_0" localSheetId="75">'Div 4'!$D$73</definedName>
    <definedName name="OSRRefD22_12x_0" localSheetId="2">Summary!$D$236</definedName>
    <definedName name="OSRRefD22_13x_0" localSheetId="41">'201'!$D$62</definedName>
    <definedName name="OSRRefD22_13x_0" localSheetId="42">'202'!$D$60</definedName>
    <definedName name="OSRRefD22_13x_0" localSheetId="43">'203'!$D$63</definedName>
    <definedName name="OSRRefD22_13x_0" localSheetId="49">'300'!$D$200</definedName>
    <definedName name="OSRRefD22_13x_0" localSheetId="50">'300 &amp; 317'!$D$224</definedName>
    <definedName name="OSRRefD22_13x_0" localSheetId="51">'301'!$D$62</definedName>
    <definedName name="OSRRefD22_13x_0" localSheetId="56">'308'!$D$105</definedName>
    <definedName name="OSRRefD22_13x_0" localSheetId="67">'310'!$D$69:$D$71</definedName>
    <definedName name="OSRRefD22_13x_0" localSheetId="76">'310 &amp; 491'!$D$81</definedName>
    <definedName name="OSRRefD22_13x_0" localSheetId="57">'311'!$D$104</definedName>
    <definedName name="OSRRefD22_13x_0" localSheetId="72">'325'!$D$66:$D$70</definedName>
    <definedName name="OSRRefD22_13x_0" localSheetId="61">'326'!$D$96</definedName>
    <definedName name="OSRRefD22_13x_0" localSheetId="59">'331'!$D$119:$D$120</definedName>
    <definedName name="OSRRefD22_13x_0" localSheetId="62">'332'!$D$82</definedName>
    <definedName name="OSRRefD22_13x_0" localSheetId="78">'405'!$D$64:$D$70</definedName>
    <definedName name="OSRRefD22_13x_0" localSheetId="80">'411'!$D$71</definedName>
    <definedName name="OSRRefD22_13x_0" localSheetId="84">'414'!$D$66</definedName>
    <definedName name="OSRRefD22_13x_0" localSheetId="85">'415'!$D$68</definedName>
    <definedName name="OSRRefD22_13x_0" localSheetId="86">'418'!$D$73</definedName>
    <definedName name="OSRRefD22_13x_0" localSheetId="89">'425'!$D$68</definedName>
    <definedName name="OSRRefD22_13x_0" localSheetId="93">'433'!$D$66:$D$72</definedName>
    <definedName name="OSRRefD22_13x_0" localSheetId="95">'444'!$D$67:$D$74</definedName>
    <definedName name="OSRRefD22_13x_0" localSheetId="96">'450'!$D$64:$D$66</definedName>
    <definedName name="OSRRefD22_13x_0" localSheetId="77">'491'!$D$74</definedName>
    <definedName name="OSRRefD22_13x_0" localSheetId="91">'492'!$D$69:$D$71</definedName>
    <definedName name="OSRRefD22_13x_0" localSheetId="39">'Div 2'!$D$66:$D$68</definedName>
    <definedName name="OSRRefD22_13x_0" localSheetId="48">'Div 3'!$D$205</definedName>
    <definedName name="OSRRefD22_13x_0" localSheetId="75">'Div 4'!$D$75</definedName>
    <definedName name="OSRRefD22_13x_0" localSheetId="2">Summary!$D$238</definedName>
    <definedName name="OSRRefD22_14x_0" localSheetId="41">'201'!$D$64</definedName>
    <definedName name="OSRRefD22_14x_0" localSheetId="43">'203'!$D$65</definedName>
    <definedName name="OSRRefD22_14x_0" localSheetId="49">'300'!$D$202</definedName>
    <definedName name="OSRRefD22_14x_0" localSheetId="50">'300 &amp; 317'!$D$226</definedName>
    <definedName name="OSRRefD22_14x_0" localSheetId="51">'301'!$D$64</definedName>
    <definedName name="OSRRefD22_14x_0" localSheetId="56">'308'!$D$107</definedName>
    <definedName name="OSRRefD22_14x_0" localSheetId="67">'310'!$D$73</definedName>
    <definedName name="OSRRefD22_14x_0" localSheetId="76">'310 &amp; 491'!$D$83</definedName>
    <definedName name="OSRRefD22_14x_0" localSheetId="57">'311'!$D$106</definedName>
    <definedName name="OSRRefD22_14x_0" localSheetId="72">'325'!$D$72</definedName>
    <definedName name="OSRRefD22_14x_0" localSheetId="61">'326'!$D$98:$D$100</definedName>
    <definedName name="OSRRefD22_14x_0" localSheetId="59">'331'!$D$122:$D$124</definedName>
    <definedName name="OSRRefD22_14x_0" localSheetId="62">'332'!$D$84</definedName>
    <definedName name="OSRRefD22_14x_0" localSheetId="78">'405'!$D$72</definedName>
    <definedName name="OSRRefD22_14x_0" localSheetId="80">'411'!$D$73</definedName>
    <definedName name="OSRRefD22_14x_0" localSheetId="84">'414'!$D$68</definedName>
    <definedName name="OSRRefD22_14x_0" localSheetId="85">'415'!$D$70:$D$76</definedName>
    <definedName name="OSRRefD22_14x_0" localSheetId="86">'418'!$D$75</definedName>
    <definedName name="OSRRefD22_14x_0" localSheetId="89">'425'!$D$70</definedName>
    <definedName name="OSRRefD22_14x_0" localSheetId="93">'433'!$D$74</definedName>
    <definedName name="OSRRefD22_14x_0" localSheetId="95">'444'!$D$76</definedName>
    <definedName name="OSRRefD22_14x_0" localSheetId="96">'450'!$D$68:$D$73</definedName>
    <definedName name="OSRRefD22_14x_0" localSheetId="77">'491'!$D$76:$D$78</definedName>
    <definedName name="OSRRefD22_14x_0" localSheetId="91">'492'!$D$73:$D$80</definedName>
    <definedName name="OSRRefD22_14x_0" localSheetId="39">'Div 2'!$D$70:$D$71</definedName>
    <definedName name="OSRRefD22_14x_0" localSheetId="48">'Div 3'!$D$207</definedName>
    <definedName name="OSRRefD22_14x_0" localSheetId="75">'Div 4'!$D$77</definedName>
    <definedName name="OSRRefD22_14x_0" localSheetId="2">Summary!$D$240</definedName>
    <definedName name="OSRRefD22_15x_0" localSheetId="43">'203'!$D$67</definedName>
    <definedName name="OSRRefD22_15x_0" localSheetId="49">'300'!$D$204</definedName>
    <definedName name="OSRRefD22_15x_0" localSheetId="50">'300 &amp; 317'!$D$228</definedName>
    <definedName name="OSRRefD22_15x_0" localSheetId="51">'301'!$D$66:$D$69</definedName>
    <definedName name="OSRRefD22_15x_0" localSheetId="67">'310'!$D$75:$D$78</definedName>
    <definedName name="OSRRefD22_15x_0" localSheetId="76">'310 &amp; 491'!$D$85:$D$87</definedName>
    <definedName name="OSRRefD22_15x_0" localSheetId="72">'325'!$D$74</definedName>
    <definedName name="OSRRefD22_15x_0" localSheetId="61">'326'!$D$102</definedName>
    <definedName name="OSRRefD22_15x_0" localSheetId="59">'331'!$D$126</definedName>
    <definedName name="OSRRefD22_15x_0" localSheetId="78">'405'!$D$74</definedName>
    <definedName name="OSRRefD22_15x_0" localSheetId="80">'411'!$D$75:$D$77</definedName>
    <definedName name="OSRRefD22_15x_0" localSheetId="85">'415'!$D$78</definedName>
    <definedName name="OSRRefD22_15x_0" localSheetId="93">'433'!$D$76</definedName>
    <definedName name="OSRRefD22_15x_0" localSheetId="95">'444'!$D$78</definedName>
    <definedName name="OSRRefD22_15x_0" localSheetId="96">'450'!$D$75</definedName>
    <definedName name="OSRRefD22_15x_0" localSheetId="77">'491'!$D$80:$D$81</definedName>
    <definedName name="OSRRefD22_15x_0" localSheetId="91">'492'!$D$82</definedName>
    <definedName name="OSRRefD22_15x_0" localSheetId="39">'Div 2'!$D$73</definedName>
    <definedName name="OSRRefD22_15x_0" localSheetId="48">'Div 3'!$D$209</definedName>
    <definedName name="OSRRefD22_15x_0" localSheetId="75">'Div 4'!$D$79</definedName>
    <definedName name="OSRRefD22_15x_0" localSheetId="2">Summary!$D$242</definedName>
    <definedName name="OSRRefD22_16x_0" localSheetId="49">'300'!$D$206:$D$209</definedName>
    <definedName name="OSRRefD22_16x_0" localSheetId="50">'300 &amp; 317'!$D$230:$D$233</definedName>
    <definedName name="OSRRefD22_16x_0" localSheetId="51">'301'!$D$71:$D$73</definedName>
    <definedName name="OSRRefD22_16x_0" localSheetId="67">'310'!$D$80</definedName>
    <definedName name="OSRRefD22_16x_0" localSheetId="76">'310 &amp; 491'!$D$89:$D$90</definedName>
    <definedName name="OSRRefD22_16x_0" localSheetId="61">'326'!$D$104</definedName>
    <definedName name="OSRRefD22_16x_0" localSheetId="59">'331'!$D$128:$D$132</definedName>
    <definedName name="OSRRefD22_16x_0" localSheetId="78">'405'!$D$76</definedName>
    <definedName name="OSRRefD22_16x_0" localSheetId="80">'411'!$D$79</definedName>
    <definedName name="OSRRefD22_16x_0" localSheetId="85">'415'!$D$80</definedName>
    <definedName name="OSRRefD22_16x_0" localSheetId="93">'433'!$D$78</definedName>
    <definedName name="OSRRefD22_16x_0" localSheetId="95">'444'!$D$80</definedName>
    <definedName name="OSRRefD22_16x_0" localSheetId="96">'450'!$D$77</definedName>
    <definedName name="OSRRefD22_16x_0" localSheetId="77">'491'!$D$83:$D$87</definedName>
    <definedName name="OSRRefD22_16x_0" localSheetId="91">'492'!$D$84</definedName>
    <definedName name="OSRRefD22_16x_0" localSheetId="39">'Div 2'!$D$75:$D$79</definedName>
    <definedName name="OSRRefD22_16x_0" localSheetId="48">'Div 3'!$D$211</definedName>
    <definedName name="OSRRefD22_16x_0" localSheetId="75">'Div 4'!$D$81:$D$83</definedName>
    <definedName name="OSRRefD22_16x_0" localSheetId="2">Summary!$D$244</definedName>
    <definedName name="OSRRefD22_17x_0" localSheetId="49">'300'!$D$211:$D$213</definedName>
    <definedName name="OSRRefD22_17x_0" localSheetId="50">'300 &amp; 317'!$D$235:$D$237</definedName>
    <definedName name="OSRRefD22_17x_0" localSheetId="51">'301'!$D$75</definedName>
    <definedName name="OSRRefD22_17x_0" localSheetId="67">'310'!$D$82:$D$88</definedName>
    <definedName name="OSRRefD22_17x_0" localSheetId="76">'310 &amp; 491'!$D$92:$D$96</definedName>
    <definedName name="OSRRefD22_17x_0" localSheetId="61">'326'!$D$106</definedName>
    <definedName name="OSRRefD22_17x_0" localSheetId="59">'331'!$D$134</definedName>
    <definedName name="OSRRefD22_17x_0" localSheetId="85">'415'!$D$82</definedName>
    <definedName name="OSRRefD22_17x_0" localSheetId="96">'450'!$D$79</definedName>
    <definedName name="OSRRefD22_17x_0" localSheetId="77">'491'!$D$89</definedName>
    <definedName name="OSRRefD22_17x_0" localSheetId="91">'492'!$D$86</definedName>
    <definedName name="OSRRefD22_17x_0" localSheetId="39">'Div 2'!$D$81:$D$82</definedName>
    <definedName name="OSRRefD22_17x_0" localSheetId="48">'Div 3'!$D$213:$D$216</definedName>
    <definedName name="OSRRefD22_17x_0" localSheetId="75">'Div 4'!$D$85:$D$86</definedName>
    <definedName name="OSRRefD22_17x_0" localSheetId="2">Summary!$D$246</definedName>
    <definedName name="OSRRefD22_18x_0" localSheetId="49">'300'!$D$215:$D$218</definedName>
    <definedName name="OSRRefD22_18x_0" localSheetId="50">'300 &amp; 317'!$D$239:$D$242</definedName>
    <definedName name="OSRRefD22_18x_0" localSheetId="51">'301'!$D$77:$D$82</definedName>
    <definedName name="OSRRefD22_18x_0" localSheetId="67">'310'!$D$90</definedName>
    <definedName name="OSRRefD22_18x_0" localSheetId="76">'310 &amp; 491'!$D$98</definedName>
    <definedName name="OSRRefD22_18x_0" localSheetId="59">'331'!$D$136</definedName>
    <definedName name="OSRRefD22_18x_0" localSheetId="77">'491'!$D$91:$D$99</definedName>
    <definedName name="OSRRefD22_18x_0" localSheetId="39">'Div 2'!$D$84</definedName>
    <definedName name="OSRRefD22_18x_0" localSheetId="48">'Div 3'!$D$218:$D$220</definedName>
    <definedName name="OSRRefD22_18x_0" localSheetId="75">'Div 4'!$D$88:$D$92</definedName>
    <definedName name="OSRRefD22_18x_0" localSheetId="2">Summary!$D$248:$D$251</definedName>
    <definedName name="OSRRefD22_19x_0" localSheetId="49">'300'!$D$220:$D$221</definedName>
    <definedName name="OSRRefD22_19x_0" localSheetId="50">'300 &amp; 317'!$D$244:$D$245</definedName>
    <definedName name="OSRRefD22_19x_0" localSheetId="51">'301'!$D$84</definedName>
    <definedName name="OSRRefD22_19x_0" localSheetId="67">'310'!$D$92</definedName>
    <definedName name="OSRRefD22_19x_0" localSheetId="76">'310 &amp; 491'!$D$100:$D$108</definedName>
    <definedName name="OSRRefD22_19x_0" localSheetId="59">'331'!$D$138</definedName>
    <definedName name="OSRRefD22_19x_0" localSheetId="77">'491'!$D$101</definedName>
    <definedName name="OSRRefD22_19x_0" localSheetId="39">'Div 2'!$D$86:$D$87</definedName>
    <definedName name="OSRRefD22_19x_0" localSheetId="48">'Div 3'!$D$222:$D$226</definedName>
    <definedName name="OSRRefD22_19x_0" localSheetId="75">'Div 4'!$D$94</definedName>
    <definedName name="OSRRefD22_19x_0" localSheetId="2">Summary!$D$253:$D$255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'203'!$D$31:$D$34</definedName>
    <definedName name="OSRRefD22_1x_0" localSheetId="44">'204'!$D$30:$D$34</definedName>
    <definedName name="OSRRefD22_1x_0" localSheetId="45">'205'!$D$29</definedName>
    <definedName name="OSRRefD22_1x_0" localSheetId="46">'206'!$D$28:$D$31</definedName>
    <definedName name="OSRRefD22_1x_0" localSheetId="49">'300'!$D$167:$D$173</definedName>
    <definedName name="OSRRefD22_1x_0" localSheetId="50">'300 &amp; 317'!$D$191:$D$197</definedName>
    <definedName name="OSRRefD22_1x_0" localSheetId="51">'301'!$D$30:$D$36</definedName>
    <definedName name="OSRRefD22_1x_0" localSheetId="52">'306'!$D$30:$D$35</definedName>
    <definedName name="OSRRefD22_1x_0" localSheetId="54">'307'!$D$74:$D$77</definedName>
    <definedName name="OSRRefD22_1x_0" localSheetId="56">'308'!$D$70:$D$75</definedName>
    <definedName name="OSRRefD22_1x_0" localSheetId="68">'309'!$D$33:$D$36</definedName>
    <definedName name="OSRRefD22_1x_0" localSheetId="67">'310'!$D$39:$D$44</definedName>
    <definedName name="OSRRefD22_1x_0" localSheetId="76">'310 &amp; 491'!$D$47:$D$53</definedName>
    <definedName name="OSRRefD22_1x_0" localSheetId="57">'311'!$D$69:$D$74</definedName>
    <definedName name="OSRRefD22_1x_0" localSheetId="69">'313'!$D$36:$D$40</definedName>
    <definedName name="OSRRefD22_1x_0" localSheetId="55">'314'!$D$61:$D$62</definedName>
    <definedName name="OSRRefD22_1x_0" localSheetId="60">'315'!$D$82:$D$86</definedName>
    <definedName name="OSRRefD22_1x_0" localSheetId="63">'316'!$D$41:$D$43</definedName>
    <definedName name="OSRRefD22_1x_0" localSheetId="66">'317'!$D$67:$D$71</definedName>
    <definedName name="OSRRefD22_1x_0" localSheetId="64">'320'!$D$36:$D$38</definedName>
    <definedName name="OSRRefD22_1x_0" localSheetId="70">'321'!$D$33:$D$37</definedName>
    <definedName name="OSRRefD22_1x_0" localSheetId="71">'322'!$D$33:$D$36</definedName>
    <definedName name="OSRRefD22_1x_0" localSheetId="72">'325'!$D$33:$D$37</definedName>
    <definedName name="OSRRefD22_1x_0" localSheetId="61">'326'!$D$66:$D$70</definedName>
    <definedName name="OSRRefD22_1x_0" localSheetId="53">'330'!$D$83:$D$86</definedName>
    <definedName name="OSRRefD22_1x_0" localSheetId="59">'331'!$D$90:$D$94</definedName>
    <definedName name="OSRRefD22_1x_0" localSheetId="62">'332'!$D$49:$D$52</definedName>
    <definedName name="OSRRefD22_1x_0" localSheetId="78">'405'!$D$33:$D$36</definedName>
    <definedName name="OSRRefD22_1x_0" localSheetId="79">'406'!$D$33:$D$37</definedName>
    <definedName name="OSRRefD22_1x_0" localSheetId="80">'411'!$D$30:$D$35</definedName>
    <definedName name="OSRRefD22_1x_0" localSheetId="81">'412'!$D$32:$D$37</definedName>
    <definedName name="OSRRefD22_1x_0" localSheetId="83">'413'!$D$33:$D$36</definedName>
    <definedName name="OSRRefD22_1x_0" localSheetId="84">'414'!$D$32:$D$35</definedName>
    <definedName name="OSRRefD22_1x_0" localSheetId="85">'415'!$D$33:$D$37</definedName>
    <definedName name="OSRRefD22_1x_0" localSheetId="86">'418'!$D$33:$D$38</definedName>
    <definedName name="OSRRefD22_1x_0" localSheetId="82">'420'!$D$23</definedName>
    <definedName name="OSRRefD22_1x_0" localSheetId="87">'423'!$D$30</definedName>
    <definedName name="OSRRefD22_1x_0" localSheetId="88">'424'!$D$25:$D$28</definedName>
    <definedName name="OSRRefD22_1x_0" localSheetId="89">'425'!$D$33:$D$37</definedName>
    <definedName name="OSRRefD22_1x_0" localSheetId="92">'430'!$D$29</definedName>
    <definedName name="OSRRefD22_1x_0" localSheetId="93">'433'!$D$35:$D$40</definedName>
    <definedName name="OSRRefD22_1x_0" localSheetId="94">'435'!$D$29:$D$30</definedName>
    <definedName name="OSRRefD22_1x_0" localSheetId="95">'444'!$D$35:$D$40</definedName>
    <definedName name="OSRRefD22_1x_0" localSheetId="96">'450'!$D$35:$D$40</definedName>
    <definedName name="OSRRefD22_1x_0" localSheetId="90">'455'!$D$28:$D$29</definedName>
    <definedName name="OSRRefD22_1x_0" localSheetId="77">'491'!$D$41:$D$47</definedName>
    <definedName name="OSRRefD22_1x_0" localSheetId="91">'492'!$D$37:$D$43</definedName>
    <definedName name="OSRRefD22_1x_0" localSheetId="98">'501'!$D$31:$D$35</definedName>
    <definedName name="OSRRefD22_1x_0" localSheetId="39">'Div 2'!$D$32:$D$38</definedName>
    <definedName name="OSRRefD22_1x_0" localSheetId="48">'Div 3'!$D$172:$D$178</definedName>
    <definedName name="OSRRefD22_1x_0" localSheetId="75">'Div 4'!$D$42:$D$48</definedName>
    <definedName name="OSRRefD22_1x_0" localSheetId="97">'Div 5'!$D$31:$D$35</definedName>
    <definedName name="OSRRefD22_1x_0" localSheetId="65">'Div 6'!$D$67:$D$71</definedName>
    <definedName name="OSRRefD22_1x_0" localSheetId="2">Summary!$D$203:$D$209</definedName>
    <definedName name="OSRRefD22_20x_0" localSheetId="49">'300'!$D$223:$D$229</definedName>
    <definedName name="OSRRefD22_20x_0" localSheetId="50">'300 &amp; 317'!$D$247:$D$253</definedName>
    <definedName name="OSRRefD22_20x_0" localSheetId="51">'301'!$D$86</definedName>
    <definedName name="OSRRefD22_20x_0" localSheetId="67">'310'!$D$94</definedName>
    <definedName name="OSRRefD22_20x_0" localSheetId="76">'310 &amp; 491'!$D$110</definedName>
    <definedName name="OSRRefD22_20x_0" localSheetId="59">'331'!$D$140</definedName>
    <definedName name="OSRRefD22_20x_0" localSheetId="77">'491'!$D$103</definedName>
    <definedName name="OSRRefD22_20x_0" localSheetId="48">'Div 3'!$D$228:$D$229</definedName>
    <definedName name="OSRRefD22_20x_0" localSheetId="75">'Div 4'!$D$96:$D$104</definedName>
    <definedName name="OSRRefD22_20x_0" localSheetId="2">Summary!$D$257:$D$261</definedName>
    <definedName name="OSRRefD22_21x_0" localSheetId="49">'300'!$D$231:$D$232</definedName>
    <definedName name="OSRRefD22_21x_0" localSheetId="50">'300 &amp; 317'!$D$255:$D$256</definedName>
    <definedName name="OSRRefD22_21x_0" localSheetId="51">'301'!$D$88:$D$89</definedName>
    <definedName name="OSRRefD22_21x_0" localSheetId="76">'310 &amp; 491'!$D$112</definedName>
    <definedName name="OSRRefD22_21x_0" localSheetId="77">'491'!$D$105:$D$107</definedName>
    <definedName name="OSRRefD22_21x_0" localSheetId="48">'Div 3'!$D$231:$D$237</definedName>
    <definedName name="OSRRefD22_21x_0" localSheetId="75">'Div 4'!$D$106</definedName>
    <definedName name="OSRRefD22_21x_0" localSheetId="2">Summary!$D$263:$D$264</definedName>
    <definedName name="OSRRefD22_22x_0" localSheetId="49">'300'!$D$234</definedName>
    <definedName name="OSRRefD22_22x_0" localSheetId="50">'300 &amp; 317'!$D$258</definedName>
    <definedName name="OSRRefD22_22x_0" localSheetId="51">'301'!$D$91</definedName>
    <definedName name="OSRRefD22_22x_0" localSheetId="76">'310 &amp; 491'!$D$114:$D$116</definedName>
    <definedName name="OSRRefD22_22x_0" localSheetId="77">'491'!$D$109</definedName>
    <definedName name="OSRRefD22_22x_0" localSheetId="48">'Div 3'!$D$239:$D$240</definedName>
    <definedName name="OSRRefD22_22x_0" localSheetId="75">'Div 4'!$D$108</definedName>
    <definedName name="OSRRefD22_22x_0" localSheetId="2">Summary!$D$266:$D$274</definedName>
    <definedName name="OSRRefD22_23x_0" localSheetId="49">'300'!$D$236:$D$238</definedName>
    <definedName name="OSRRefD22_23x_0" localSheetId="50">'300 &amp; 317'!$D$260:$D$262</definedName>
    <definedName name="OSRRefD22_23x_0" localSheetId="76">'310 &amp; 491'!$D$118</definedName>
    <definedName name="OSRRefD22_23x_0" localSheetId="48">'Div 3'!$D$242</definedName>
    <definedName name="OSRRefD22_23x_0" localSheetId="75">'Div 4'!$D$110:$D$112</definedName>
    <definedName name="OSRRefD22_23x_0" localSheetId="2">Summary!$D$276:$D$277</definedName>
    <definedName name="OSRRefD22_24x_0" localSheetId="49">'300'!$D$240</definedName>
    <definedName name="OSRRefD22_24x_0" localSheetId="50">'300 &amp; 317'!$D$264</definedName>
    <definedName name="OSRRefD22_24x_0" localSheetId="48">'Div 3'!$D$244:$D$246</definedName>
    <definedName name="OSRRefD22_24x_0" localSheetId="75">'Div 4'!$D$114</definedName>
    <definedName name="OSRRefD22_24x_0" localSheetId="2">Summary!$D$279</definedName>
    <definedName name="OSRRefD22_25x_0" localSheetId="48">'Div 3'!$D$248</definedName>
    <definedName name="OSRRefD22_25x_0" localSheetId="2">Summary!$D$281:$D$283</definedName>
    <definedName name="OSRRefD22_26x_0" localSheetId="2">Summary!$D$285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'203'!$D$36</definedName>
    <definedName name="OSRRefD22_2x_0" localSheetId="44">'204'!$D$36</definedName>
    <definedName name="OSRRefD22_2x_0" localSheetId="45">'205'!$D$31</definedName>
    <definedName name="OSRRefD22_2x_0" localSheetId="46">'206'!$D$33</definedName>
    <definedName name="OSRRefD22_2x_0" localSheetId="49">'300'!$D$175</definedName>
    <definedName name="OSRRefD22_2x_0" localSheetId="50">'300 &amp; 317'!$D$199</definedName>
    <definedName name="OSRRefD22_2x_0" localSheetId="51">'301'!$D$38</definedName>
    <definedName name="OSRRefD22_2x_0" localSheetId="52">'306'!$D$37</definedName>
    <definedName name="OSRRefD22_2x_0" localSheetId="54">'307'!$D$79</definedName>
    <definedName name="OSRRefD22_2x_0" localSheetId="56">'308'!$D$77</definedName>
    <definedName name="OSRRefD22_2x_0" localSheetId="68">'309'!$D$38</definedName>
    <definedName name="OSRRefD22_2x_0" localSheetId="67">'310'!$D$46</definedName>
    <definedName name="OSRRefD22_2x_0" localSheetId="76">'310 &amp; 491'!$D$55</definedName>
    <definedName name="OSRRefD22_2x_0" localSheetId="57">'311'!$D$76</definedName>
    <definedName name="OSRRefD22_2x_0" localSheetId="69">'313'!$D$42</definedName>
    <definedName name="OSRRefD22_2x_0" localSheetId="55">'314'!$D$64</definedName>
    <definedName name="OSRRefD22_2x_0" localSheetId="60">'315'!$D$88</definedName>
    <definedName name="OSRRefD22_2x_0" localSheetId="63">'316'!$D$45</definedName>
    <definedName name="OSRRefD22_2x_0" localSheetId="66">'317'!$D$73</definedName>
    <definedName name="OSRRefD22_2x_0" localSheetId="64">'320'!$D$40</definedName>
    <definedName name="OSRRefD22_2x_0" localSheetId="70">'321'!$D$39</definedName>
    <definedName name="OSRRefD22_2x_0" localSheetId="71">'322'!$D$38</definedName>
    <definedName name="OSRRefD22_2x_0" localSheetId="72">'325'!$D$39</definedName>
    <definedName name="OSRRefD22_2x_0" localSheetId="61">'326'!$D$72</definedName>
    <definedName name="OSRRefD22_2x_0" localSheetId="53">'330'!$D$88</definedName>
    <definedName name="OSRRefD22_2x_0" localSheetId="59">'331'!$D$96</definedName>
    <definedName name="OSRRefD22_2x_0" localSheetId="62">'332'!$D$54</definedName>
    <definedName name="OSRRefD22_2x_0" localSheetId="78">'405'!$D$38</definedName>
    <definedName name="OSRRefD22_2x_0" localSheetId="79">'406'!$D$39</definedName>
    <definedName name="OSRRefD22_2x_0" localSheetId="80">'411'!$D$37</definedName>
    <definedName name="OSRRefD22_2x_0" localSheetId="81">'412'!$D$39</definedName>
    <definedName name="OSRRefD22_2x_0" localSheetId="83">'413'!$D$38</definedName>
    <definedName name="OSRRefD22_2x_0" localSheetId="84">'414'!$D$37</definedName>
    <definedName name="OSRRefD22_2x_0" localSheetId="85">'415'!$D$39</definedName>
    <definedName name="OSRRefD22_2x_0" localSheetId="86">'418'!$D$40</definedName>
    <definedName name="OSRRefD22_2x_0" localSheetId="87">'423'!$D$32</definedName>
    <definedName name="OSRRefD22_2x_0" localSheetId="88">'424'!$D$30</definedName>
    <definedName name="OSRRefD22_2x_0" localSheetId="89">'425'!$D$39</definedName>
    <definedName name="OSRRefD22_2x_0" localSheetId="92">'430'!$D$31</definedName>
    <definedName name="OSRRefD22_2x_0" localSheetId="93">'433'!$D$42</definedName>
    <definedName name="OSRRefD22_2x_0" localSheetId="94">'435'!$D$32</definedName>
    <definedName name="OSRRefD22_2x_0" localSheetId="95">'444'!$D$42</definedName>
    <definedName name="OSRRefD22_2x_0" localSheetId="96">'450'!$D$42</definedName>
    <definedName name="OSRRefD22_2x_0" localSheetId="77">'491'!$D$49</definedName>
    <definedName name="OSRRefD22_2x_0" localSheetId="91">'492'!$D$45</definedName>
    <definedName name="OSRRefD22_2x_0" localSheetId="98">'501'!$D$37</definedName>
    <definedName name="OSRRefD22_2x_0" localSheetId="39">'Div 2'!$D$40</definedName>
    <definedName name="OSRRefD22_2x_0" localSheetId="48">'Div 3'!$D$180</definedName>
    <definedName name="OSRRefD22_2x_0" localSheetId="75">'Div 4'!$D$50</definedName>
    <definedName name="OSRRefD22_2x_0" localSheetId="97">'Div 5'!$D$37</definedName>
    <definedName name="OSRRefD22_2x_0" localSheetId="65">'Div 6'!$D$73</definedName>
    <definedName name="OSRRefD22_2x_0" localSheetId="2">Summary!$D$211</definedName>
    <definedName name="OSRRefD22_3x_0" localSheetId="40">'200'!$D$26:$D$27</definedName>
    <definedName name="OSRRefD22_3x_0" localSheetId="41">'201'!$D$35</definedName>
    <definedName name="OSRRefD22_3x_0" localSheetId="42">'202'!$D$36</definedName>
    <definedName name="OSRRefD22_3x_0" localSheetId="43">'203'!$D$38</definedName>
    <definedName name="OSRRefD22_3x_0" localSheetId="44">'204'!$D$38</definedName>
    <definedName name="OSRRefD22_3x_0" localSheetId="45">'205'!$D$33</definedName>
    <definedName name="OSRRefD22_3x_0" localSheetId="46">'206'!$D$35</definedName>
    <definedName name="OSRRefD22_3x_0" localSheetId="49">'300'!$D$177</definedName>
    <definedName name="OSRRefD22_3x_0" localSheetId="50">'300 &amp; 317'!$D$201</definedName>
    <definedName name="OSRRefD22_3x_0" localSheetId="51">'301'!$D$40</definedName>
    <definedName name="OSRRefD22_3x_0" localSheetId="52">'306'!$D$39</definedName>
    <definedName name="OSRRefD22_3x_0" localSheetId="54">'307'!$D$81</definedName>
    <definedName name="OSRRefD22_3x_0" localSheetId="56">'308'!$D$79:$D$80</definedName>
    <definedName name="OSRRefD22_3x_0" localSheetId="68">'309'!$D$40</definedName>
    <definedName name="OSRRefD22_3x_0" localSheetId="67">'310'!$D$48</definedName>
    <definedName name="OSRRefD22_3x_0" localSheetId="76">'310 &amp; 491'!$D$57</definedName>
    <definedName name="OSRRefD22_3x_0" localSheetId="57">'311'!$D$78:$D$79</definedName>
    <definedName name="OSRRefD22_3x_0" localSheetId="69">'313'!$D$44</definedName>
    <definedName name="OSRRefD22_3x_0" localSheetId="55">'314'!$D$66:$D$67</definedName>
    <definedName name="OSRRefD22_3x_0" localSheetId="60">'315'!$D$90:$D$91</definedName>
    <definedName name="OSRRefD22_3x_0" localSheetId="63">'316'!$D$47</definedName>
    <definedName name="OSRRefD22_3x_0" localSheetId="66">'317'!$D$75</definedName>
    <definedName name="OSRRefD22_3x_0" localSheetId="64">'320'!$D$42</definedName>
    <definedName name="OSRRefD22_3x_0" localSheetId="70">'321'!$D$41</definedName>
    <definedName name="OSRRefD22_3x_0" localSheetId="71">'322'!$D$40</definedName>
    <definedName name="OSRRefD22_3x_0" localSheetId="72">'325'!$D$41</definedName>
    <definedName name="OSRRefD22_3x_0" localSheetId="61">'326'!$D$74</definedName>
    <definedName name="OSRRefD22_3x_0" localSheetId="53">'330'!$D$90</definedName>
    <definedName name="OSRRefD22_3x_0" localSheetId="59">'331'!$D$98</definedName>
    <definedName name="OSRRefD22_3x_0" localSheetId="62">'332'!$D$56</definedName>
    <definedName name="OSRRefD22_3x_0" localSheetId="78">'405'!$D$40</definedName>
    <definedName name="OSRRefD22_3x_0" localSheetId="79">'406'!$D$41</definedName>
    <definedName name="OSRRefD22_3x_0" localSheetId="80">'411'!$D$39</definedName>
    <definedName name="OSRRefD22_3x_0" localSheetId="81">'412'!$D$41</definedName>
    <definedName name="OSRRefD22_3x_0" localSheetId="83">'413'!$D$40</definedName>
    <definedName name="OSRRefD22_3x_0" localSheetId="84">'414'!$D$39</definedName>
    <definedName name="OSRRefD22_3x_0" localSheetId="85">'415'!$D$41</definedName>
    <definedName name="OSRRefD22_3x_0" localSheetId="86">'418'!$D$42</definedName>
    <definedName name="OSRRefD22_3x_0" localSheetId="87">'423'!$D$34</definedName>
    <definedName name="OSRRefD22_3x_0" localSheetId="88">'424'!$D$32</definedName>
    <definedName name="OSRRefD22_3x_0" localSheetId="89">'425'!$D$41</definedName>
    <definedName name="OSRRefD22_3x_0" localSheetId="92">'430'!$D$33</definedName>
    <definedName name="OSRRefD22_3x_0" localSheetId="93">'433'!$D$44</definedName>
    <definedName name="OSRRefD22_3x_0" localSheetId="94">'435'!$D$34</definedName>
    <definedName name="OSRRefD22_3x_0" localSheetId="95">'444'!$D$44</definedName>
    <definedName name="OSRRefD22_3x_0" localSheetId="96">'450'!$D$44</definedName>
    <definedName name="OSRRefD22_3x_0" localSheetId="77">'491'!$D$51</definedName>
    <definedName name="OSRRefD22_3x_0" localSheetId="91">'492'!$D$47</definedName>
    <definedName name="OSRRefD22_3x_0" localSheetId="98">'501'!$D$39</definedName>
    <definedName name="OSRRefD22_3x_0" localSheetId="39">'Div 2'!$D$42</definedName>
    <definedName name="OSRRefD22_3x_0" localSheetId="48">'Div 3'!$D$182</definedName>
    <definedName name="OSRRefD22_3x_0" localSheetId="75">'Div 4'!$D$52</definedName>
    <definedName name="OSRRefD22_3x_0" localSheetId="97">'Div 5'!$D$39</definedName>
    <definedName name="OSRRefD22_3x_0" localSheetId="65">'Div 6'!$D$75</definedName>
    <definedName name="OSRRefD22_3x_0" localSheetId="2">Summary!$D$213</definedName>
    <definedName name="OSRRefD22_4x_0" localSheetId="41">'201'!$D$37</definedName>
    <definedName name="OSRRefD22_4x_0" localSheetId="42">'202'!$D$38:$D$39</definedName>
    <definedName name="OSRRefD22_4x_0" localSheetId="43">'203'!$D$40</definedName>
    <definedName name="OSRRefD22_4x_0" localSheetId="44">'204'!$D$40</definedName>
    <definedName name="OSRRefD22_4x_0" localSheetId="45">'205'!$D$35:$D$36</definedName>
    <definedName name="OSRRefD22_4x_0" localSheetId="46">'206'!$D$37</definedName>
    <definedName name="OSRRefD22_4x_0" localSheetId="49">'300'!$D$179</definedName>
    <definedName name="OSRRefD22_4x_0" localSheetId="50">'300 &amp; 317'!$D$203</definedName>
    <definedName name="OSRRefD22_4x_0" localSheetId="51">'301'!$D$42</definedName>
    <definedName name="OSRRefD22_4x_0" localSheetId="52">'306'!$D$41:$D$42</definedName>
    <definedName name="OSRRefD22_4x_0" localSheetId="54">'307'!$D$83:$D$84</definedName>
    <definedName name="OSRRefD22_4x_0" localSheetId="56">'308'!$D$82</definedName>
    <definedName name="OSRRefD22_4x_0" localSheetId="68">'309'!$D$42</definedName>
    <definedName name="OSRRefD22_4x_0" localSheetId="67">'310'!$D$50</definedName>
    <definedName name="OSRRefD22_4x_0" localSheetId="76">'310 &amp; 491'!$D$59</definedName>
    <definedName name="OSRRefD22_4x_0" localSheetId="57">'311'!$D$81</definedName>
    <definedName name="OSRRefD22_4x_0" localSheetId="69">'313'!$D$46</definedName>
    <definedName name="OSRRefD22_4x_0" localSheetId="55">'314'!$D$69</definedName>
    <definedName name="OSRRefD22_4x_0" localSheetId="60">'315'!$D$93</definedName>
    <definedName name="OSRRefD22_4x_0" localSheetId="63">'316'!$D$49</definedName>
    <definedName name="OSRRefD22_4x_0" localSheetId="66">'317'!$D$77</definedName>
    <definedName name="OSRRefD22_4x_0" localSheetId="64">'320'!$D$44:$D$45</definedName>
    <definedName name="OSRRefD22_4x_0" localSheetId="70">'321'!$D$43</definedName>
    <definedName name="OSRRefD22_4x_0" localSheetId="71">'322'!$D$42</definedName>
    <definedName name="OSRRefD22_4x_0" localSheetId="72">'325'!$D$43</definedName>
    <definedName name="OSRRefD22_4x_0" localSheetId="61">'326'!$D$76</definedName>
    <definedName name="OSRRefD22_4x_0" localSheetId="53">'330'!$D$92:$D$93</definedName>
    <definedName name="OSRRefD22_4x_0" localSheetId="59">'331'!$D$100</definedName>
    <definedName name="OSRRefD22_4x_0" localSheetId="62">'332'!$D$58</definedName>
    <definedName name="OSRRefD22_4x_0" localSheetId="78">'405'!$D$42</definedName>
    <definedName name="OSRRefD22_4x_0" localSheetId="79">'406'!$D$43</definedName>
    <definedName name="OSRRefD22_4x_0" localSheetId="80">'411'!$D$41:$D$43</definedName>
    <definedName name="OSRRefD22_4x_0" localSheetId="81">'412'!$D$43</definedName>
    <definedName name="OSRRefD22_4x_0" localSheetId="83">'413'!$D$42</definedName>
    <definedName name="OSRRefD22_4x_0" localSheetId="84">'414'!$D$41</definedName>
    <definedName name="OSRRefD22_4x_0" localSheetId="85">'415'!$D$43</definedName>
    <definedName name="OSRRefD22_4x_0" localSheetId="86">'418'!$D$44</definedName>
    <definedName name="OSRRefD22_4x_0" localSheetId="87">'423'!$D$36</definedName>
    <definedName name="OSRRefD22_4x_0" localSheetId="88">'424'!$D$34</definedName>
    <definedName name="OSRRefD22_4x_0" localSheetId="89">'425'!$D$43</definedName>
    <definedName name="OSRRefD22_4x_0" localSheetId="92">'430'!$D$35:$D$36</definedName>
    <definedName name="OSRRefD22_4x_0" localSheetId="93">'433'!$D$46</definedName>
    <definedName name="OSRRefD22_4x_0" localSheetId="94">'435'!$D$36</definedName>
    <definedName name="OSRRefD22_4x_0" localSheetId="95">'444'!$D$46</definedName>
    <definedName name="OSRRefD22_4x_0" localSheetId="96">'450'!$D$46</definedName>
    <definedName name="OSRRefD22_4x_0" localSheetId="77">'491'!$D$53</definedName>
    <definedName name="OSRRefD22_4x_0" localSheetId="91">'492'!$D$49</definedName>
    <definedName name="OSRRefD22_4x_0" localSheetId="98">'501'!$D$41</definedName>
    <definedName name="OSRRefD22_4x_0" localSheetId="39">'Div 2'!$D$44</definedName>
    <definedName name="OSRRefD22_4x_0" localSheetId="48">'Div 3'!$D$184</definedName>
    <definedName name="OSRRefD22_4x_0" localSheetId="75">'Div 4'!$D$54</definedName>
    <definedName name="OSRRefD22_4x_0" localSheetId="97">'Div 5'!$D$41</definedName>
    <definedName name="OSRRefD22_4x_0" localSheetId="65">'Div 6'!$D$77</definedName>
    <definedName name="OSRRefD22_4x_0" localSheetId="2">Summary!$D$215</definedName>
    <definedName name="OSRRefD22_5x_0" localSheetId="41">'201'!$D$39</definedName>
    <definedName name="OSRRefD22_5x_0" localSheetId="42">'202'!$D$41</definedName>
    <definedName name="OSRRefD22_5x_0" localSheetId="43">'203'!$D$42</definedName>
    <definedName name="OSRRefD22_5x_0" localSheetId="44">'204'!$D$42:$D$44</definedName>
    <definedName name="OSRRefD22_5x_0" localSheetId="45">'205'!$D$38</definedName>
    <definedName name="OSRRefD22_5x_0" localSheetId="46">'206'!$D$39:$D$40</definedName>
    <definedName name="OSRRefD22_5x_0" localSheetId="49">'300'!$D$181:$D$182</definedName>
    <definedName name="OSRRefD22_5x_0" localSheetId="50">'300 &amp; 317'!$D$205:$D$206</definedName>
    <definedName name="OSRRefD22_5x_0" localSheetId="51">'301'!$D$44:$D$45</definedName>
    <definedName name="OSRRefD22_5x_0" localSheetId="52">'306'!$D$44</definedName>
    <definedName name="OSRRefD22_5x_0" localSheetId="54">'307'!$D$86</definedName>
    <definedName name="OSRRefD22_5x_0" localSheetId="56">'308'!$D$84</definedName>
    <definedName name="OSRRefD22_5x_0" localSheetId="68">'309'!$D$44</definedName>
    <definedName name="OSRRefD22_5x_0" localSheetId="67">'310'!$D$52:$D$53</definedName>
    <definedName name="OSRRefD22_5x_0" localSheetId="76">'310 &amp; 491'!$D$61:$D$63</definedName>
    <definedName name="OSRRefD22_5x_0" localSheetId="57">'311'!$D$83</definedName>
    <definedName name="OSRRefD22_5x_0" localSheetId="69">'313'!$D$48</definedName>
    <definedName name="OSRRefD22_5x_0" localSheetId="55">'314'!$D$71</definedName>
    <definedName name="OSRRefD22_5x_0" localSheetId="60">'315'!$D$95</definedName>
    <definedName name="OSRRefD22_5x_0" localSheetId="63">'316'!$D$51:$D$52</definedName>
    <definedName name="OSRRefD22_5x_0" localSheetId="66">'317'!$D$79:$D$80</definedName>
    <definedName name="OSRRefD22_5x_0" localSheetId="64">'320'!$D$47</definedName>
    <definedName name="OSRRefD22_5x_0" localSheetId="70">'321'!$D$45</definedName>
    <definedName name="OSRRefD22_5x_0" localSheetId="71">'322'!$D$44</definedName>
    <definedName name="OSRRefD22_5x_0" localSheetId="72">'325'!$D$45:$D$46</definedName>
    <definedName name="OSRRefD22_5x_0" localSheetId="61">'326'!$D$78</definedName>
    <definedName name="OSRRefD22_5x_0" localSheetId="53">'330'!$D$95</definedName>
    <definedName name="OSRRefD22_5x_0" localSheetId="59">'331'!$D$102:$D$103</definedName>
    <definedName name="OSRRefD22_5x_0" localSheetId="62">'332'!$D$60</definedName>
    <definedName name="OSRRefD22_5x_0" localSheetId="78">'405'!$D$44:$D$45</definedName>
    <definedName name="OSRRefD22_5x_0" localSheetId="79">'406'!$D$45</definedName>
    <definedName name="OSRRefD22_5x_0" localSheetId="80">'411'!$D$45</definedName>
    <definedName name="OSRRefD22_5x_0" localSheetId="81">'412'!$D$45</definedName>
    <definedName name="OSRRefD22_5x_0" localSheetId="83">'413'!$D$44</definedName>
    <definedName name="OSRRefD22_5x_0" localSheetId="84">'414'!$D$43</definedName>
    <definedName name="OSRRefD22_5x_0" localSheetId="85">'415'!$D$45:$D$46</definedName>
    <definedName name="OSRRefD22_5x_0" localSheetId="86">'418'!$D$46:$D$47</definedName>
    <definedName name="OSRRefD22_5x_0" localSheetId="87">'423'!$D$38</definedName>
    <definedName name="OSRRefD22_5x_0" localSheetId="88">'424'!$D$36</definedName>
    <definedName name="OSRRefD22_5x_0" localSheetId="89">'425'!$D$45</definedName>
    <definedName name="OSRRefD22_5x_0" localSheetId="92">'430'!$D$38</definedName>
    <definedName name="OSRRefD22_5x_0" localSheetId="93">'433'!$D$48</definedName>
    <definedName name="OSRRefD22_5x_0" localSheetId="94">'435'!$D$38</definedName>
    <definedName name="OSRRefD22_5x_0" localSheetId="95">'444'!$D$48</definedName>
    <definedName name="OSRRefD22_5x_0" localSheetId="96">'450'!$D$48</definedName>
    <definedName name="OSRRefD22_5x_0" localSheetId="77">'491'!$D$55:$D$57</definedName>
    <definedName name="OSRRefD22_5x_0" localSheetId="91">'492'!$D$51</definedName>
    <definedName name="OSRRefD22_5x_0" localSheetId="98">'501'!$D$43:$D$44</definedName>
    <definedName name="OSRRefD22_5x_0" localSheetId="39">'Div 2'!$D$46</definedName>
    <definedName name="OSRRefD22_5x_0" localSheetId="48">'Div 3'!$D$186:$D$187</definedName>
    <definedName name="OSRRefD22_5x_0" localSheetId="75">'Div 4'!$D$56:$D$58</definedName>
    <definedName name="OSRRefD22_5x_0" localSheetId="97">'Div 5'!$D$43:$D$44</definedName>
    <definedName name="OSRRefD22_5x_0" localSheetId="65">'Div 6'!$D$79:$D$80</definedName>
    <definedName name="OSRRefD22_5x_0" localSheetId="2">Summary!$D$217:$D$219</definedName>
    <definedName name="OSRRefD22_6x_0" localSheetId="41">'201'!$D$41</definedName>
    <definedName name="OSRRefD22_6x_0" localSheetId="42">'202'!$D$43</definedName>
    <definedName name="OSRRefD22_6x_0" localSheetId="43">'203'!$D$44</definedName>
    <definedName name="OSRRefD22_6x_0" localSheetId="44">'204'!$D$46</definedName>
    <definedName name="OSRRefD22_6x_0" localSheetId="45">'205'!$D$40:$D$41</definedName>
    <definedName name="OSRRefD22_6x_0" localSheetId="46">'206'!$D$42</definedName>
    <definedName name="OSRRefD22_6x_0" localSheetId="49">'300'!$D$184:$D$185</definedName>
    <definedName name="OSRRefD22_6x_0" localSheetId="50">'300 &amp; 317'!$D$208:$D$209</definedName>
    <definedName name="OSRRefD22_6x_0" localSheetId="51">'301'!$D$47:$D$48</definedName>
    <definedName name="OSRRefD22_6x_0" localSheetId="54">'307'!$D$88</definedName>
    <definedName name="OSRRefD22_6x_0" localSheetId="56">'308'!$D$86:$D$87</definedName>
    <definedName name="OSRRefD22_6x_0" localSheetId="68">'309'!$D$46</definedName>
    <definedName name="OSRRefD22_6x_0" localSheetId="67">'310'!$D$55</definedName>
    <definedName name="OSRRefD22_6x_0" localSheetId="76">'310 &amp; 491'!$D$65</definedName>
    <definedName name="OSRRefD22_6x_0" localSheetId="57">'311'!$D$85:$D$86</definedName>
    <definedName name="OSRRefD22_6x_0" localSheetId="69">'313'!$D$50</definedName>
    <definedName name="OSRRefD22_6x_0" localSheetId="60">'315'!$D$97</definedName>
    <definedName name="OSRRefD22_6x_0" localSheetId="63">'316'!$D$54</definedName>
    <definedName name="OSRRefD22_6x_0" localSheetId="66">'317'!$D$82</definedName>
    <definedName name="OSRRefD22_6x_0" localSheetId="64">'320'!$D$49</definedName>
    <definedName name="OSRRefD22_6x_0" localSheetId="70">'321'!$D$47:$D$49</definedName>
    <definedName name="OSRRefD22_6x_0" localSheetId="71">'322'!$D$46</definedName>
    <definedName name="OSRRefD22_6x_0" localSheetId="72">'325'!$D$48</definedName>
    <definedName name="OSRRefD22_6x_0" localSheetId="61">'326'!$D$80</definedName>
    <definedName name="OSRRefD22_6x_0" localSheetId="53">'330'!$D$97</definedName>
    <definedName name="OSRRefD22_6x_0" localSheetId="59">'331'!$D$105</definedName>
    <definedName name="OSRRefD22_6x_0" localSheetId="62">'332'!$D$62:$D$63</definedName>
    <definedName name="OSRRefD22_6x_0" localSheetId="78">'405'!$D$47</definedName>
    <definedName name="OSRRefD22_6x_0" localSheetId="79">'406'!$D$47</definedName>
    <definedName name="OSRRefD22_6x_0" localSheetId="80">'411'!$D$47</definedName>
    <definedName name="OSRRefD22_6x_0" localSheetId="81">'412'!$D$47</definedName>
    <definedName name="OSRRefD22_6x_0" localSheetId="83">'413'!$D$46</definedName>
    <definedName name="OSRRefD22_6x_0" localSheetId="84">'414'!$D$45</definedName>
    <definedName name="OSRRefD22_6x_0" localSheetId="85">'415'!$D$48</definedName>
    <definedName name="OSRRefD22_6x_0" localSheetId="86">'418'!$D$49</definedName>
    <definedName name="OSRRefD22_6x_0" localSheetId="88">'424'!$D$38</definedName>
    <definedName name="OSRRefD22_6x_0" localSheetId="89">'425'!$D$47</definedName>
    <definedName name="OSRRefD22_6x_0" localSheetId="92">'430'!$D$40</definedName>
    <definedName name="OSRRefD22_6x_0" localSheetId="93">'433'!$D$50</definedName>
    <definedName name="OSRRefD22_6x_0" localSheetId="94">'435'!$D$40:$D$41</definedName>
    <definedName name="OSRRefD22_6x_0" localSheetId="95">'444'!$D$50</definedName>
    <definedName name="OSRRefD22_6x_0" localSheetId="96">'450'!$D$50</definedName>
    <definedName name="OSRRefD22_6x_0" localSheetId="77">'491'!$D$59</definedName>
    <definedName name="OSRRefD22_6x_0" localSheetId="91">'492'!$D$53</definedName>
    <definedName name="OSRRefD22_6x_0" localSheetId="98">'501'!$D$46</definedName>
    <definedName name="OSRRefD22_6x_0" localSheetId="39">'Div 2'!$D$48</definedName>
    <definedName name="OSRRefD22_6x_0" localSheetId="48">'Div 3'!$D$189:$D$190</definedName>
    <definedName name="OSRRefD22_6x_0" localSheetId="75">'Div 4'!$D$60</definedName>
    <definedName name="OSRRefD22_6x_0" localSheetId="97">'Div 5'!$D$46</definedName>
    <definedName name="OSRRefD22_6x_0" localSheetId="65">'Div 6'!$D$82</definedName>
    <definedName name="OSRRefD22_6x_0" localSheetId="2">Summary!$D$221:$D$222</definedName>
    <definedName name="OSRRefD22_7x_0" localSheetId="41">'201'!$D$43</definedName>
    <definedName name="OSRRefD22_7x_0" localSheetId="42">'202'!$D$45:$D$46</definedName>
    <definedName name="OSRRefD22_7x_0" localSheetId="43">'203'!$D$46</definedName>
    <definedName name="OSRRefD22_7x_0" localSheetId="44">'204'!$D$48:$D$49</definedName>
    <definedName name="OSRRefD22_7x_0" localSheetId="45">'205'!$D$43</definedName>
    <definedName name="OSRRefD22_7x_0" localSheetId="46">'206'!$D$44</definedName>
    <definedName name="OSRRefD22_7x_0" localSheetId="49">'300'!$D$187</definedName>
    <definedName name="OSRRefD22_7x_0" localSheetId="50">'300 &amp; 317'!$D$211</definedName>
    <definedName name="OSRRefD22_7x_0" localSheetId="51">'301'!$D$50</definedName>
    <definedName name="OSRRefD22_7x_0" localSheetId="54">'307'!$D$90:$D$91</definedName>
    <definedName name="OSRRefD22_7x_0" localSheetId="56">'308'!$D$89</definedName>
    <definedName name="OSRRefD22_7x_0" localSheetId="68">'309'!$D$48:$D$49</definedName>
    <definedName name="OSRRefD22_7x_0" localSheetId="67">'310'!$D$57</definedName>
    <definedName name="OSRRefD22_7x_0" localSheetId="76">'310 &amp; 491'!$D$67</definedName>
    <definedName name="OSRRefD22_7x_0" localSheetId="57">'311'!$D$88</definedName>
    <definedName name="OSRRefD22_7x_0" localSheetId="69">'313'!$D$52</definedName>
    <definedName name="OSRRefD22_7x_0" localSheetId="60">'315'!$D$99:$D$100</definedName>
    <definedName name="OSRRefD22_7x_0" localSheetId="63">'316'!$D$56</definedName>
    <definedName name="OSRRefD22_7x_0" localSheetId="66">'317'!$D$84</definedName>
    <definedName name="OSRRefD22_7x_0" localSheetId="64">'320'!$D$51:$D$52</definedName>
    <definedName name="OSRRefD22_7x_0" localSheetId="70">'321'!$D$51</definedName>
    <definedName name="OSRRefD22_7x_0" localSheetId="71">'322'!$D$48</definedName>
    <definedName name="OSRRefD22_7x_0" localSheetId="72">'325'!$D$50</definedName>
    <definedName name="OSRRefD22_7x_0" localSheetId="61">'326'!$D$82</definedName>
    <definedName name="OSRRefD22_7x_0" localSheetId="53">'330'!$D$99:$D$100</definedName>
    <definedName name="OSRRefD22_7x_0" localSheetId="59">'331'!$D$107</definedName>
    <definedName name="OSRRefD22_7x_0" localSheetId="62">'332'!$D$65</definedName>
    <definedName name="OSRRefD22_7x_0" localSheetId="78">'405'!$D$49</definedName>
    <definedName name="OSRRefD22_7x_0" localSheetId="79">'406'!$D$49</definedName>
    <definedName name="OSRRefD22_7x_0" localSheetId="80">'411'!$D$49</definedName>
    <definedName name="OSRRefD22_7x_0" localSheetId="81">'412'!$D$49</definedName>
    <definedName name="OSRRefD22_7x_0" localSheetId="83">'413'!$D$48:$D$50</definedName>
    <definedName name="OSRRefD22_7x_0" localSheetId="84">'414'!$D$47</definedName>
    <definedName name="OSRRefD22_7x_0" localSheetId="85">'415'!$D$50</definedName>
    <definedName name="OSRRefD22_7x_0" localSheetId="86">'418'!$D$51</definedName>
    <definedName name="OSRRefD22_7x_0" localSheetId="88">'424'!$D$40</definedName>
    <definedName name="OSRRefD22_7x_0" localSheetId="89">'425'!$D$49</definedName>
    <definedName name="OSRRefD22_7x_0" localSheetId="92">'430'!$D$42</definedName>
    <definedName name="OSRRefD22_7x_0" localSheetId="93">'433'!$D$52</definedName>
    <definedName name="OSRRefD22_7x_0" localSheetId="94">'435'!$D$43</definedName>
    <definedName name="OSRRefD22_7x_0" localSheetId="95">'444'!$D$52</definedName>
    <definedName name="OSRRefD22_7x_0" localSheetId="96">'450'!$D$52</definedName>
    <definedName name="OSRRefD22_7x_0" localSheetId="77">'491'!$D$61</definedName>
    <definedName name="OSRRefD22_7x_0" localSheetId="91">'492'!$D$55</definedName>
    <definedName name="OSRRefD22_7x_0" localSheetId="98">'501'!$D$48</definedName>
    <definedName name="OSRRefD22_7x_0" localSheetId="39">'Div 2'!$D$50</definedName>
    <definedName name="OSRRefD22_7x_0" localSheetId="48">'Div 3'!$D$192</definedName>
    <definedName name="OSRRefD22_7x_0" localSheetId="75">'Div 4'!$D$62</definedName>
    <definedName name="OSRRefD22_7x_0" localSheetId="97">'Div 5'!$D$48</definedName>
    <definedName name="OSRRefD22_7x_0" localSheetId="65">'Div 6'!$D$84</definedName>
    <definedName name="OSRRefD22_7x_0" localSheetId="2">Summary!$D$224</definedName>
    <definedName name="OSRRefD22_8x_0" localSheetId="41">'201'!$D$45</definedName>
    <definedName name="OSRRefD22_8x_0" localSheetId="42">'202'!$D$48</definedName>
    <definedName name="OSRRefD22_8x_0" localSheetId="43">'203'!$D$48</definedName>
    <definedName name="OSRRefD22_8x_0" localSheetId="44">'204'!$D$51</definedName>
    <definedName name="OSRRefD22_8x_0" localSheetId="45">'205'!$D$45</definedName>
    <definedName name="OSRRefD22_8x_0" localSheetId="49">'300'!$D$189</definedName>
    <definedName name="OSRRefD22_8x_0" localSheetId="50">'300 &amp; 317'!$D$213</definedName>
    <definedName name="OSRRefD22_8x_0" localSheetId="51">'301'!$D$52</definedName>
    <definedName name="OSRRefD22_8x_0" localSheetId="54">'307'!$D$93:$D$94</definedName>
    <definedName name="OSRRefD22_8x_0" localSheetId="56">'308'!$D$91</definedName>
    <definedName name="OSRRefD22_8x_0" localSheetId="68">'309'!$D$51:$D$52</definedName>
    <definedName name="OSRRefD22_8x_0" localSheetId="67">'310'!$D$59</definedName>
    <definedName name="OSRRefD22_8x_0" localSheetId="76">'310 &amp; 491'!$D$69</definedName>
    <definedName name="OSRRefD22_8x_0" localSheetId="57">'311'!$D$90</definedName>
    <definedName name="OSRRefD22_8x_0" localSheetId="69">'313'!$D$54:$D$56</definedName>
    <definedName name="OSRRefD22_8x_0" localSheetId="60">'315'!$D$102</definedName>
    <definedName name="OSRRefD22_8x_0" localSheetId="63">'316'!$D$58:$D$63</definedName>
    <definedName name="OSRRefD22_8x_0" localSheetId="66">'317'!$D$86</definedName>
    <definedName name="OSRRefD22_8x_0" localSheetId="64">'320'!$D$54</definedName>
    <definedName name="OSRRefD22_8x_0" localSheetId="70">'321'!$D$53:$D$55</definedName>
    <definedName name="OSRRefD22_8x_0" localSheetId="71">'322'!$D$50:$D$51</definedName>
    <definedName name="OSRRefD22_8x_0" localSheetId="72">'325'!$D$52</definedName>
    <definedName name="OSRRefD22_8x_0" localSheetId="61">'326'!$D$84</definedName>
    <definedName name="OSRRefD22_8x_0" localSheetId="53">'330'!$D$102:$D$103</definedName>
    <definedName name="OSRRefD22_8x_0" localSheetId="59">'331'!$D$109</definedName>
    <definedName name="OSRRefD22_8x_0" localSheetId="62">'332'!$D$67</definedName>
    <definedName name="OSRRefD22_8x_0" localSheetId="78">'405'!$D$51</definedName>
    <definedName name="OSRRefD22_8x_0" localSheetId="79">'406'!$D$51:$D$53</definedName>
    <definedName name="OSRRefD22_8x_0" localSheetId="80">'411'!$D$51</definedName>
    <definedName name="OSRRefD22_8x_0" localSheetId="81">'412'!$D$51:$D$52</definedName>
    <definedName name="OSRRefD22_8x_0" localSheetId="83">'413'!$D$52:$D$53</definedName>
    <definedName name="OSRRefD22_8x_0" localSheetId="84">'414'!$D$49:$D$50</definedName>
    <definedName name="OSRRefD22_8x_0" localSheetId="85">'415'!$D$52</definedName>
    <definedName name="OSRRefD22_8x_0" localSheetId="86">'418'!$D$53:$D$54</definedName>
    <definedName name="OSRRefD22_8x_0" localSheetId="88">'424'!$D$42:$D$43</definedName>
    <definedName name="OSRRefD22_8x_0" localSheetId="89">'425'!$D$51</definedName>
    <definedName name="OSRRefD22_8x_0" localSheetId="93">'433'!$D$54</definedName>
    <definedName name="OSRRefD22_8x_0" localSheetId="95">'444'!$D$54</definedName>
    <definedName name="OSRRefD22_8x_0" localSheetId="96">'450'!$D$54</definedName>
    <definedName name="OSRRefD22_8x_0" localSheetId="77">'491'!$D$63</definedName>
    <definedName name="OSRRefD22_8x_0" localSheetId="91">'492'!$D$57</definedName>
    <definedName name="OSRRefD22_8x_0" localSheetId="98">'501'!$D$50:$D$51</definedName>
    <definedName name="OSRRefD22_8x_0" localSheetId="39">'Div 2'!$D$52</definedName>
    <definedName name="OSRRefD22_8x_0" localSheetId="48">'Div 3'!$D$194</definedName>
    <definedName name="OSRRefD22_8x_0" localSheetId="75">'Div 4'!$D$64</definedName>
    <definedName name="OSRRefD22_8x_0" localSheetId="97">'Div 5'!$D$50:$D$51</definedName>
    <definedName name="OSRRefD22_8x_0" localSheetId="65">'Div 6'!$D$86</definedName>
    <definedName name="OSRRefD22_8x_0" localSheetId="2">Summary!$D$226</definedName>
    <definedName name="OSRRefD22_9x_0" localSheetId="41">'201'!$D$47:$D$49</definedName>
    <definedName name="OSRRefD22_9x_0" localSheetId="42">'202'!$D$50</definedName>
    <definedName name="OSRRefD22_9x_0" localSheetId="43">'203'!$D$50:$D$51</definedName>
    <definedName name="OSRRefD22_9x_0" localSheetId="44">'204'!$D$53:$D$54</definedName>
    <definedName name="OSRRefD22_9x_0" localSheetId="49">'300'!$D$191</definedName>
    <definedName name="OSRRefD22_9x_0" localSheetId="50">'300 &amp; 317'!$D$215</definedName>
    <definedName name="OSRRefD22_9x_0" localSheetId="51">'301'!$D$54</definedName>
    <definedName name="OSRRefD22_9x_0" localSheetId="54">'307'!$D$96:$D$98</definedName>
    <definedName name="OSRRefD22_9x_0" localSheetId="56">'308'!$D$93:$D$94</definedName>
    <definedName name="OSRRefD22_9x_0" localSheetId="68">'309'!$D$54:$D$56</definedName>
    <definedName name="OSRRefD22_9x_0" localSheetId="67">'310'!$D$61</definedName>
    <definedName name="OSRRefD22_9x_0" localSheetId="76">'310 &amp; 491'!$D$71:$D$72</definedName>
    <definedName name="OSRRefD22_9x_0" localSheetId="57">'311'!$D$92:$D$93</definedName>
    <definedName name="OSRRefD22_9x_0" localSheetId="69">'313'!$D$58</definedName>
    <definedName name="OSRRefD22_9x_0" localSheetId="60">'315'!$D$104:$D$107</definedName>
    <definedName name="OSRRefD22_9x_0" localSheetId="63">'316'!$D$65</definedName>
    <definedName name="OSRRefD22_9x_0" localSheetId="66">'317'!$D$88:$D$90</definedName>
    <definedName name="OSRRefD22_9x_0" localSheetId="70">'321'!$D$57:$D$60</definedName>
    <definedName name="OSRRefD22_9x_0" localSheetId="71">'322'!$D$53:$D$55</definedName>
    <definedName name="OSRRefD22_9x_0" localSheetId="72">'325'!$D$54</definedName>
    <definedName name="OSRRefD22_9x_0" localSheetId="61">'326'!$D$86</definedName>
    <definedName name="OSRRefD22_9x_0" localSheetId="53">'330'!$D$105</definedName>
    <definedName name="OSRRefD22_9x_0" localSheetId="59">'331'!$D$111</definedName>
    <definedName name="OSRRefD22_9x_0" localSheetId="62">'332'!$D$69</definedName>
    <definedName name="OSRRefD22_9x_0" localSheetId="78">'405'!$D$53:$D$54</definedName>
    <definedName name="OSRRefD22_9x_0" localSheetId="79">'406'!$D$55</definedName>
    <definedName name="OSRRefD22_9x_0" localSheetId="80">'411'!$D$53</definedName>
    <definedName name="OSRRefD22_9x_0" localSheetId="81">'412'!$D$54:$D$55</definedName>
    <definedName name="OSRRefD22_9x_0" localSheetId="83">'413'!$D$55:$D$58</definedName>
    <definedName name="OSRRefD22_9x_0" localSheetId="84">'414'!$D$52</definedName>
    <definedName name="OSRRefD22_9x_0" localSheetId="85">'415'!$D$54</definedName>
    <definedName name="OSRRefD22_9x_0" localSheetId="86">'418'!$D$56:$D$58</definedName>
    <definedName name="OSRRefD22_9x_0" localSheetId="88">'424'!$D$45</definedName>
    <definedName name="OSRRefD22_9x_0" localSheetId="89">'425'!$D$53:$D$55</definedName>
    <definedName name="OSRRefD22_9x_0" localSheetId="93">'433'!$D$56</definedName>
    <definedName name="OSRRefD22_9x_0" localSheetId="95">'444'!$D$56</definedName>
    <definedName name="OSRRefD22_9x_0" localSheetId="96">'450'!$D$56</definedName>
    <definedName name="OSRRefD22_9x_0" localSheetId="77">'491'!$D$65:$D$66</definedName>
    <definedName name="OSRRefD22_9x_0" localSheetId="91">'492'!$D$59</definedName>
    <definedName name="OSRRefD22_9x_0" localSheetId="98">'501'!$D$53:$D$55</definedName>
    <definedName name="OSRRefD22_9x_0" localSheetId="39">'Div 2'!$D$54:$D$55</definedName>
    <definedName name="OSRRefD22_9x_0" localSheetId="48">'Div 3'!$D$196</definedName>
    <definedName name="OSRRefD22_9x_0" localSheetId="75">'Div 4'!$D$66</definedName>
    <definedName name="OSRRefD22_9x_0" localSheetId="97">'Div 5'!$D$53:$D$55</definedName>
    <definedName name="OSRRefD22_9x_0" localSheetId="65">'Div 6'!$D$88:$D$90</definedName>
    <definedName name="OSRRefD22_9x_0" localSheetId="2">Summary!$D$228</definedName>
    <definedName name="OSRRefD22x_0" localSheetId="40">'200'!$D$20,'200'!$D$22,'200'!$D$24,'200'!$D$26:$D$27</definedName>
    <definedName name="OSRRefD22x_0" localSheetId="41">'201'!$D$20:$D$27,'201'!$D$29:$D$31,'201'!$D$33,'201'!$D$35,'201'!$D$37,'201'!$D$39,'201'!$D$41,'201'!$D$43,'201'!$D$45,'201'!$D$47:$D$49,'201'!$D$51:$D$53,'201'!$D$55,'201'!$D$57:$D$60,'201'!$D$62,'201'!$D$64</definedName>
    <definedName name="OSRRefD22x_0" localSheetId="42">'202'!$D$20:$D$27,'202'!$D$29:$D$32,'202'!$D$34,'202'!$D$36,'202'!$D$38:$D$39,'202'!$D$41,'202'!$D$43,'202'!$D$45:$D$46,'202'!$D$48,'202'!$D$50,'202'!$D$52:$D$54,'202'!$D$56,'202'!$D$58,'202'!$D$60</definedName>
    <definedName name="OSRRefD22x_0" localSheetId="43">'203'!$D$20:$D$29,'203'!$D$31:$D$34,'203'!$D$36,'203'!$D$38,'203'!$D$40,'203'!$D$42,'203'!$D$44,'203'!$D$46,'203'!$D$48,'203'!$D$50:$D$51,'203'!$D$53:$D$54,'203'!$D$56,'203'!$D$58:$D$61,'203'!$D$63,'203'!$D$65,'203'!$D$67</definedName>
    <definedName name="OSRRefD22x_0" localSheetId="44">'204'!$D$20:$D$28,'204'!$D$30:$D$34,'204'!$D$36,'204'!$D$38,'204'!$D$40,'204'!$D$42:$D$44,'204'!$D$46,'204'!$D$48:$D$49,'204'!$D$51,'204'!$D$53:$D$54</definedName>
    <definedName name="OSRRefD22x_0" localSheetId="45">'205'!$D$20:$D$27,'205'!$D$29,'205'!$D$31,'205'!$D$33,'205'!$D$35:$D$36,'205'!$D$38,'205'!$D$40:$D$41,'205'!$D$43,'205'!$D$45</definedName>
    <definedName name="OSRRefD22x_0" localSheetId="46">'206'!$D$20:$D$26,'206'!$D$28:$D$31,'206'!$D$33,'206'!$D$35,'206'!$D$37,'206'!$D$39:$D$40,'206'!$D$42,'206'!$D$44</definedName>
    <definedName name="OSRRefD22x_0" localSheetId="49">'300'!$D$156:$D$165,'300'!$D$167:$D$173,'300'!$D$175,'300'!$D$177,'300'!$D$179,'300'!$D$181:$D$182,'300'!$D$184:$D$185,'300'!$D$187,'300'!$D$189,'300'!$D$191,'300'!$D$193:$D$194,'300'!$D$196,'300'!$D$198,'300'!$D$200,'300'!$D$202,'300'!$D$204,'300'!$D$206:$D$209,'300'!$D$211:$D$213,'300'!$D$215:$D$218,'300'!$D$220:$D$221,'300'!$D$223:$D$229,'300'!$D$231:$D$232,'300'!$D$234,'300'!$D$236:$D$238,'300'!$D$240</definedName>
    <definedName name="OSRRefD22x_0" localSheetId="50">'300 &amp; 317'!$D$180:$D$189,'300 &amp; 317'!$D$191:$D$197,'300 &amp; 317'!$D$199,'300 &amp; 317'!$D$201,'300 &amp; 317'!$D$203,'300 &amp; 317'!$D$205:$D$206,'300 &amp; 317'!$D$208:$D$209,'300 &amp; 317'!$D$211,'300 &amp; 317'!$D$213,'300 &amp; 317'!$D$215,'300 &amp; 317'!$D$217:$D$218,'300 &amp; 317'!$D$220,'300 &amp; 317'!$D$222,'300 &amp; 317'!$D$224,'300 &amp; 317'!$D$226,'300 &amp; 317'!$D$228,'300 &amp; 317'!$D$230:$D$233,'300 &amp; 317'!$D$235:$D$237,'300 &amp; 317'!$D$239:$D$242,'300 &amp; 317'!$D$244:$D$245,'300 &amp; 317'!$D$247:$D$253,'300 &amp; 317'!$D$255:$D$256,'300 &amp; 317'!$D$258,'300 &amp; 317'!$D$260:$D$262,'300 &amp; 317'!$D$264</definedName>
    <definedName name="OSRRefD22x_0" localSheetId="51">'301'!$D$20:$D$28,'301'!$D$30:$D$36,'301'!$D$38,'301'!$D$40,'301'!$D$42,'301'!$D$44:$D$45,'301'!$D$47:$D$48,'301'!$D$50,'301'!$D$52,'301'!$D$54,'301'!$D$56,'301'!$D$58,'301'!$D$60,'301'!$D$62,'301'!$D$64,'301'!$D$66:$D$69,'301'!$D$71:$D$73,'301'!$D$75,'301'!$D$77:$D$82,'301'!$D$84,'301'!$D$86,'301'!$D$88:$D$89,'301'!$D$91</definedName>
    <definedName name="OSRRefD22x_0" localSheetId="52">'306'!$D$20:$D$28,'306'!$D$30:$D$35,'306'!$D$37,'306'!$D$39,'306'!$D$41:$D$42,'306'!$D$44</definedName>
    <definedName name="OSRRefD22x_0" localSheetId="54">'307'!$D$65:$D$72,'307'!$D$74:$D$77,'307'!$D$79,'307'!$D$81,'307'!$D$83:$D$84,'307'!$D$86,'307'!$D$88,'307'!$D$90:$D$91,'307'!$D$93:$D$94,'307'!$D$96:$D$98,'307'!$D$100</definedName>
    <definedName name="OSRRefD22x_0" localSheetId="56">'308'!$D$60:$D$68,'308'!$D$70:$D$75,'308'!$D$77,'308'!$D$79:$D$80,'308'!$D$82,'308'!$D$84,'308'!$D$86:$D$87,'308'!$D$89,'308'!$D$91,'308'!$D$93:$D$94,'308'!$D$96,'308'!$D$98:$D$100,'308'!$D$102:$D$103,'308'!$D$105,'308'!$D$107</definedName>
    <definedName name="OSRRefD22x_0" localSheetId="68">'309'!$D$24:$D$31,'309'!$D$33:$D$36,'309'!$D$38,'309'!$D$40,'309'!$D$42,'309'!$D$44,'309'!$D$46,'309'!$D$48:$D$49,'309'!$D$51:$D$52,'309'!$D$54:$D$56,'309'!$D$58</definedName>
    <definedName name="OSRRefD22x_0" localSheetId="67">'310'!$D$30:$D$37,'310'!$D$39:$D$44,'310'!$D$46,'310'!$D$48,'310'!$D$50,'310'!$D$52:$D$53,'310'!$D$55,'310'!$D$57,'310'!$D$59,'310'!$D$61,'310'!$D$63,'310'!$D$65,'310'!$D$67,'310'!$D$69:$D$71,'310'!$D$73,'310'!$D$75:$D$78,'310'!$D$80,'310'!$D$82:$D$88,'310'!$D$90,'310'!$D$92,'310'!$D$94</definedName>
    <definedName name="OSRRefD22x_0" localSheetId="76">'310 &amp; 491'!$D$37:$D$45,'310 &amp; 491'!$D$47:$D$53,'310 &amp; 491'!$D$55,'310 &amp; 491'!$D$57,'310 &amp; 491'!$D$59,'310 &amp; 491'!$D$61:$D$63,'310 &amp; 491'!$D$65,'310 &amp; 491'!$D$67,'310 &amp; 491'!$D$69,'310 &amp; 491'!$D$71:$D$72,'310 &amp; 491'!$D$74:$D$75,'310 &amp; 491'!$D$77,'310 &amp; 491'!$D$79,'310 &amp; 491'!$D$81,'310 &amp; 491'!$D$83,'310 &amp; 491'!$D$85:$D$87,'310 &amp; 491'!$D$89:$D$90,'310 &amp; 491'!$D$92:$D$96,'310 &amp; 491'!$D$98,'310 &amp; 491'!$D$100:$D$108,'310 &amp; 491'!$D$110,'310 &amp; 491'!$D$112,'310 &amp; 491'!$D$114:$D$116,'310 &amp; 491'!$D$118</definedName>
    <definedName name="OSRRefD22x_0" localSheetId="57">'311'!$D$59:$D$67,'311'!$D$69:$D$74,'311'!$D$76,'311'!$D$78:$D$79,'311'!$D$81,'311'!$D$83,'311'!$D$85:$D$86,'311'!$D$88,'311'!$D$90,'311'!$D$92:$D$93,'311'!$D$95,'311'!$D$97:$D$99,'311'!$D$101:$D$102,'311'!$D$104,'311'!$D$106</definedName>
    <definedName name="OSRRefD22x_0" localSheetId="69">'313'!$D$27:$D$34,'313'!$D$36:$D$40,'313'!$D$42,'313'!$D$44,'313'!$D$46,'313'!$D$48,'313'!$D$50,'313'!$D$52,'313'!$D$54:$D$56,'313'!$D$58,'313'!$D$60:$D$64,'313'!$D$66,'313'!$D$68</definedName>
    <definedName name="OSRRefD22x_0" localSheetId="55">'314'!$D$53:$D$59,'314'!$D$61:$D$62,'314'!$D$64,'314'!$D$66:$D$67,'314'!$D$69,'314'!$D$71</definedName>
    <definedName name="OSRRefD22x_0" localSheetId="60">'315'!$D$73:$D$80,'315'!$D$82:$D$86,'315'!$D$88,'315'!$D$90:$D$91,'315'!$D$93,'315'!$D$95,'315'!$D$97,'315'!$D$99:$D$100,'315'!$D$102,'315'!$D$104:$D$107,'315'!$D$109,'315'!$D$111</definedName>
    <definedName name="OSRRefD22x_0" localSheetId="63">'316'!$D$32:$D$39,'316'!$D$41:$D$43,'316'!$D$45,'316'!$D$47,'316'!$D$49,'316'!$D$51:$D$52,'316'!$D$54,'316'!$D$56,'316'!$D$58:$D$63,'316'!$D$65,'316'!$D$67,'316'!$D$69</definedName>
    <definedName name="OSRRefD22x_0" localSheetId="66">'317'!$D$57:$D$65,'317'!$D$67:$D$71,'317'!$D$73,'317'!$D$75,'317'!$D$77,'317'!$D$79:$D$80,'317'!$D$82,'317'!$D$84,'317'!$D$86,'317'!$D$88:$D$90,'317'!$D$92</definedName>
    <definedName name="OSRRefD22x_0" localSheetId="64">'320'!$D$28:$D$34,'320'!$D$36:$D$38,'320'!$D$40,'320'!$D$42,'320'!$D$44:$D$45,'320'!$D$47,'320'!$D$49,'320'!$D$51:$D$52,'320'!$D$54</definedName>
    <definedName name="OSRRefD22x_0" localSheetId="70">'321'!$D$24:$D$31,'321'!$D$33:$D$37,'321'!$D$39,'321'!$D$41,'321'!$D$43,'321'!$D$45,'321'!$D$47:$D$49,'321'!$D$51,'321'!$D$53:$D$55,'321'!$D$57:$D$60,'321'!$D$62,'321'!$D$64</definedName>
    <definedName name="OSRRefD22x_0" localSheetId="71">'322'!$D$24:$D$31,'322'!$D$33:$D$36,'322'!$D$38,'322'!$D$40,'322'!$D$42,'322'!$D$44,'322'!$D$46,'322'!$D$48,'322'!$D$50:$D$51,'322'!$D$53:$D$55,'322'!$D$57:$D$61,'322'!$D$63,'322'!$D$65</definedName>
    <definedName name="OSRRefD22x_0" localSheetId="72">'325'!$D$24:$D$31,'325'!$D$33:$D$37,'325'!$D$39,'325'!$D$41,'325'!$D$43,'325'!$D$45:$D$46,'325'!$D$48,'325'!$D$50,'325'!$D$52,'325'!$D$54,'325'!$D$56:$D$58,'325'!$D$60:$D$62,'325'!$D$64,'325'!$D$66:$D$70,'325'!$D$72,'325'!$D$74</definedName>
    <definedName name="OSRRefD22x_0" localSheetId="61">'326'!$D$57:$D$64,'326'!$D$66:$D$70,'326'!$D$72,'326'!$D$74,'326'!$D$76,'326'!$D$78,'326'!$D$80,'326'!$D$82,'326'!$D$84,'326'!$D$86,'326'!$D$88,'326'!$D$90,'326'!$D$92:$D$94,'326'!$D$96,'326'!$D$98:$D$100,'326'!$D$102,'326'!$D$104,'326'!$D$106</definedName>
    <definedName name="OSRRefD22x_0" localSheetId="73">'327'!$D$22</definedName>
    <definedName name="OSRRefD22x_0" localSheetId="53">'330'!$D$74:$D$81,'330'!$D$83:$D$86,'330'!$D$88,'330'!$D$90,'330'!$D$92:$D$93,'330'!$D$95,'330'!$D$97,'330'!$D$99:$D$100,'330'!$D$102:$D$103,'330'!$D$105,'330'!$D$107:$D$109,'330'!$D$111</definedName>
    <definedName name="OSRRefD22x_0" localSheetId="59">'331'!$D$81:$D$88,'331'!$D$90:$D$94,'331'!$D$96,'331'!$D$98,'331'!$D$100,'331'!$D$102:$D$103,'331'!$D$105,'331'!$D$107,'331'!$D$109,'331'!$D$111,'331'!$D$113,'331'!$D$115,'331'!$D$117,'331'!$D$119:$D$120,'331'!$D$122:$D$124,'331'!$D$126,'331'!$D$128:$D$132,'331'!$D$134,'331'!$D$136,'331'!$D$138,'331'!$D$140</definedName>
    <definedName name="OSRRefD22x_0" localSheetId="62">'332'!$D$40:$D$47,'332'!$D$49:$D$52,'332'!$D$54,'332'!$D$56,'332'!$D$58,'332'!$D$60,'332'!$D$62:$D$63,'332'!$D$65,'332'!$D$67,'332'!$D$69,'332'!$D$71,'332'!$D$73:$D$78,'332'!$D$80,'332'!$D$82,'332'!$D$84</definedName>
    <definedName name="OSRRefD22x_0" localSheetId="78">'405'!$D$24:$D$31,'405'!$D$33:$D$36,'405'!$D$38,'405'!$D$40,'405'!$D$42,'405'!$D$44:$D$45,'405'!$D$47,'405'!$D$49,'405'!$D$51,'405'!$D$53:$D$54,'405'!$D$56,'405'!$D$58:$D$60,'405'!$D$62,'405'!$D$64:$D$70,'405'!$D$72,'405'!$D$74,'405'!$D$76</definedName>
    <definedName name="OSRRefD22x_0" localSheetId="79">'406'!$D$24:$D$31,'406'!$D$33:$D$37,'406'!$D$39,'406'!$D$41,'406'!$D$43,'406'!$D$45,'406'!$D$47,'406'!$D$49,'406'!$D$51:$D$53,'406'!$D$55,'406'!$D$57:$D$61,'406'!$D$63,'406'!$D$65</definedName>
    <definedName name="OSRRefD22x_0" localSheetId="80">'411'!$D$20:$D$28,'411'!$D$30:$D$35,'411'!$D$37,'411'!$D$39,'411'!$D$41:$D$43,'411'!$D$45,'411'!$D$47,'411'!$D$49,'411'!$D$51,'411'!$D$53,'411'!$D$55:$D$56,'411'!$D$58:$D$62,'411'!$D$64:$D$69,'411'!$D$71,'411'!$D$73,'411'!$D$75:$D$77,'411'!$D$79</definedName>
    <definedName name="OSRRefD22x_0" localSheetId="81">'412'!$D$23:$D$30,'412'!$D$32:$D$37,'412'!$D$39,'412'!$D$41,'412'!$D$43,'412'!$D$45,'412'!$D$47,'412'!$D$49,'412'!$D$51:$D$52,'412'!$D$54:$D$55,'412'!$D$57:$D$61,'412'!$D$63,'412'!$D$65</definedName>
    <definedName name="OSRRefD22x_0" localSheetId="83">'413'!$D$24:$D$31,'413'!$D$33:$D$36,'413'!$D$38,'413'!$D$40,'413'!$D$42,'413'!$D$44,'413'!$D$46,'413'!$D$48:$D$50,'413'!$D$52:$D$53,'413'!$D$55:$D$58,'413'!$D$60</definedName>
    <definedName name="OSRRefD22x_0" localSheetId="84">'414'!$D$24:$D$30,'414'!$D$32:$D$35,'414'!$D$37,'414'!$D$39,'414'!$D$41,'414'!$D$43,'414'!$D$45,'414'!$D$47,'414'!$D$49:$D$50,'414'!$D$52,'414'!$D$54,'414'!$D$56,'414'!$D$58:$D$64,'414'!$D$66,'414'!$D$68</definedName>
    <definedName name="OSRRefD22x_0" localSheetId="85">'415'!$D$24:$D$31,'415'!$D$33:$D$37,'415'!$D$39,'415'!$D$41,'415'!$D$43,'415'!$D$45:$D$46,'415'!$D$48,'415'!$D$50,'415'!$D$52,'415'!$D$54,'415'!$D$56,'415'!$D$58:$D$60,'415'!$D$62:$D$66,'415'!$D$68,'415'!$D$70:$D$76,'415'!$D$78,'415'!$D$80,'415'!$D$82</definedName>
    <definedName name="OSRRefD22x_0" localSheetId="86">'418'!$D$24:$D$31,'418'!$D$33:$D$38,'418'!$D$40,'418'!$D$42,'418'!$D$44,'418'!$D$46:$D$47,'418'!$D$49,'418'!$D$51,'418'!$D$53:$D$54,'418'!$D$56:$D$58,'418'!$D$60:$D$62,'418'!$D$64,'418'!$D$66:$D$71,'418'!$D$73,'418'!$D$75</definedName>
    <definedName name="OSRRefD22x_0" localSheetId="82">'420'!$D$20:$D$21,'420'!$D$23</definedName>
    <definedName name="OSRRefD22x_0" localSheetId="87">'423'!$D$21:$D$28,'423'!$D$30,'423'!$D$32,'423'!$D$34,'423'!$D$36,'423'!$D$38</definedName>
    <definedName name="OSRRefD22x_0" localSheetId="88">'424'!$D$23,'424'!$D$25:$D$28,'424'!$D$30,'424'!$D$32,'424'!$D$34,'424'!$D$36,'424'!$D$38,'424'!$D$40,'424'!$D$42:$D$43,'424'!$D$45,'424'!$D$47:$D$48,'424'!$D$50</definedName>
    <definedName name="OSRRefD22x_0" localSheetId="89">'425'!$D$24:$D$31,'425'!$D$33:$D$37,'425'!$D$39,'425'!$D$41,'425'!$D$43,'425'!$D$45,'425'!$D$47,'425'!$D$49,'425'!$D$51,'425'!$D$53:$D$55,'425'!$D$57,'425'!$D$59:$D$60,'425'!$D$62:$D$66,'425'!$D$68,'425'!$D$70</definedName>
    <definedName name="OSRRefD22x_0" localSheetId="92">'430'!$D$20:$D$27,'430'!$D$29,'430'!$D$31,'430'!$D$33,'430'!$D$35:$D$36,'430'!$D$38,'430'!$D$40,'430'!$D$42</definedName>
    <definedName name="OSRRefD22x_0" localSheetId="93">'433'!$D$25:$D$33,'433'!$D$35:$D$40,'433'!$D$42,'433'!$D$44,'433'!$D$46,'433'!$D$48,'433'!$D$50,'433'!$D$52,'433'!$D$54,'433'!$D$56,'433'!$D$58,'433'!$D$60,'433'!$D$62:$D$64,'433'!$D$66:$D$72,'433'!$D$74,'433'!$D$76,'433'!$D$78</definedName>
    <definedName name="OSRRefD22x_0" localSheetId="94">'435'!$D$25:$D$27,'435'!$D$29:$D$30,'435'!$D$32,'435'!$D$34,'435'!$D$36,'435'!$D$38,'435'!$D$40:$D$41,'435'!$D$43</definedName>
    <definedName name="OSRRefD22x_0" localSheetId="95">'444'!$D$25:$D$33,'444'!$D$35:$D$40,'444'!$D$42,'444'!$D$44,'444'!$D$46,'444'!$D$48,'444'!$D$50,'444'!$D$52,'444'!$D$54,'444'!$D$56,'444'!$D$58,'444'!$D$60:$D$61,'444'!$D$63:$D$65,'444'!$D$67:$D$74,'444'!$D$76,'444'!$D$78,'444'!$D$80</definedName>
    <definedName name="OSRRefD22x_0" localSheetId="96">'450'!$D$25:$D$33,'450'!$D$35:$D$40,'450'!$D$42,'450'!$D$44,'450'!$D$46,'450'!$D$48,'450'!$D$50,'450'!$D$52,'450'!$D$54,'450'!$D$56,'450'!$D$58,'450'!$D$60,'450'!$D$62,'450'!$D$64:$D$66,'450'!$D$68:$D$73,'450'!$D$75,'450'!$D$77,'450'!$D$79</definedName>
    <definedName name="OSRRefD22x_0" localSheetId="90">'455'!$D$20:$D$26,'455'!$D$28:$D$29</definedName>
    <definedName name="OSRRefD22x_0" localSheetId="77">'491'!$D$31:$D$39,'491'!$D$41:$D$47,'491'!$D$49,'491'!$D$51,'491'!$D$53,'491'!$D$55:$D$57,'491'!$D$59,'491'!$D$61,'491'!$D$63,'491'!$D$65:$D$66,'491'!$D$68,'491'!$D$70,'491'!$D$72,'491'!$D$74,'491'!$D$76:$D$78,'491'!$D$80:$D$81,'491'!$D$83:$D$87,'491'!$D$89,'491'!$D$91:$D$99,'491'!$D$101,'491'!$D$103,'491'!$D$105:$D$107,'491'!$D$109</definedName>
    <definedName name="OSRRefD22x_0" localSheetId="91">'492'!$D$27:$D$35,'492'!$D$37:$D$43,'492'!$D$45,'492'!$D$47,'492'!$D$49,'492'!$D$51,'492'!$D$53,'492'!$D$55,'492'!$D$57,'492'!$D$59,'492'!$D$61,'492'!$D$63,'492'!$D$65:$D$67,'492'!$D$69:$D$71,'492'!$D$73:$D$80,'492'!$D$82,'492'!$D$84,'492'!$D$86</definedName>
    <definedName name="OSRRefD22x_0" localSheetId="98">'501'!$D$21:$D$29,'501'!$D$31:$D$35,'501'!$D$37,'501'!$D$39,'501'!$D$41,'501'!$D$43:$D$44,'501'!$D$46,'501'!$D$48,'501'!$D$50:$D$51,'501'!$D$53:$D$55,'501'!$D$57</definedName>
    <definedName name="OSRRefD22x_0" localSheetId="39">'Div 2'!$D$20:$D$30,'Div 2'!$D$32:$D$38,'Div 2'!$D$40,'Div 2'!$D$42,'Div 2'!$D$44,'Div 2'!$D$46,'Div 2'!$D$48,'Div 2'!$D$50,'Div 2'!$D$52,'Div 2'!$D$54:$D$55,'Div 2'!$D$57,'Div 2'!$D$59,'Div 2'!$D$61:$D$64,'Div 2'!$D$66:$D$68,'Div 2'!$D$70:$D$71,'Div 2'!$D$73,'Div 2'!$D$75:$D$79,'Div 2'!$D$81:$D$82,'Div 2'!$D$84,'Div 2'!$D$86:$D$87</definedName>
    <definedName name="OSRRefD22x_0" localSheetId="48">'Div 3'!$D$161:$D$170,'Div 3'!$D$172:$D$178,'Div 3'!$D$180,'Div 3'!$D$182,'Div 3'!$D$184,'Div 3'!$D$186:$D$187,'Div 3'!$D$189:$D$190,'Div 3'!$D$192,'Div 3'!$D$194,'Div 3'!$D$196,'Div 3'!$D$198:$D$199,'Div 3'!$D$201,'Div 3'!$D$203,'Div 3'!$D$205,'Div 3'!$D$207,'Div 3'!$D$209,'Div 3'!$D$211,'Div 3'!$D$213:$D$216,'Div 3'!$D$218:$D$220,'Div 3'!$D$222:$D$226,'Div 3'!$D$228:$D$229,'Div 3'!$D$231:$D$237,'Div 3'!$D$239:$D$240,'Div 3'!$D$242,'Div 3'!$D$244:$D$246,'Div 3'!$D$248</definedName>
    <definedName name="OSRRefD22x_0" localSheetId="75">'Div 4'!$D$32:$D$40,'Div 4'!$D$42:$D$48,'Div 4'!$D$50,'Div 4'!$D$52,'Div 4'!$D$54,'Div 4'!$D$56:$D$58,'Div 4'!$D$60,'Div 4'!$D$62,'Div 4'!$D$64,'Div 4'!$D$66,'Div 4'!$D$68:$D$69,'Div 4'!$D$71,'Div 4'!$D$73,'Div 4'!$D$75,'Div 4'!$D$77,'Div 4'!$D$79,'Div 4'!$D$81:$D$83,'Div 4'!$D$85:$D$86,'Div 4'!$D$88:$D$92,'Div 4'!$D$94,'Div 4'!$D$96:$D$104,'Div 4'!$D$106,'Div 4'!$D$108,'Div 4'!$D$110:$D$112,'Div 4'!$D$114</definedName>
    <definedName name="OSRRefD22x_0" localSheetId="97">'Div 5'!$D$21:$D$29,'Div 5'!$D$31:$D$35,'Div 5'!$D$37,'Div 5'!$D$39,'Div 5'!$D$41,'Div 5'!$D$43:$D$44,'Div 5'!$D$46,'Div 5'!$D$48,'Div 5'!$D$50:$D$51,'Div 5'!$D$53:$D$55,'Div 5'!$D$57</definedName>
    <definedName name="OSRRefD22x_0" localSheetId="65">'Div 6'!$D$57:$D$65,'Div 6'!$D$67:$D$71,'Div 6'!$D$73,'Div 6'!$D$75,'Div 6'!$D$77,'Div 6'!$D$79:$D$80,'Div 6'!$D$82,'Div 6'!$D$84,'Div 6'!$D$86,'Div 6'!$D$88:$D$90,'Div 6'!$D$92</definedName>
    <definedName name="OSRRefD22x_0" localSheetId="2">Summary!$D$192:$D$201,Summary!$D$203:$D$209,Summary!$D$211,Summary!$D$213,Summary!$D$215,Summary!$D$217:$D$219,Summary!$D$221:$D$222,Summary!$D$224,Summary!$D$226,Summary!$D$228,Summary!$D$230:$D$231,Summary!$D$233:$D$234,Summary!$D$236,Summary!$D$238,Summary!$D$240,Summary!$D$242,Summary!$D$244,Summary!$D$246,Summary!$D$248:$D$251,Summary!$D$253:$D$255,Summary!$D$257:$D$261,Summary!$D$263:$D$264,Summary!$D$266:$D$274,Summary!$D$276:$D$277,Summary!$D$279,Summary!$D$281:$D$283,Summary!$D$285</definedName>
    <definedName name="OSRRefD25x_0" localSheetId="49">'300'!$D$243:$D$250</definedName>
    <definedName name="OSRRefD25x_0" localSheetId="50">'300 &amp; 317'!$D$267:$D$276</definedName>
    <definedName name="OSRRefD25x_0" localSheetId="51">'301'!$D$94:$D$95</definedName>
    <definedName name="OSRRefD25x_0" localSheetId="56">'308'!$D$110:$D$112</definedName>
    <definedName name="OSRRefD25x_0" localSheetId="76">'310 &amp; 491'!$D$121:$D$123</definedName>
    <definedName name="OSRRefD25x_0" localSheetId="57">'311'!$D$109:$D$111</definedName>
    <definedName name="OSRRefD25x_0" localSheetId="60">'315'!$D$114:$D$115</definedName>
    <definedName name="OSRRefD25x_0" localSheetId="63">'316'!$D$72</definedName>
    <definedName name="OSRRefD25x_0" localSheetId="66">'317'!$D$95:$D$97</definedName>
    <definedName name="OSRRefD25x_0" localSheetId="64">'320'!$D$57:$D$60</definedName>
    <definedName name="OSRRefD25x_0" localSheetId="59">'331'!$D$143:$D$144</definedName>
    <definedName name="OSRRefD25x_0" localSheetId="62">'332'!$D$87:$D$91</definedName>
    <definedName name="OSRRefD25x_0" localSheetId="80">'411'!$D$82:$D$83</definedName>
    <definedName name="OSRRefD25x_0" localSheetId="83">'413'!$D$63</definedName>
    <definedName name="OSRRefD25x_0" localSheetId="86">'418'!$D$78</definedName>
    <definedName name="OSRRefD25x_0" localSheetId="87">'423'!$D$41</definedName>
    <definedName name="OSRRefD25x_0" localSheetId="88">'424'!$D$53</definedName>
    <definedName name="OSRRefD25x_0" localSheetId="89">'425'!$D$73</definedName>
    <definedName name="OSRRefD25x_0" localSheetId="90">'455'!$D$32:$D$33</definedName>
    <definedName name="OSRRefD25x_0" localSheetId="77">'491'!$D$112:$D$114</definedName>
    <definedName name="OSRRefD25x_0" localSheetId="98">'501'!$D$60</definedName>
    <definedName name="OSRRefD25x_0" localSheetId="48">'Div 3'!$D$251:$D$258</definedName>
    <definedName name="OSRRefD25x_0" localSheetId="75">'Div 4'!$D$117:$D$119</definedName>
    <definedName name="OSRRefD25x_0" localSheetId="97">'Div 5'!$D$60</definedName>
    <definedName name="OSRRefD25x_0" localSheetId="65">'Div 6'!$D$95:$D$97</definedName>
    <definedName name="OSRRefD25x_0" localSheetId="2">Summary!$D$288:$D$298</definedName>
    <definedName name="OSRRefH13x_0" localSheetId="49">'300'!$H$13:$H$101</definedName>
    <definedName name="OSRRefH13x_0" localSheetId="50">'300 &amp; 317'!$H$13:$H$118</definedName>
    <definedName name="OSRRefH13x_0" localSheetId="54">'307'!$H$13:$H$40</definedName>
    <definedName name="OSRRefH13x_0" localSheetId="56">'308'!$H$13:$H$39</definedName>
    <definedName name="OSRRefH13x_0" localSheetId="68">'309'!$H$13:$H$14</definedName>
    <definedName name="OSRRefH13x_0" localSheetId="67">'310'!$H$13:$H$20</definedName>
    <definedName name="OSRRefH13x_0" localSheetId="76">'310 &amp; 491'!$H$13:$H$27</definedName>
    <definedName name="OSRRefH13x_0" localSheetId="57">'311'!$H$13:$H$38</definedName>
    <definedName name="OSRRefH13x_0" localSheetId="69">'313'!$H$13:$H$17</definedName>
    <definedName name="OSRRefH13x_0" localSheetId="55">'314'!$H$13:$H$31</definedName>
    <definedName name="OSRRefH13x_0" localSheetId="60">'315'!$H$13:$H$48</definedName>
    <definedName name="OSRRefH13x_0" localSheetId="63">'316'!$H$13:$H$24</definedName>
    <definedName name="OSRRefH13x_0" localSheetId="66">'317'!$H$13:$H$36</definedName>
    <definedName name="OSRRefH13x_0" localSheetId="64">'320'!$H$13:$H$15</definedName>
    <definedName name="OSRRefH13x_0" localSheetId="70">'321'!$H$13:$H$14</definedName>
    <definedName name="OSRRefH13x_0" localSheetId="71">'322'!$H$13:$H$14</definedName>
    <definedName name="OSRRefH13x_0" localSheetId="58">'324'!$H$13:$H$15</definedName>
    <definedName name="OSRRefH13x_0" localSheetId="72">'325'!$H$13:$H$14</definedName>
    <definedName name="OSRRefH13x_0" localSheetId="61">'326'!$H$13:$H$36</definedName>
    <definedName name="OSRRefH13x_0" localSheetId="73">'327'!$H$13</definedName>
    <definedName name="OSRRefH13x_0" localSheetId="53">'330'!$H$13:$H$45</definedName>
    <definedName name="OSRRefH13x_0" localSheetId="59">'331'!$H$13:$H$51</definedName>
    <definedName name="OSRRefH13x_0" localSheetId="62">'332'!$H$13:$H$27</definedName>
    <definedName name="OSRRefH13x_0" localSheetId="78">'405'!$H$13:$H$14</definedName>
    <definedName name="OSRRefH13x_0" localSheetId="79">'406'!$H$13:$H$14</definedName>
    <definedName name="OSRRefH13x_0" localSheetId="81">'412'!$H$13:$H$14</definedName>
    <definedName name="OSRRefH13x_0" localSheetId="83">'413'!$H$13:$H$14</definedName>
    <definedName name="OSRRefH13x_0" localSheetId="84">'414'!$H$13:$H$14</definedName>
    <definedName name="OSRRefH13x_0" localSheetId="85">'415'!$H$13:$H$14</definedName>
    <definedName name="OSRRefH13x_0" localSheetId="86">'418'!$H$13:$H$14</definedName>
    <definedName name="OSRRefH13x_0" localSheetId="88">'424'!$H$13</definedName>
    <definedName name="OSRRefH13x_0" localSheetId="89">'425'!$H$13:$H$14</definedName>
    <definedName name="OSRRefH13x_0" localSheetId="93">'433'!$H$13:$H$15</definedName>
    <definedName name="OSRRefH13x_0" localSheetId="94">'435'!$H$13:$H$15</definedName>
    <definedName name="OSRRefH13x_0" localSheetId="95">'444'!$H$13:$H$15</definedName>
    <definedName name="OSRRefH13x_0" localSheetId="96">'450'!$H$13:$H$15</definedName>
    <definedName name="OSRRefH13x_0" localSheetId="77">'491'!$H$13:$H$21</definedName>
    <definedName name="OSRRefH13x_0" localSheetId="91">'492'!$H$13:$H$17</definedName>
    <definedName name="OSRRefH13x_0" localSheetId="98">'501'!$H$13</definedName>
    <definedName name="OSRRefH13x_0" localSheetId="48">'Div 3'!$H$13:$H$104</definedName>
    <definedName name="OSRRefH13x_0" localSheetId="75">'Div 4'!$H$13:$H$22</definedName>
    <definedName name="OSRRefH13x_0" localSheetId="97">'Div 5'!$H$13</definedName>
    <definedName name="OSRRefH13x_0" localSheetId="65">'Div 6'!$H$13:$H$36</definedName>
    <definedName name="OSRRefH13x_0" localSheetId="2">Summary!$H$13:$H$128</definedName>
    <definedName name="OSRRefH16x_0" localSheetId="49">'300'!$H$104:$H$150</definedName>
    <definedName name="OSRRefH16x_0" localSheetId="50">'300 &amp; 317'!$H$121:$H$174</definedName>
    <definedName name="OSRRefH16x_0" localSheetId="54">'307'!$H$43:$H$59</definedName>
    <definedName name="OSRRefH16x_0" localSheetId="56">'308'!$H$42:$H$54</definedName>
    <definedName name="OSRRefH16x_0" localSheetId="68">'309'!$H$17:$H$18</definedName>
    <definedName name="OSRRefH16x_0" localSheetId="67">'310'!$H$23:$H$24</definedName>
    <definedName name="OSRRefH16x_0" localSheetId="76">'310 &amp; 491'!$H$30:$H$31</definedName>
    <definedName name="OSRRefH16x_0" localSheetId="57">'311'!$H$41:$H$53</definedName>
    <definedName name="OSRRefH16x_0" localSheetId="69">'313'!$H$20:$H$21</definedName>
    <definedName name="OSRRefH16x_0" localSheetId="55">'314'!$H$34:$H$47</definedName>
    <definedName name="OSRRefH16x_0" localSheetId="60">'315'!$H$51:$H$67</definedName>
    <definedName name="OSRRefH16x_0" localSheetId="66">'317'!$H$39:$H$51</definedName>
    <definedName name="OSRRefH16x_0" localSheetId="64">'320'!$H$18:$H$22</definedName>
    <definedName name="OSRRefH16x_0" localSheetId="70">'321'!$H$17:$H$18</definedName>
    <definedName name="OSRRefH16x_0" localSheetId="71">'322'!$H$17:$H$18</definedName>
    <definedName name="OSRRefH16x_0" localSheetId="58">'324'!$H$18:$H$19</definedName>
    <definedName name="OSRRefH16x_0" localSheetId="72">'325'!$H$17:$H$18</definedName>
    <definedName name="OSRRefH16x_0" localSheetId="61">'326'!$H$39:$H$51</definedName>
    <definedName name="OSRRefH16x_0" localSheetId="73">'327'!$H$16</definedName>
    <definedName name="OSRRefH16x_0" localSheetId="53">'330'!$H$48:$H$68</definedName>
    <definedName name="OSRRefH16x_0" localSheetId="59">'331'!$H$54:$H$75</definedName>
    <definedName name="OSRRefH16x_0" localSheetId="62">'332'!$H$30:$H$34</definedName>
    <definedName name="OSRRefH16x_0" localSheetId="78">'405'!$H$17:$H$18</definedName>
    <definedName name="OSRRefH16x_0" localSheetId="79">'406'!$H$17:$H$18</definedName>
    <definedName name="OSRRefH16x_0" localSheetId="81">'412'!$H$17</definedName>
    <definedName name="OSRRefH16x_0" localSheetId="83">'413'!$H$17:$H$18</definedName>
    <definedName name="OSRRefH16x_0" localSheetId="84">'414'!$H$17:$H$18</definedName>
    <definedName name="OSRRefH16x_0" localSheetId="85">'415'!$H$17:$H$18</definedName>
    <definedName name="OSRRefH16x_0" localSheetId="86">'418'!$H$17:$H$18</definedName>
    <definedName name="OSRRefH16x_0" localSheetId="87">'423'!$H$15</definedName>
    <definedName name="OSRRefH16x_0" localSheetId="88">'424'!$H$16:$H$17</definedName>
    <definedName name="OSRRefH16x_0" localSheetId="89">'425'!$H$17:$H$18</definedName>
    <definedName name="OSRRefH16x_0" localSheetId="93">'433'!$H$18:$H$19</definedName>
    <definedName name="OSRRefH16x_0" localSheetId="94">'435'!$H$18:$H$19</definedName>
    <definedName name="OSRRefH16x_0" localSheetId="95">'444'!$H$18:$H$19</definedName>
    <definedName name="OSRRefH16x_0" localSheetId="96">'450'!$H$18:$H$19</definedName>
    <definedName name="OSRRefH16x_0" localSheetId="77">'491'!$H$24:$H$25</definedName>
    <definedName name="OSRRefH16x_0" localSheetId="91">'492'!$H$20:$H$21</definedName>
    <definedName name="OSRRefH16x_0" localSheetId="48">'Div 3'!$H$107:$H$155</definedName>
    <definedName name="OSRRefH16x_0" localSheetId="75">'Div 4'!$H$25:$H$26</definedName>
    <definedName name="OSRRefH16x_0" localSheetId="65">'Div 6'!$H$39:$H$51</definedName>
    <definedName name="OSRRefH16x_0" localSheetId="2">Summary!$H$131:$H$186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'203'!$H$20:$H$29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9">'300'!$H$156:$H$165</definedName>
    <definedName name="OSRRefH22_0x_0" localSheetId="50">'300 &amp; 317'!$H$180:$H$189</definedName>
    <definedName name="OSRRefH22_0x_0" localSheetId="51">'301'!$H$20:$H$28</definedName>
    <definedName name="OSRRefH22_0x_0" localSheetId="52">'306'!$H$20:$H$28</definedName>
    <definedName name="OSRRefH22_0x_0" localSheetId="54">'307'!$H$65:$H$72</definedName>
    <definedName name="OSRRefH22_0x_0" localSheetId="56">'308'!$H$60:$H$68</definedName>
    <definedName name="OSRRefH22_0x_0" localSheetId="68">'309'!$H$24:$H$31</definedName>
    <definedName name="OSRRefH22_0x_0" localSheetId="67">'310'!$H$30:$H$37</definedName>
    <definedName name="OSRRefH22_0x_0" localSheetId="76">'310 &amp; 491'!$H$37:$H$45</definedName>
    <definedName name="OSRRefH22_0x_0" localSheetId="57">'311'!$H$59:$H$67</definedName>
    <definedName name="OSRRefH22_0x_0" localSheetId="69">'313'!$H$27:$H$34</definedName>
    <definedName name="OSRRefH22_0x_0" localSheetId="55">'314'!$H$53:$H$59</definedName>
    <definedName name="OSRRefH22_0x_0" localSheetId="60">'315'!$H$73:$H$80</definedName>
    <definedName name="OSRRefH22_0x_0" localSheetId="63">'316'!$H$32:$H$39</definedName>
    <definedName name="OSRRefH22_0x_0" localSheetId="66">'317'!$H$57:$H$65</definedName>
    <definedName name="OSRRefH22_0x_0" localSheetId="64">'320'!$H$28:$H$34</definedName>
    <definedName name="OSRRefH22_0x_0" localSheetId="70">'321'!$H$24:$H$31</definedName>
    <definedName name="OSRRefH22_0x_0" localSheetId="71">'322'!$H$24:$H$31</definedName>
    <definedName name="OSRRefH22_0x_0" localSheetId="72">'325'!$H$24:$H$31</definedName>
    <definedName name="OSRRefH22_0x_0" localSheetId="61">'326'!$H$57:$H$64</definedName>
    <definedName name="OSRRefH22_0x_0" localSheetId="73">'327'!$H$22</definedName>
    <definedName name="OSRRefH22_0x_0" localSheetId="53">'330'!$H$74:$H$81</definedName>
    <definedName name="OSRRefH22_0x_0" localSheetId="59">'331'!$H$81:$H$88</definedName>
    <definedName name="OSRRefH22_0x_0" localSheetId="62">'332'!$H$40:$H$47</definedName>
    <definedName name="OSRRefH22_0x_0" localSheetId="78">'405'!$H$24:$H$31</definedName>
    <definedName name="OSRRefH22_0x_0" localSheetId="79">'406'!$H$24:$H$31</definedName>
    <definedName name="OSRRefH22_0x_0" localSheetId="80">'411'!$H$20:$H$28</definedName>
    <definedName name="OSRRefH22_0x_0" localSheetId="81">'412'!$H$23:$H$30</definedName>
    <definedName name="OSRRefH22_0x_0" localSheetId="83">'413'!$H$24:$H$31</definedName>
    <definedName name="OSRRefH22_0x_0" localSheetId="84">'414'!$H$24:$H$30</definedName>
    <definedName name="OSRRefH22_0x_0" localSheetId="85">'415'!$H$24:$H$31</definedName>
    <definedName name="OSRRefH22_0x_0" localSheetId="86">'418'!$H$24:$H$31</definedName>
    <definedName name="OSRRefH22_0x_0" localSheetId="82">'420'!$H$20:$H$21</definedName>
    <definedName name="OSRRefH22_0x_0" localSheetId="87">'423'!$H$21:$H$28</definedName>
    <definedName name="OSRRefH22_0x_0" localSheetId="88">'424'!$H$23</definedName>
    <definedName name="OSRRefH22_0x_0" localSheetId="89">'425'!$H$24:$H$31</definedName>
    <definedName name="OSRRefH22_0x_0" localSheetId="92">'430'!$H$20:$H$27</definedName>
    <definedName name="OSRRefH22_0x_0" localSheetId="93">'433'!$H$25:$H$33</definedName>
    <definedName name="OSRRefH22_0x_0" localSheetId="94">'435'!$H$25:$H$27</definedName>
    <definedName name="OSRRefH22_0x_0" localSheetId="95">'444'!$H$25:$H$33</definedName>
    <definedName name="OSRRefH22_0x_0" localSheetId="96">'450'!$H$25:$H$33</definedName>
    <definedName name="OSRRefH22_0x_0" localSheetId="90">'455'!$H$20:$H$26</definedName>
    <definedName name="OSRRefH22_0x_0" localSheetId="77">'491'!$H$31:$H$39</definedName>
    <definedName name="OSRRefH22_0x_0" localSheetId="91">'492'!$H$27:$H$35</definedName>
    <definedName name="OSRRefH22_0x_0" localSheetId="98">'501'!$H$21:$H$29</definedName>
    <definedName name="OSRRefH22_0x_0" localSheetId="39">'Div 2'!$H$20:$H$30</definedName>
    <definedName name="OSRRefH22_0x_0" localSheetId="48">'Div 3'!$H$161:$H$170</definedName>
    <definedName name="OSRRefH22_0x_0" localSheetId="75">'Div 4'!$H$32:$H$40</definedName>
    <definedName name="OSRRefH22_0x_0" localSheetId="97">'Div 5'!$H$21:$H$29</definedName>
    <definedName name="OSRRefH22_0x_0" localSheetId="65">'Div 6'!$H$57:$H$65</definedName>
    <definedName name="OSRRefH22_0x_0" localSheetId="2">Summary!$H$192:$H$201</definedName>
    <definedName name="OSRRefH22_10x_0" localSheetId="41">'201'!$H$51:$H$53</definedName>
    <definedName name="OSRRefH22_10x_0" localSheetId="42">'202'!$H$52:$H$54</definedName>
    <definedName name="OSRRefH22_10x_0" localSheetId="43">'203'!$H$53:$H$54</definedName>
    <definedName name="OSRRefH22_10x_0" localSheetId="49">'300'!$H$193:$H$194</definedName>
    <definedName name="OSRRefH22_10x_0" localSheetId="50">'300 &amp; 317'!$H$217:$H$218</definedName>
    <definedName name="OSRRefH22_10x_0" localSheetId="51">'301'!$H$56</definedName>
    <definedName name="OSRRefH22_10x_0" localSheetId="54">'307'!$H$100</definedName>
    <definedName name="OSRRefH22_10x_0" localSheetId="56">'308'!$H$96</definedName>
    <definedName name="OSRRefH22_10x_0" localSheetId="68">'309'!$H$58</definedName>
    <definedName name="OSRRefH22_10x_0" localSheetId="67">'310'!$H$63</definedName>
    <definedName name="OSRRefH22_10x_0" localSheetId="76">'310 &amp; 491'!$H$74:$H$75</definedName>
    <definedName name="OSRRefH22_10x_0" localSheetId="57">'311'!$H$95</definedName>
    <definedName name="OSRRefH22_10x_0" localSheetId="69">'313'!$H$60:$H$64</definedName>
    <definedName name="OSRRefH22_10x_0" localSheetId="60">'315'!$H$109</definedName>
    <definedName name="OSRRefH22_10x_0" localSheetId="63">'316'!$H$67</definedName>
    <definedName name="OSRRefH22_10x_0" localSheetId="66">'317'!$H$92</definedName>
    <definedName name="OSRRefH22_10x_0" localSheetId="70">'321'!$H$62</definedName>
    <definedName name="OSRRefH22_10x_0" localSheetId="71">'322'!$H$57:$H$61</definedName>
    <definedName name="OSRRefH22_10x_0" localSheetId="72">'325'!$H$56:$H$58</definedName>
    <definedName name="OSRRefH22_10x_0" localSheetId="61">'326'!$H$88</definedName>
    <definedName name="OSRRefH22_10x_0" localSheetId="53">'330'!$H$107:$H$109</definedName>
    <definedName name="OSRRefH22_10x_0" localSheetId="59">'331'!$H$113</definedName>
    <definedName name="OSRRefH22_10x_0" localSheetId="62">'332'!$H$71</definedName>
    <definedName name="OSRRefH22_10x_0" localSheetId="78">'405'!$H$56</definedName>
    <definedName name="OSRRefH22_10x_0" localSheetId="79">'406'!$H$57:$H$61</definedName>
    <definedName name="OSRRefH22_10x_0" localSheetId="80">'411'!$H$55:$H$56</definedName>
    <definedName name="OSRRefH22_10x_0" localSheetId="81">'412'!$H$57:$H$61</definedName>
    <definedName name="OSRRefH22_10x_0" localSheetId="83">'413'!$H$60</definedName>
    <definedName name="OSRRefH22_10x_0" localSheetId="84">'414'!$H$54</definedName>
    <definedName name="OSRRefH22_10x_0" localSheetId="85">'415'!$H$56</definedName>
    <definedName name="OSRRefH22_10x_0" localSheetId="86">'418'!$H$60:$H$62</definedName>
    <definedName name="OSRRefH22_10x_0" localSheetId="88">'424'!$H$47:$H$48</definedName>
    <definedName name="OSRRefH22_10x_0" localSheetId="89">'425'!$H$57</definedName>
    <definedName name="OSRRefH22_10x_0" localSheetId="93">'433'!$H$58</definedName>
    <definedName name="OSRRefH22_10x_0" localSheetId="95">'444'!$H$58</definedName>
    <definedName name="OSRRefH22_10x_0" localSheetId="96">'450'!$H$58</definedName>
    <definedName name="OSRRefH22_10x_0" localSheetId="77">'491'!$H$68</definedName>
    <definedName name="OSRRefH22_10x_0" localSheetId="91">'492'!$H$61</definedName>
    <definedName name="OSRRefH22_10x_0" localSheetId="98">'501'!$H$57</definedName>
    <definedName name="OSRRefH22_10x_0" localSheetId="39">'Div 2'!$H$57</definedName>
    <definedName name="OSRRefH22_10x_0" localSheetId="48">'Div 3'!$H$198:$H$199</definedName>
    <definedName name="OSRRefH22_10x_0" localSheetId="75">'Div 4'!$H$68:$H$69</definedName>
    <definedName name="OSRRefH22_10x_0" localSheetId="97">'Div 5'!$H$57</definedName>
    <definedName name="OSRRefH22_10x_0" localSheetId="65">'Div 6'!$H$92</definedName>
    <definedName name="OSRRefH22_10x_0" localSheetId="2">Summary!$H$230:$H$231</definedName>
    <definedName name="OSRRefH22_11x_0" localSheetId="41">'201'!$H$55</definedName>
    <definedName name="OSRRefH22_11x_0" localSheetId="42">'202'!$H$56</definedName>
    <definedName name="OSRRefH22_11x_0" localSheetId="43">'203'!$H$56</definedName>
    <definedName name="OSRRefH22_11x_0" localSheetId="49">'300'!$H$196</definedName>
    <definedName name="OSRRefH22_11x_0" localSheetId="50">'300 &amp; 317'!$H$220</definedName>
    <definedName name="OSRRefH22_11x_0" localSheetId="51">'301'!$H$58</definedName>
    <definedName name="OSRRefH22_11x_0" localSheetId="56">'308'!$H$98:$H$100</definedName>
    <definedName name="OSRRefH22_11x_0" localSheetId="67">'310'!$H$65</definedName>
    <definedName name="OSRRefH22_11x_0" localSheetId="76">'310 &amp; 491'!$H$77</definedName>
    <definedName name="OSRRefH22_11x_0" localSheetId="57">'311'!$H$97:$H$99</definedName>
    <definedName name="OSRRefH22_11x_0" localSheetId="69">'313'!$H$66</definedName>
    <definedName name="OSRRefH22_11x_0" localSheetId="60">'315'!$H$111</definedName>
    <definedName name="OSRRefH22_11x_0" localSheetId="63">'316'!$H$69</definedName>
    <definedName name="OSRRefH22_11x_0" localSheetId="70">'321'!$H$64</definedName>
    <definedName name="OSRRefH22_11x_0" localSheetId="71">'322'!$H$63</definedName>
    <definedName name="OSRRefH22_11x_0" localSheetId="72">'325'!$H$60:$H$62</definedName>
    <definedName name="OSRRefH22_11x_0" localSheetId="61">'326'!$H$90</definedName>
    <definedName name="OSRRefH22_11x_0" localSheetId="53">'330'!$H$111</definedName>
    <definedName name="OSRRefH22_11x_0" localSheetId="59">'331'!$H$115</definedName>
    <definedName name="OSRRefH22_11x_0" localSheetId="62">'332'!$H$73:$H$78</definedName>
    <definedName name="OSRRefH22_11x_0" localSheetId="78">'405'!$H$58:$H$60</definedName>
    <definedName name="OSRRefH22_11x_0" localSheetId="79">'406'!$H$63</definedName>
    <definedName name="OSRRefH22_11x_0" localSheetId="80">'411'!$H$58:$H$62</definedName>
    <definedName name="OSRRefH22_11x_0" localSheetId="81">'412'!$H$63</definedName>
    <definedName name="OSRRefH22_11x_0" localSheetId="84">'414'!$H$56</definedName>
    <definedName name="OSRRefH22_11x_0" localSheetId="85">'415'!$H$58:$H$60</definedName>
    <definedName name="OSRRefH22_11x_0" localSheetId="86">'418'!$H$64</definedName>
    <definedName name="OSRRefH22_11x_0" localSheetId="88">'424'!$H$50</definedName>
    <definedName name="OSRRefH22_11x_0" localSheetId="89">'425'!$H$59:$H$60</definedName>
    <definedName name="OSRRefH22_11x_0" localSheetId="93">'433'!$H$60</definedName>
    <definedName name="OSRRefH22_11x_0" localSheetId="95">'444'!$H$60:$H$61</definedName>
    <definedName name="OSRRefH22_11x_0" localSheetId="96">'450'!$H$60</definedName>
    <definedName name="OSRRefH22_11x_0" localSheetId="77">'491'!$H$70</definedName>
    <definedName name="OSRRefH22_11x_0" localSheetId="91">'492'!$H$63</definedName>
    <definedName name="OSRRefH22_11x_0" localSheetId="39">'Div 2'!$H$59</definedName>
    <definedName name="OSRRefH22_11x_0" localSheetId="48">'Div 3'!$H$201</definedName>
    <definedName name="OSRRefH22_11x_0" localSheetId="75">'Div 4'!$H$71</definedName>
    <definedName name="OSRRefH22_11x_0" localSheetId="2">Summary!$H$233:$H$234</definedName>
    <definedName name="OSRRefH22_12x_0" localSheetId="41">'201'!$H$57:$H$60</definedName>
    <definedName name="OSRRefH22_12x_0" localSheetId="42">'202'!$H$58</definedName>
    <definedName name="OSRRefH22_12x_0" localSheetId="43">'203'!$H$58:$H$61</definedName>
    <definedName name="OSRRefH22_12x_0" localSheetId="49">'300'!$H$198</definedName>
    <definedName name="OSRRefH22_12x_0" localSheetId="50">'300 &amp; 317'!$H$222</definedName>
    <definedName name="OSRRefH22_12x_0" localSheetId="51">'301'!$H$60</definedName>
    <definedName name="OSRRefH22_12x_0" localSheetId="56">'308'!$H$102:$H$103</definedName>
    <definedName name="OSRRefH22_12x_0" localSheetId="67">'310'!$H$67</definedName>
    <definedName name="OSRRefH22_12x_0" localSheetId="76">'310 &amp; 491'!$H$79</definedName>
    <definedName name="OSRRefH22_12x_0" localSheetId="57">'311'!$H$101:$H$102</definedName>
    <definedName name="OSRRefH22_12x_0" localSheetId="69">'313'!$H$68</definedName>
    <definedName name="OSRRefH22_12x_0" localSheetId="71">'322'!$H$65</definedName>
    <definedName name="OSRRefH22_12x_0" localSheetId="72">'325'!$H$64</definedName>
    <definedName name="OSRRefH22_12x_0" localSheetId="61">'326'!$H$92:$H$94</definedName>
    <definedName name="OSRRefH22_12x_0" localSheetId="59">'331'!$H$117</definedName>
    <definedName name="OSRRefH22_12x_0" localSheetId="62">'332'!$H$80</definedName>
    <definedName name="OSRRefH22_12x_0" localSheetId="78">'405'!$H$62</definedName>
    <definedName name="OSRRefH22_12x_0" localSheetId="79">'406'!$H$65</definedName>
    <definedName name="OSRRefH22_12x_0" localSheetId="80">'411'!$H$64:$H$69</definedName>
    <definedName name="OSRRefH22_12x_0" localSheetId="81">'412'!$H$65</definedName>
    <definedName name="OSRRefH22_12x_0" localSheetId="84">'414'!$H$58:$H$64</definedName>
    <definedName name="OSRRefH22_12x_0" localSheetId="85">'415'!$H$62:$H$66</definedName>
    <definedName name="OSRRefH22_12x_0" localSheetId="86">'418'!$H$66:$H$71</definedName>
    <definedName name="OSRRefH22_12x_0" localSheetId="89">'425'!$H$62:$H$66</definedName>
    <definedName name="OSRRefH22_12x_0" localSheetId="93">'433'!$H$62:$H$64</definedName>
    <definedName name="OSRRefH22_12x_0" localSheetId="95">'444'!$H$63:$H$65</definedName>
    <definedName name="OSRRefH22_12x_0" localSheetId="96">'450'!$H$62</definedName>
    <definedName name="OSRRefH22_12x_0" localSheetId="77">'491'!$H$72</definedName>
    <definedName name="OSRRefH22_12x_0" localSheetId="91">'492'!$H$65:$H$67</definedName>
    <definedName name="OSRRefH22_12x_0" localSheetId="39">'Div 2'!$H$61:$H$64</definedName>
    <definedName name="OSRRefH22_12x_0" localSheetId="48">'Div 3'!$H$203</definedName>
    <definedName name="OSRRefH22_12x_0" localSheetId="75">'Div 4'!$H$73</definedName>
    <definedName name="OSRRefH22_12x_0" localSheetId="2">Summary!$H$236</definedName>
    <definedName name="OSRRefH22_13x_0" localSheetId="41">'201'!$H$62</definedName>
    <definedName name="OSRRefH22_13x_0" localSheetId="42">'202'!$H$60</definedName>
    <definedName name="OSRRefH22_13x_0" localSheetId="43">'203'!$H$63</definedName>
    <definedName name="OSRRefH22_13x_0" localSheetId="49">'300'!$H$200</definedName>
    <definedName name="OSRRefH22_13x_0" localSheetId="50">'300 &amp; 317'!$H$224</definedName>
    <definedName name="OSRRefH22_13x_0" localSheetId="51">'301'!$H$62</definedName>
    <definedName name="OSRRefH22_13x_0" localSheetId="56">'308'!$H$105</definedName>
    <definedName name="OSRRefH22_13x_0" localSheetId="67">'310'!$H$69:$H$71</definedName>
    <definedName name="OSRRefH22_13x_0" localSheetId="76">'310 &amp; 491'!$H$81</definedName>
    <definedName name="OSRRefH22_13x_0" localSheetId="57">'311'!$H$104</definedName>
    <definedName name="OSRRefH22_13x_0" localSheetId="72">'325'!$H$66:$H$70</definedName>
    <definedName name="OSRRefH22_13x_0" localSheetId="61">'326'!$H$96</definedName>
    <definedName name="OSRRefH22_13x_0" localSheetId="59">'331'!$H$119:$H$120</definedName>
    <definedName name="OSRRefH22_13x_0" localSheetId="62">'332'!$H$82</definedName>
    <definedName name="OSRRefH22_13x_0" localSheetId="78">'405'!$H$64:$H$70</definedName>
    <definedName name="OSRRefH22_13x_0" localSheetId="80">'411'!$H$71</definedName>
    <definedName name="OSRRefH22_13x_0" localSheetId="84">'414'!$H$66</definedName>
    <definedName name="OSRRefH22_13x_0" localSheetId="85">'415'!$H$68</definedName>
    <definedName name="OSRRefH22_13x_0" localSheetId="86">'418'!$H$73</definedName>
    <definedName name="OSRRefH22_13x_0" localSheetId="89">'425'!$H$68</definedName>
    <definedName name="OSRRefH22_13x_0" localSheetId="93">'433'!$H$66:$H$72</definedName>
    <definedName name="OSRRefH22_13x_0" localSheetId="95">'444'!$H$67:$H$74</definedName>
    <definedName name="OSRRefH22_13x_0" localSheetId="96">'450'!$H$64:$H$66</definedName>
    <definedName name="OSRRefH22_13x_0" localSheetId="77">'491'!$H$74</definedName>
    <definedName name="OSRRefH22_13x_0" localSheetId="91">'492'!$H$69:$H$71</definedName>
    <definedName name="OSRRefH22_13x_0" localSheetId="39">'Div 2'!$H$66:$H$68</definedName>
    <definedName name="OSRRefH22_13x_0" localSheetId="48">'Div 3'!$H$205</definedName>
    <definedName name="OSRRefH22_13x_0" localSheetId="75">'Div 4'!$H$75</definedName>
    <definedName name="OSRRefH22_13x_0" localSheetId="2">Summary!$H$238</definedName>
    <definedName name="OSRRefH22_14x_0" localSheetId="41">'201'!$H$64</definedName>
    <definedName name="OSRRefH22_14x_0" localSheetId="43">'203'!$H$65</definedName>
    <definedName name="OSRRefH22_14x_0" localSheetId="49">'300'!$H$202</definedName>
    <definedName name="OSRRefH22_14x_0" localSheetId="50">'300 &amp; 317'!$H$226</definedName>
    <definedName name="OSRRefH22_14x_0" localSheetId="51">'301'!$H$64</definedName>
    <definedName name="OSRRefH22_14x_0" localSheetId="56">'308'!$H$107</definedName>
    <definedName name="OSRRefH22_14x_0" localSheetId="67">'310'!$H$73</definedName>
    <definedName name="OSRRefH22_14x_0" localSheetId="76">'310 &amp; 491'!$H$83</definedName>
    <definedName name="OSRRefH22_14x_0" localSheetId="57">'311'!$H$106</definedName>
    <definedName name="OSRRefH22_14x_0" localSheetId="72">'325'!$H$72</definedName>
    <definedName name="OSRRefH22_14x_0" localSheetId="61">'326'!$H$98:$H$100</definedName>
    <definedName name="OSRRefH22_14x_0" localSheetId="59">'331'!$H$122:$H$124</definedName>
    <definedName name="OSRRefH22_14x_0" localSheetId="62">'332'!$H$84</definedName>
    <definedName name="OSRRefH22_14x_0" localSheetId="78">'405'!$H$72</definedName>
    <definedName name="OSRRefH22_14x_0" localSheetId="80">'411'!$H$73</definedName>
    <definedName name="OSRRefH22_14x_0" localSheetId="84">'414'!$H$68</definedName>
    <definedName name="OSRRefH22_14x_0" localSheetId="85">'415'!$H$70:$H$76</definedName>
    <definedName name="OSRRefH22_14x_0" localSheetId="86">'418'!$H$75</definedName>
    <definedName name="OSRRefH22_14x_0" localSheetId="89">'425'!$H$70</definedName>
    <definedName name="OSRRefH22_14x_0" localSheetId="93">'433'!$H$74</definedName>
    <definedName name="OSRRefH22_14x_0" localSheetId="95">'444'!$H$76</definedName>
    <definedName name="OSRRefH22_14x_0" localSheetId="96">'450'!$H$68:$H$73</definedName>
    <definedName name="OSRRefH22_14x_0" localSheetId="77">'491'!$H$76:$H$78</definedName>
    <definedName name="OSRRefH22_14x_0" localSheetId="91">'492'!$H$73:$H$80</definedName>
    <definedName name="OSRRefH22_14x_0" localSheetId="39">'Div 2'!$H$70:$H$71</definedName>
    <definedName name="OSRRefH22_14x_0" localSheetId="48">'Div 3'!$H$207</definedName>
    <definedName name="OSRRefH22_14x_0" localSheetId="75">'Div 4'!$H$77</definedName>
    <definedName name="OSRRefH22_14x_0" localSheetId="2">Summary!$H$240</definedName>
    <definedName name="OSRRefH22_15x_0" localSheetId="43">'203'!$H$67</definedName>
    <definedName name="OSRRefH22_15x_0" localSheetId="49">'300'!$H$204</definedName>
    <definedName name="OSRRefH22_15x_0" localSheetId="50">'300 &amp; 317'!$H$228</definedName>
    <definedName name="OSRRefH22_15x_0" localSheetId="51">'301'!$H$66:$H$69</definedName>
    <definedName name="OSRRefH22_15x_0" localSheetId="67">'310'!$H$75:$H$78</definedName>
    <definedName name="OSRRefH22_15x_0" localSheetId="76">'310 &amp; 491'!$H$85:$H$87</definedName>
    <definedName name="OSRRefH22_15x_0" localSheetId="72">'325'!$H$74</definedName>
    <definedName name="OSRRefH22_15x_0" localSheetId="61">'326'!$H$102</definedName>
    <definedName name="OSRRefH22_15x_0" localSheetId="59">'331'!$H$126</definedName>
    <definedName name="OSRRefH22_15x_0" localSheetId="78">'405'!$H$74</definedName>
    <definedName name="OSRRefH22_15x_0" localSheetId="80">'411'!$H$75:$H$77</definedName>
    <definedName name="OSRRefH22_15x_0" localSheetId="85">'415'!$H$78</definedName>
    <definedName name="OSRRefH22_15x_0" localSheetId="93">'433'!$H$76</definedName>
    <definedName name="OSRRefH22_15x_0" localSheetId="95">'444'!$H$78</definedName>
    <definedName name="OSRRefH22_15x_0" localSheetId="96">'450'!$H$75</definedName>
    <definedName name="OSRRefH22_15x_0" localSheetId="77">'491'!$H$80:$H$81</definedName>
    <definedName name="OSRRefH22_15x_0" localSheetId="91">'492'!$H$82</definedName>
    <definedName name="OSRRefH22_15x_0" localSheetId="39">'Div 2'!$H$73</definedName>
    <definedName name="OSRRefH22_15x_0" localSheetId="48">'Div 3'!$H$209</definedName>
    <definedName name="OSRRefH22_15x_0" localSheetId="75">'Div 4'!$H$79</definedName>
    <definedName name="OSRRefH22_15x_0" localSheetId="2">Summary!$H$242</definedName>
    <definedName name="OSRRefH22_16x_0" localSheetId="49">'300'!$H$206:$H$209</definedName>
    <definedName name="OSRRefH22_16x_0" localSheetId="50">'300 &amp; 317'!$H$230:$H$233</definedName>
    <definedName name="OSRRefH22_16x_0" localSheetId="51">'301'!$H$71:$H$73</definedName>
    <definedName name="OSRRefH22_16x_0" localSheetId="67">'310'!$H$80</definedName>
    <definedName name="OSRRefH22_16x_0" localSheetId="76">'310 &amp; 491'!$H$89:$H$90</definedName>
    <definedName name="OSRRefH22_16x_0" localSheetId="61">'326'!$H$104</definedName>
    <definedName name="OSRRefH22_16x_0" localSheetId="59">'331'!$H$128:$H$132</definedName>
    <definedName name="OSRRefH22_16x_0" localSheetId="78">'405'!$H$76</definedName>
    <definedName name="OSRRefH22_16x_0" localSheetId="80">'411'!$H$79</definedName>
    <definedName name="OSRRefH22_16x_0" localSheetId="85">'415'!$H$80</definedName>
    <definedName name="OSRRefH22_16x_0" localSheetId="93">'433'!$H$78</definedName>
    <definedName name="OSRRefH22_16x_0" localSheetId="95">'444'!$H$80</definedName>
    <definedName name="OSRRefH22_16x_0" localSheetId="96">'450'!$H$77</definedName>
    <definedName name="OSRRefH22_16x_0" localSheetId="77">'491'!$H$83:$H$87</definedName>
    <definedName name="OSRRefH22_16x_0" localSheetId="91">'492'!$H$84</definedName>
    <definedName name="OSRRefH22_16x_0" localSheetId="39">'Div 2'!$H$75:$H$79</definedName>
    <definedName name="OSRRefH22_16x_0" localSheetId="48">'Div 3'!$H$211</definedName>
    <definedName name="OSRRefH22_16x_0" localSheetId="75">'Div 4'!$H$81:$H$83</definedName>
    <definedName name="OSRRefH22_16x_0" localSheetId="2">Summary!$H$244</definedName>
    <definedName name="OSRRefH22_17x_0" localSheetId="49">'300'!$H$211:$H$213</definedName>
    <definedName name="OSRRefH22_17x_0" localSheetId="50">'300 &amp; 317'!$H$235:$H$237</definedName>
    <definedName name="OSRRefH22_17x_0" localSheetId="51">'301'!$H$75</definedName>
    <definedName name="OSRRefH22_17x_0" localSheetId="67">'310'!$H$82:$H$88</definedName>
    <definedName name="OSRRefH22_17x_0" localSheetId="76">'310 &amp; 491'!$H$92:$H$96</definedName>
    <definedName name="OSRRefH22_17x_0" localSheetId="61">'326'!$H$106</definedName>
    <definedName name="OSRRefH22_17x_0" localSheetId="59">'331'!$H$134</definedName>
    <definedName name="OSRRefH22_17x_0" localSheetId="85">'415'!$H$82</definedName>
    <definedName name="OSRRefH22_17x_0" localSheetId="96">'450'!$H$79</definedName>
    <definedName name="OSRRefH22_17x_0" localSheetId="77">'491'!$H$89</definedName>
    <definedName name="OSRRefH22_17x_0" localSheetId="91">'492'!$H$86</definedName>
    <definedName name="OSRRefH22_17x_0" localSheetId="39">'Div 2'!$H$81:$H$82</definedName>
    <definedName name="OSRRefH22_17x_0" localSheetId="48">'Div 3'!$H$213:$H$216</definedName>
    <definedName name="OSRRefH22_17x_0" localSheetId="75">'Div 4'!$H$85:$H$86</definedName>
    <definedName name="OSRRefH22_17x_0" localSheetId="2">Summary!$H$246</definedName>
    <definedName name="OSRRefH22_18x_0" localSheetId="49">'300'!$H$215:$H$218</definedName>
    <definedName name="OSRRefH22_18x_0" localSheetId="50">'300 &amp; 317'!$H$239:$H$242</definedName>
    <definedName name="OSRRefH22_18x_0" localSheetId="51">'301'!$H$77:$H$82</definedName>
    <definedName name="OSRRefH22_18x_0" localSheetId="67">'310'!$H$90</definedName>
    <definedName name="OSRRefH22_18x_0" localSheetId="76">'310 &amp; 491'!$H$98</definedName>
    <definedName name="OSRRefH22_18x_0" localSheetId="59">'331'!$H$136</definedName>
    <definedName name="OSRRefH22_18x_0" localSheetId="77">'491'!$H$91:$H$99</definedName>
    <definedName name="OSRRefH22_18x_0" localSheetId="39">'Div 2'!$H$84</definedName>
    <definedName name="OSRRefH22_18x_0" localSheetId="48">'Div 3'!$H$218:$H$220</definedName>
    <definedName name="OSRRefH22_18x_0" localSheetId="75">'Div 4'!$H$88:$H$92</definedName>
    <definedName name="OSRRefH22_18x_0" localSheetId="2">Summary!$H$248:$H$251</definedName>
    <definedName name="OSRRefH22_19x_0" localSheetId="49">'300'!$H$220:$H$221</definedName>
    <definedName name="OSRRefH22_19x_0" localSheetId="50">'300 &amp; 317'!$H$244:$H$245</definedName>
    <definedName name="OSRRefH22_19x_0" localSheetId="51">'301'!$H$84</definedName>
    <definedName name="OSRRefH22_19x_0" localSheetId="67">'310'!$H$92</definedName>
    <definedName name="OSRRefH22_19x_0" localSheetId="76">'310 &amp; 491'!$H$100:$H$108</definedName>
    <definedName name="OSRRefH22_19x_0" localSheetId="59">'331'!$H$138</definedName>
    <definedName name="OSRRefH22_19x_0" localSheetId="77">'491'!$H$101</definedName>
    <definedName name="OSRRefH22_19x_0" localSheetId="39">'Div 2'!$H$86:$H$87</definedName>
    <definedName name="OSRRefH22_19x_0" localSheetId="48">'Div 3'!$H$222:$H$226</definedName>
    <definedName name="OSRRefH22_19x_0" localSheetId="75">'Div 4'!$H$94</definedName>
    <definedName name="OSRRefH22_19x_0" localSheetId="2">Summary!$H$253:$H$255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'203'!$H$31:$H$34</definedName>
    <definedName name="OSRRefH22_1x_0" localSheetId="44">'204'!$H$30:$H$34</definedName>
    <definedName name="OSRRefH22_1x_0" localSheetId="45">'205'!$H$29</definedName>
    <definedName name="OSRRefH22_1x_0" localSheetId="46">'206'!$H$28:$H$31</definedName>
    <definedName name="OSRRefH22_1x_0" localSheetId="49">'300'!$H$167:$H$173</definedName>
    <definedName name="OSRRefH22_1x_0" localSheetId="50">'300 &amp; 317'!$H$191:$H$197</definedName>
    <definedName name="OSRRefH22_1x_0" localSheetId="51">'301'!$H$30:$H$36</definedName>
    <definedName name="OSRRefH22_1x_0" localSheetId="52">'306'!$H$30:$H$35</definedName>
    <definedName name="OSRRefH22_1x_0" localSheetId="54">'307'!$H$74:$H$77</definedName>
    <definedName name="OSRRefH22_1x_0" localSheetId="56">'308'!$H$70:$H$75</definedName>
    <definedName name="OSRRefH22_1x_0" localSheetId="68">'309'!$H$33:$H$36</definedName>
    <definedName name="OSRRefH22_1x_0" localSheetId="67">'310'!$H$39:$H$44</definedName>
    <definedName name="OSRRefH22_1x_0" localSheetId="76">'310 &amp; 491'!$H$47:$H$53</definedName>
    <definedName name="OSRRefH22_1x_0" localSheetId="57">'311'!$H$69:$H$74</definedName>
    <definedName name="OSRRefH22_1x_0" localSheetId="69">'313'!$H$36:$H$40</definedName>
    <definedName name="OSRRefH22_1x_0" localSheetId="55">'314'!$H$61:$H$62</definedName>
    <definedName name="OSRRefH22_1x_0" localSheetId="60">'315'!$H$82:$H$86</definedName>
    <definedName name="OSRRefH22_1x_0" localSheetId="63">'316'!$H$41:$H$43</definedName>
    <definedName name="OSRRefH22_1x_0" localSheetId="66">'317'!$H$67:$H$71</definedName>
    <definedName name="OSRRefH22_1x_0" localSheetId="64">'320'!$H$36:$H$38</definedName>
    <definedName name="OSRRefH22_1x_0" localSheetId="70">'321'!$H$33:$H$37</definedName>
    <definedName name="OSRRefH22_1x_0" localSheetId="71">'322'!$H$33:$H$36</definedName>
    <definedName name="OSRRefH22_1x_0" localSheetId="72">'325'!$H$33:$H$37</definedName>
    <definedName name="OSRRefH22_1x_0" localSheetId="61">'326'!$H$66:$H$70</definedName>
    <definedName name="OSRRefH22_1x_0" localSheetId="53">'330'!$H$83:$H$86</definedName>
    <definedName name="OSRRefH22_1x_0" localSheetId="59">'331'!$H$90:$H$94</definedName>
    <definedName name="OSRRefH22_1x_0" localSheetId="62">'332'!$H$49:$H$52</definedName>
    <definedName name="OSRRefH22_1x_0" localSheetId="78">'405'!$H$33:$H$36</definedName>
    <definedName name="OSRRefH22_1x_0" localSheetId="79">'406'!$H$33:$H$37</definedName>
    <definedName name="OSRRefH22_1x_0" localSheetId="80">'411'!$H$30:$H$35</definedName>
    <definedName name="OSRRefH22_1x_0" localSheetId="81">'412'!$H$32:$H$37</definedName>
    <definedName name="OSRRefH22_1x_0" localSheetId="83">'413'!$H$33:$H$36</definedName>
    <definedName name="OSRRefH22_1x_0" localSheetId="84">'414'!$H$32:$H$35</definedName>
    <definedName name="OSRRefH22_1x_0" localSheetId="85">'415'!$H$33:$H$37</definedName>
    <definedName name="OSRRefH22_1x_0" localSheetId="86">'418'!$H$33:$H$38</definedName>
    <definedName name="OSRRefH22_1x_0" localSheetId="82">'420'!$H$23</definedName>
    <definedName name="OSRRefH22_1x_0" localSheetId="87">'423'!$H$30</definedName>
    <definedName name="OSRRefH22_1x_0" localSheetId="88">'424'!$H$25:$H$28</definedName>
    <definedName name="OSRRefH22_1x_0" localSheetId="89">'425'!$H$33:$H$37</definedName>
    <definedName name="OSRRefH22_1x_0" localSheetId="92">'430'!$H$29</definedName>
    <definedName name="OSRRefH22_1x_0" localSheetId="93">'433'!$H$35:$H$40</definedName>
    <definedName name="OSRRefH22_1x_0" localSheetId="94">'435'!$H$29:$H$30</definedName>
    <definedName name="OSRRefH22_1x_0" localSheetId="95">'444'!$H$35:$H$40</definedName>
    <definedName name="OSRRefH22_1x_0" localSheetId="96">'450'!$H$35:$H$40</definedName>
    <definedName name="OSRRefH22_1x_0" localSheetId="90">'455'!$H$28:$H$29</definedName>
    <definedName name="OSRRefH22_1x_0" localSheetId="77">'491'!$H$41:$H$47</definedName>
    <definedName name="OSRRefH22_1x_0" localSheetId="91">'492'!$H$37:$H$43</definedName>
    <definedName name="OSRRefH22_1x_0" localSheetId="98">'501'!$H$31:$H$35</definedName>
    <definedName name="OSRRefH22_1x_0" localSheetId="39">'Div 2'!$H$32:$H$38</definedName>
    <definedName name="OSRRefH22_1x_0" localSheetId="48">'Div 3'!$H$172:$H$178</definedName>
    <definedName name="OSRRefH22_1x_0" localSheetId="75">'Div 4'!$H$42:$H$48</definedName>
    <definedName name="OSRRefH22_1x_0" localSheetId="97">'Div 5'!$H$31:$H$35</definedName>
    <definedName name="OSRRefH22_1x_0" localSheetId="65">'Div 6'!$H$67:$H$71</definedName>
    <definedName name="OSRRefH22_1x_0" localSheetId="2">Summary!$H$203:$H$209</definedName>
    <definedName name="OSRRefH22_20x_0" localSheetId="49">'300'!$H$223:$H$229</definedName>
    <definedName name="OSRRefH22_20x_0" localSheetId="50">'300 &amp; 317'!$H$247:$H$253</definedName>
    <definedName name="OSRRefH22_20x_0" localSheetId="51">'301'!$H$86</definedName>
    <definedName name="OSRRefH22_20x_0" localSheetId="67">'310'!$H$94</definedName>
    <definedName name="OSRRefH22_20x_0" localSheetId="76">'310 &amp; 491'!$H$110</definedName>
    <definedName name="OSRRefH22_20x_0" localSheetId="59">'331'!$H$140</definedName>
    <definedName name="OSRRefH22_20x_0" localSheetId="77">'491'!$H$103</definedName>
    <definedName name="OSRRefH22_20x_0" localSheetId="48">'Div 3'!$H$228:$H$229</definedName>
    <definedName name="OSRRefH22_20x_0" localSheetId="75">'Div 4'!$H$96:$H$104</definedName>
    <definedName name="OSRRefH22_20x_0" localSheetId="2">Summary!$H$257:$H$261</definedName>
    <definedName name="OSRRefH22_21x_0" localSheetId="49">'300'!$H$231:$H$232</definedName>
    <definedName name="OSRRefH22_21x_0" localSheetId="50">'300 &amp; 317'!$H$255:$H$256</definedName>
    <definedName name="OSRRefH22_21x_0" localSheetId="51">'301'!$H$88:$H$89</definedName>
    <definedName name="OSRRefH22_21x_0" localSheetId="76">'310 &amp; 491'!$H$112</definedName>
    <definedName name="OSRRefH22_21x_0" localSheetId="77">'491'!$H$105:$H$107</definedName>
    <definedName name="OSRRefH22_21x_0" localSheetId="48">'Div 3'!$H$231:$H$237</definedName>
    <definedName name="OSRRefH22_21x_0" localSheetId="75">'Div 4'!$H$106</definedName>
    <definedName name="OSRRefH22_21x_0" localSheetId="2">Summary!$H$263:$H$264</definedName>
    <definedName name="OSRRefH22_22x_0" localSheetId="49">'300'!$H$234</definedName>
    <definedName name="OSRRefH22_22x_0" localSheetId="50">'300 &amp; 317'!$H$258</definedName>
    <definedName name="OSRRefH22_22x_0" localSheetId="51">'301'!$H$91</definedName>
    <definedName name="OSRRefH22_22x_0" localSheetId="76">'310 &amp; 491'!$H$114:$H$116</definedName>
    <definedName name="OSRRefH22_22x_0" localSheetId="77">'491'!$H$109</definedName>
    <definedName name="OSRRefH22_22x_0" localSheetId="48">'Div 3'!$H$239:$H$240</definedName>
    <definedName name="OSRRefH22_22x_0" localSheetId="75">'Div 4'!$H$108</definedName>
    <definedName name="OSRRefH22_22x_0" localSheetId="2">Summary!$H$266:$H$274</definedName>
    <definedName name="OSRRefH22_23x_0" localSheetId="49">'300'!$H$236:$H$238</definedName>
    <definedName name="OSRRefH22_23x_0" localSheetId="50">'300 &amp; 317'!$H$260:$H$262</definedName>
    <definedName name="OSRRefH22_23x_0" localSheetId="76">'310 &amp; 491'!$H$118</definedName>
    <definedName name="OSRRefH22_23x_0" localSheetId="48">'Div 3'!$H$242</definedName>
    <definedName name="OSRRefH22_23x_0" localSheetId="75">'Div 4'!$H$110:$H$112</definedName>
    <definedName name="OSRRefH22_23x_0" localSheetId="2">Summary!$H$276:$H$277</definedName>
    <definedName name="OSRRefH22_24x_0" localSheetId="49">'300'!$H$240</definedName>
    <definedName name="OSRRefH22_24x_0" localSheetId="50">'300 &amp; 317'!$H$264</definedName>
    <definedName name="OSRRefH22_24x_0" localSheetId="48">'Div 3'!$H$244:$H$246</definedName>
    <definedName name="OSRRefH22_24x_0" localSheetId="75">'Div 4'!$H$114</definedName>
    <definedName name="OSRRefH22_24x_0" localSheetId="2">Summary!$H$279</definedName>
    <definedName name="OSRRefH22_25x_0" localSheetId="48">'Div 3'!$H$248</definedName>
    <definedName name="OSRRefH22_25x_0" localSheetId="2">Summary!$H$281:$H$283</definedName>
    <definedName name="OSRRefH22_26x_0" localSheetId="2">Summary!$H$285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'203'!$H$36</definedName>
    <definedName name="OSRRefH22_2x_0" localSheetId="44">'204'!$H$36</definedName>
    <definedName name="OSRRefH22_2x_0" localSheetId="45">'205'!$H$31</definedName>
    <definedName name="OSRRefH22_2x_0" localSheetId="46">'206'!$H$33</definedName>
    <definedName name="OSRRefH22_2x_0" localSheetId="49">'300'!$H$175</definedName>
    <definedName name="OSRRefH22_2x_0" localSheetId="50">'300 &amp; 317'!$H$199</definedName>
    <definedName name="OSRRefH22_2x_0" localSheetId="51">'301'!$H$38</definedName>
    <definedName name="OSRRefH22_2x_0" localSheetId="52">'306'!$H$37</definedName>
    <definedName name="OSRRefH22_2x_0" localSheetId="54">'307'!$H$79</definedName>
    <definedName name="OSRRefH22_2x_0" localSheetId="56">'308'!$H$77</definedName>
    <definedName name="OSRRefH22_2x_0" localSheetId="68">'309'!$H$38</definedName>
    <definedName name="OSRRefH22_2x_0" localSheetId="67">'310'!$H$46</definedName>
    <definedName name="OSRRefH22_2x_0" localSheetId="76">'310 &amp; 491'!$H$55</definedName>
    <definedName name="OSRRefH22_2x_0" localSheetId="57">'311'!$H$76</definedName>
    <definedName name="OSRRefH22_2x_0" localSheetId="69">'313'!$H$42</definedName>
    <definedName name="OSRRefH22_2x_0" localSheetId="55">'314'!$H$64</definedName>
    <definedName name="OSRRefH22_2x_0" localSheetId="60">'315'!$H$88</definedName>
    <definedName name="OSRRefH22_2x_0" localSheetId="63">'316'!$H$45</definedName>
    <definedName name="OSRRefH22_2x_0" localSheetId="66">'317'!$H$73</definedName>
    <definedName name="OSRRefH22_2x_0" localSheetId="64">'320'!$H$40</definedName>
    <definedName name="OSRRefH22_2x_0" localSheetId="70">'321'!$H$39</definedName>
    <definedName name="OSRRefH22_2x_0" localSheetId="71">'322'!$H$38</definedName>
    <definedName name="OSRRefH22_2x_0" localSheetId="72">'325'!$H$39</definedName>
    <definedName name="OSRRefH22_2x_0" localSheetId="61">'326'!$H$72</definedName>
    <definedName name="OSRRefH22_2x_0" localSheetId="53">'330'!$H$88</definedName>
    <definedName name="OSRRefH22_2x_0" localSheetId="59">'331'!$H$96</definedName>
    <definedName name="OSRRefH22_2x_0" localSheetId="62">'332'!$H$54</definedName>
    <definedName name="OSRRefH22_2x_0" localSheetId="78">'405'!$H$38</definedName>
    <definedName name="OSRRefH22_2x_0" localSheetId="79">'406'!$H$39</definedName>
    <definedName name="OSRRefH22_2x_0" localSheetId="80">'411'!$H$37</definedName>
    <definedName name="OSRRefH22_2x_0" localSheetId="81">'412'!$H$39</definedName>
    <definedName name="OSRRefH22_2x_0" localSheetId="83">'413'!$H$38</definedName>
    <definedName name="OSRRefH22_2x_0" localSheetId="84">'414'!$H$37</definedName>
    <definedName name="OSRRefH22_2x_0" localSheetId="85">'415'!$H$39</definedName>
    <definedName name="OSRRefH22_2x_0" localSheetId="86">'418'!$H$40</definedName>
    <definedName name="OSRRefH22_2x_0" localSheetId="87">'423'!$H$32</definedName>
    <definedName name="OSRRefH22_2x_0" localSheetId="88">'424'!$H$30</definedName>
    <definedName name="OSRRefH22_2x_0" localSheetId="89">'425'!$H$39</definedName>
    <definedName name="OSRRefH22_2x_0" localSheetId="92">'430'!$H$31</definedName>
    <definedName name="OSRRefH22_2x_0" localSheetId="93">'433'!$H$42</definedName>
    <definedName name="OSRRefH22_2x_0" localSheetId="94">'435'!$H$32</definedName>
    <definedName name="OSRRefH22_2x_0" localSheetId="95">'444'!$H$42</definedName>
    <definedName name="OSRRefH22_2x_0" localSheetId="96">'450'!$H$42</definedName>
    <definedName name="OSRRefH22_2x_0" localSheetId="77">'491'!$H$49</definedName>
    <definedName name="OSRRefH22_2x_0" localSheetId="91">'492'!$H$45</definedName>
    <definedName name="OSRRefH22_2x_0" localSheetId="98">'501'!$H$37</definedName>
    <definedName name="OSRRefH22_2x_0" localSheetId="39">'Div 2'!$H$40</definedName>
    <definedName name="OSRRefH22_2x_0" localSheetId="48">'Div 3'!$H$180</definedName>
    <definedName name="OSRRefH22_2x_0" localSheetId="75">'Div 4'!$H$50</definedName>
    <definedName name="OSRRefH22_2x_0" localSheetId="97">'Div 5'!$H$37</definedName>
    <definedName name="OSRRefH22_2x_0" localSheetId="65">'Div 6'!$H$73</definedName>
    <definedName name="OSRRefH22_2x_0" localSheetId="2">Summary!$H$211</definedName>
    <definedName name="OSRRefH22_3x_0" localSheetId="40">'200'!$H$26:$H$27</definedName>
    <definedName name="OSRRefH22_3x_0" localSheetId="41">'201'!$H$35</definedName>
    <definedName name="OSRRefH22_3x_0" localSheetId="42">'202'!$H$36</definedName>
    <definedName name="OSRRefH22_3x_0" localSheetId="43">'203'!$H$38</definedName>
    <definedName name="OSRRefH22_3x_0" localSheetId="44">'204'!$H$38</definedName>
    <definedName name="OSRRefH22_3x_0" localSheetId="45">'205'!$H$33</definedName>
    <definedName name="OSRRefH22_3x_0" localSheetId="46">'206'!$H$35</definedName>
    <definedName name="OSRRefH22_3x_0" localSheetId="49">'300'!$H$177</definedName>
    <definedName name="OSRRefH22_3x_0" localSheetId="50">'300 &amp; 317'!$H$201</definedName>
    <definedName name="OSRRefH22_3x_0" localSheetId="51">'301'!$H$40</definedName>
    <definedName name="OSRRefH22_3x_0" localSheetId="52">'306'!$H$39</definedName>
    <definedName name="OSRRefH22_3x_0" localSheetId="54">'307'!$H$81</definedName>
    <definedName name="OSRRefH22_3x_0" localSheetId="56">'308'!$H$79:$H$80</definedName>
    <definedName name="OSRRefH22_3x_0" localSheetId="68">'309'!$H$40</definedName>
    <definedName name="OSRRefH22_3x_0" localSheetId="67">'310'!$H$48</definedName>
    <definedName name="OSRRefH22_3x_0" localSheetId="76">'310 &amp; 491'!$H$57</definedName>
    <definedName name="OSRRefH22_3x_0" localSheetId="57">'311'!$H$78:$H$79</definedName>
    <definedName name="OSRRefH22_3x_0" localSheetId="69">'313'!$H$44</definedName>
    <definedName name="OSRRefH22_3x_0" localSheetId="55">'314'!$H$66:$H$67</definedName>
    <definedName name="OSRRefH22_3x_0" localSheetId="60">'315'!$H$90:$H$91</definedName>
    <definedName name="OSRRefH22_3x_0" localSheetId="63">'316'!$H$47</definedName>
    <definedName name="OSRRefH22_3x_0" localSheetId="66">'317'!$H$75</definedName>
    <definedName name="OSRRefH22_3x_0" localSheetId="64">'320'!$H$42</definedName>
    <definedName name="OSRRefH22_3x_0" localSheetId="70">'321'!$H$41</definedName>
    <definedName name="OSRRefH22_3x_0" localSheetId="71">'322'!$H$40</definedName>
    <definedName name="OSRRefH22_3x_0" localSheetId="72">'325'!$H$41</definedName>
    <definedName name="OSRRefH22_3x_0" localSheetId="61">'326'!$H$74</definedName>
    <definedName name="OSRRefH22_3x_0" localSheetId="53">'330'!$H$90</definedName>
    <definedName name="OSRRefH22_3x_0" localSheetId="59">'331'!$H$98</definedName>
    <definedName name="OSRRefH22_3x_0" localSheetId="62">'332'!$H$56</definedName>
    <definedName name="OSRRefH22_3x_0" localSheetId="78">'405'!$H$40</definedName>
    <definedName name="OSRRefH22_3x_0" localSheetId="79">'406'!$H$41</definedName>
    <definedName name="OSRRefH22_3x_0" localSheetId="80">'411'!$H$39</definedName>
    <definedName name="OSRRefH22_3x_0" localSheetId="81">'412'!$H$41</definedName>
    <definedName name="OSRRefH22_3x_0" localSheetId="83">'413'!$H$40</definedName>
    <definedName name="OSRRefH22_3x_0" localSheetId="84">'414'!$H$39</definedName>
    <definedName name="OSRRefH22_3x_0" localSheetId="85">'415'!$H$41</definedName>
    <definedName name="OSRRefH22_3x_0" localSheetId="86">'418'!$H$42</definedName>
    <definedName name="OSRRefH22_3x_0" localSheetId="87">'423'!$H$34</definedName>
    <definedName name="OSRRefH22_3x_0" localSheetId="88">'424'!$H$32</definedName>
    <definedName name="OSRRefH22_3x_0" localSheetId="89">'425'!$H$41</definedName>
    <definedName name="OSRRefH22_3x_0" localSheetId="92">'430'!$H$33</definedName>
    <definedName name="OSRRefH22_3x_0" localSheetId="93">'433'!$H$44</definedName>
    <definedName name="OSRRefH22_3x_0" localSheetId="94">'435'!$H$34</definedName>
    <definedName name="OSRRefH22_3x_0" localSheetId="95">'444'!$H$44</definedName>
    <definedName name="OSRRefH22_3x_0" localSheetId="96">'450'!$H$44</definedName>
    <definedName name="OSRRefH22_3x_0" localSheetId="77">'491'!$H$51</definedName>
    <definedName name="OSRRefH22_3x_0" localSheetId="91">'492'!$H$47</definedName>
    <definedName name="OSRRefH22_3x_0" localSheetId="98">'501'!$H$39</definedName>
    <definedName name="OSRRefH22_3x_0" localSheetId="39">'Div 2'!$H$42</definedName>
    <definedName name="OSRRefH22_3x_0" localSheetId="48">'Div 3'!$H$182</definedName>
    <definedName name="OSRRefH22_3x_0" localSheetId="75">'Div 4'!$H$52</definedName>
    <definedName name="OSRRefH22_3x_0" localSheetId="97">'Div 5'!$H$39</definedName>
    <definedName name="OSRRefH22_3x_0" localSheetId="65">'Div 6'!$H$75</definedName>
    <definedName name="OSRRefH22_3x_0" localSheetId="2">Summary!$H$213</definedName>
    <definedName name="OSRRefH22_4x_0" localSheetId="41">'201'!$H$37</definedName>
    <definedName name="OSRRefH22_4x_0" localSheetId="42">'202'!$H$38:$H$39</definedName>
    <definedName name="OSRRefH22_4x_0" localSheetId="43">'203'!$H$40</definedName>
    <definedName name="OSRRefH22_4x_0" localSheetId="44">'204'!$H$40</definedName>
    <definedName name="OSRRefH22_4x_0" localSheetId="45">'205'!$H$35:$H$36</definedName>
    <definedName name="OSRRefH22_4x_0" localSheetId="46">'206'!$H$37</definedName>
    <definedName name="OSRRefH22_4x_0" localSheetId="49">'300'!$H$179</definedName>
    <definedName name="OSRRefH22_4x_0" localSheetId="50">'300 &amp; 317'!$H$203</definedName>
    <definedName name="OSRRefH22_4x_0" localSheetId="51">'301'!$H$42</definedName>
    <definedName name="OSRRefH22_4x_0" localSheetId="52">'306'!$H$41:$H$42</definedName>
    <definedName name="OSRRefH22_4x_0" localSheetId="54">'307'!$H$83:$H$84</definedName>
    <definedName name="OSRRefH22_4x_0" localSheetId="56">'308'!$H$82</definedName>
    <definedName name="OSRRefH22_4x_0" localSheetId="68">'309'!$H$42</definedName>
    <definedName name="OSRRefH22_4x_0" localSheetId="67">'310'!$H$50</definedName>
    <definedName name="OSRRefH22_4x_0" localSheetId="76">'310 &amp; 491'!$H$59</definedName>
    <definedName name="OSRRefH22_4x_0" localSheetId="57">'311'!$H$81</definedName>
    <definedName name="OSRRefH22_4x_0" localSheetId="69">'313'!$H$46</definedName>
    <definedName name="OSRRefH22_4x_0" localSheetId="55">'314'!$H$69</definedName>
    <definedName name="OSRRefH22_4x_0" localSheetId="60">'315'!$H$93</definedName>
    <definedName name="OSRRefH22_4x_0" localSheetId="63">'316'!$H$49</definedName>
    <definedName name="OSRRefH22_4x_0" localSheetId="66">'317'!$H$77</definedName>
    <definedName name="OSRRefH22_4x_0" localSheetId="64">'320'!$H$44:$H$45</definedName>
    <definedName name="OSRRefH22_4x_0" localSheetId="70">'321'!$H$43</definedName>
    <definedName name="OSRRefH22_4x_0" localSheetId="71">'322'!$H$42</definedName>
    <definedName name="OSRRefH22_4x_0" localSheetId="72">'325'!$H$43</definedName>
    <definedName name="OSRRefH22_4x_0" localSheetId="61">'326'!$H$76</definedName>
    <definedName name="OSRRefH22_4x_0" localSheetId="53">'330'!$H$92:$H$93</definedName>
    <definedName name="OSRRefH22_4x_0" localSheetId="59">'331'!$H$100</definedName>
    <definedName name="OSRRefH22_4x_0" localSheetId="62">'332'!$H$58</definedName>
    <definedName name="OSRRefH22_4x_0" localSheetId="78">'405'!$H$42</definedName>
    <definedName name="OSRRefH22_4x_0" localSheetId="79">'406'!$H$43</definedName>
    <definedName name="OSRRefH22_4x_0" localSheetId="80">'411'!$H$41:$H$43</definedName>
    <definedName name="OSRRefH22_4x_0" localSheetId="81">'412'!$H$43</definedName>
    <definedName name="OSRRefH22_4x_0" localSheetId="83">'413'!$H$42</definedName>
    <definedName name="OSRRefH22_4x_0" localSheetId="84">'414'!$H$41</definedName>
    <definedName name="OSRRefH22_4x_0" localSheetId="85">'415'!$H$43</definedName>
    <definedName name="OSRRefH22_4x_0" localSheetId="86">'418'!$H$44</definedName>
    <definedName name="OSRRefH22_4x_0" localSheetId="87">'423'!$H$36</definedName>
    <definedName name="OSRRefH22_4x_0" localSheetId="88">'424'!$H$34</definedName>
    <definedName name="OSRRefH22_4x_0" localSheetId="89">'425'!$H$43</definedName>
    <definedName name="OSRRefH22_4x_0" localSheetId="92">'430'!$H$35:$H$36</definedName>
    <definedName name="OSRRefH22_4x_0" localSheetId="93">'433'!$H$46</definedName>
    <definedName name="OSRRefH22_4x_0" localSheetId="94">'435'!$H$36</definedName>
    <definedName name="OSRRefH22_4x_0" localSheetId="95">'444'!$H$46</definedName>
    <definedName name="OSRRefH22_4x_0" localSheetId="96">'450'!$H$46</definedName>
    <definedName name="OSRRefH22_4x_0" localSheetId="77">'491'!$H$53</definedName>
    <definedName name="OSRRefH22_4x_0" localSheetId="91">'492'!$H$49</definedName>
    <definedName name="OSRRefH22_4x_0" localSheetId="98">'501'!$H$41</definedName>
    <definedName name="OSRRefH22_4x_0" localSheetId="39">'Div 2'!$H$44</definedName>
    <definedName name="OSRRefH22_4x_0" localSheetId="48">'Div 3'!$H$184</definedName>
    <definedName name="OSRRefH22_4x_0" localSheetId="75">'Div 4'!$H$54</definedName>
    <definedName name="OSRRefH22_4x_0" localSheetId="97">'Div 5'!$H$41</definedName>
    <definedName name="OSRRefH22_4x_0" localSheetId="65">'Div 6'!$H$77</definedName>
    <definedName name="OSRRefH22_4x_0" localSheetId="2">Summary!$H$215</definedName>
    <definedName name="OSRRefH22_5x_0" localSheetId="41">'201'!$H$39</definedName>
    <definedName name="OSRRefH22_5x_0" localSheetId="42">'202'!$H$41</definedName>
    <definedName name="OSRRefH22_5x_0" localSheetId="43">'203'!$H$42</definedName>
    <definedName name="OSRRefH22_5x_0" localSheetId="44">'204'!$H$42:$H$44</definedName>
    <definedName name="OSRRefH22_5x_0" localSheetId="45">'205'!$H$38</definedName>
    <definedName name="OSRRefH22_5x_0" localSheetId="46">'206'!$H$39:$H$40</definedName>
    <definedName name="OSRRefH22_5x_0" localSheetId="49">'300'!$H$181:$H$182</definedName>
    <definedName name="OSRRefH22_5x_0" localSheetId="50">'300 &amp; 317'!$H$205:$H$206</definedName>
    <definedName name="OSRRefH22_5x_0" localSheetId="51">'301'!$H$44:$H$45</definedName>
    <definedName name="OSRRefH22_5x_0" localSheetId="52">'306'!$H$44</definedName>
    <definedName name="OSRRefH22_5x_0" localSheetId="54">'307'!$H$86</definedName>
    <definedName name="OSRRefH22_5x_0" localSheetId="56">'308'!$H$84</definedName>
    <definedName name="OSRRefH22_5x_0" localSheetId="68">'309'!$H$44</definedName>
    <definedName name="OSRRefH22_5x_0" localSheetId="67">'310'!$H$52:$H$53</definedName>
    <definedName name="OSRRefH22_5x_0" localSheetId="76">'310 &amp; 491'!$H$61:$H$63</definedName>
    <definedName name="OSRRefH22_5x_0" localSheetId="57">'311'!$H$83</definedName>
    <definedName name="OSRRefH22_5x_0" localSheetId="69">'313'!$H$48</definedName>
    <definedName name="OSRRefH22_5x_0" localSheetId="55">'314'!$H$71</definedName>
    <definedName name="OSRRefH22_5x_0" localSheetId="60">'315'!$H$95</definedName>
    <definedName name="OSRRefH22_5x_0" localSheetId="63">'316'!$H$51:$H$52</definedName>
    <definedName name="OSRRefH22_5x_0" localSheetId="66">'317'!$H$79:$H$80</definedName>
    <definedName name="OSRRefH22_5x_0" localSheetId="64">'320'!$H$47</definedName>
    <definedName name="OSRRefH22_5x_0" localSheetId="70">'321'!$H$45</definedName>
    <definedName name="OSRRefH22_5x_0" localSheetId="71">'322'!$H$44</definedName>
    <definedName name="OSRRefH22_5x_0" localSheetId="72">'325'!$H$45:$H$46</definedName>
    <definedName name="OSRRefH22_5x_0" localSheetId="61">'326'!$H$78</definedName>
    <definedName name="OSRRefH22_5x_0" localSheetId="53">'330'!$H$95</definedName>
    <definedName name="OSRRefH22_5x_0" localSheetId="59">'331'!$H$102:$H$103</definedName>
    <definedName name="OSRRefH22_5x_0" localSheetId="62">'332'!$H$60</definedName>
    <definedName name="OSRRefH22_5x_0" localSheetId="78">'405'!$H$44:$H$45</definedName>
    <definedName name="OSRRefH22_5x_0" localSheetId="79">'406'!$H$45</definedName>
    <definedName name="OSRRefH22_5x_0" localSheetId="80">'411'!$H$45</definedName>
    <definedName name="OSRRefH22_5x_0" localSheetId="81">'412'!$H$45</definedName>
    <definedName name="OSRRefH22_5x_0" localSheetId="83">'413'!$H$44</definedName>
    <definedName name="OSRRefH22_5x_0" localSheetId="84">'414'!$H$43</definedName>
    <definedName name="OSRRefH22_5x_0" localSheetId="85">'415'!$H$45:$H$46</definedName>
    <definedName name="OSRRefH22_5x_0" localSheetId="86">'418'!$H$46:$H$47</definedName>
    <definedName name="OSRRefH22_5x_0" localSheetId="87">'423'!$H$38</definedName>
    <definedName name="OSRRefH22_5x_0" localSheetId="88">'424'!$H$36</definedName>
    <definedName name="OSRRefH22_5x_0" localSheetId="89">'425'!$H$45</definedName>
    <definedName name="OSRRefH22_5x_0" localSheetId="92">'430'!$H$38</definedName>
    <definedName name="OSRRefH22_5x_0" localSheetId="93">'433'!$H$48</definedName>
    <definedName name="OSRRefH22_5x_0" localSheetId="94">'435'!$H$38</definedName>
    <definedName name="OSRRefH22_5x_0" localSheetId="95">'444'!$H$48</definedName>
    <definedName name="OSRRefH22_5x_0" localSheetId="96">'450'!$H$48</definedName>
    <definedName name="OSRRefH22_5x_0" localSheetId="77">'491'!$H$55:$H$57</definedName>
    <definedName name="OSRRefH22_5x_0" localSheetId="91">'492'!$H$51</definedName>
    <definedName name="OSRRefH22_5x_0" localSheetId="98">'501'!$H$43:$H$44</definedName>
    <definedName name="OSRRefH22_5x_0" localSheetId="39">'Div 2'!$H$46</definedName>
    <definedName name="OSRRefH22_5x_0" localSheetId="48">'Div 3'!$H$186:$H$187</definedName>
    <definedName name="OSRRefH22_5x_0" localSheetId="75">'Div 4'!$H$56:$H$58</definedName>
    <definedName name="OSRRefH22_5x_0" localSheetId="97">'Div 5'!$H$43:$H$44</definedName>
    <definedName name="OSRRefH22_5x_0" localSheetId="65">'Div 6'!$H$79:$H$80</definedName>
    <definedName name="OSRRefH22_5x_0" localSheetId="2">Summary!$H$217:$H$219</definedName>
    <definedName name="OSRRefH22_6x_0" localSheetId="41">'201'!$H$41</definedName>
    <definedName name="OSRRefH22_6x_0" localSheetId="42">'202'!$H$43</definedName>
    <definedName name="OSRRefH22_6x_0" localSheetId="43">'203'!$H$44</definedName>
    <definedName name="OSRRefH22_6x_0" localSheetId="44">'204'!$H$46</definedName>
    <definedName name="OSRRefH22_6x_0" localSheetId="45">'205'!$H$40:$H$41</definedName>
    <definedName name="OSRRefH22_6x_0" localSheetId="46">'206'!$H$42</definedName>
    <definedName name="OSRRefH22_6x_0" localSheetId="49">'300'!$H$184:$H$185</definedName>
    <definedName name="OSRRefH22_6x_0" localSheetId="50">'300 &amp; 317'!$H$208:$H$209</definedName>
    <definedName name="OSRRefH22_6x_0" localSheetId="51">'301'!$H$47:$H$48</definedName>
    <definedName name="OSRRefH22_6x_0" localSheetId="54">'307'!$H$88</definedName>
    <definedName name="OSRRefH22_6x_0" localSheetId="56">'308'!$H$86:$H$87</definedName>
    <definedName name="OSRRefH22_6x_0" localSheetId="68">'309'!$H$46</definedName>
    <definedName name="OSRRefH22_6x_0" localSheetId="67">'310'!$H$55</definedName>
    <definedName name="OSRRefH22_6x_0" localSheetId="76">'310 &amp; 491'!$H$65</definedName>
    <definedName name="OSRRefH22_6x_0" localSheetId="57">'311'!$H$85:$H$86</definedName>
    <definedName name="OSRRefH22_6x_0" localSheetId="69">'313'!$H$50</definedName>
    <definedName name="OSRRefH22_6x_0" localSheetId="60">'315'!$H$97</definedName>
    <definedName name="OSRRefH22_6x_0" localSheetId="63">'316'!$H$54</definedName>
    <definedName name="OSRRefH22_6x_0" localSheetId="66">'317'!$H$82</definedName>
    <definedName name="OSRRefH22_6x_0" localSheetId="64">'320'!$H$49</definedName>
    <definedName name="OSRRefH22_6x_0" localSheetId="70">'321'!$H$47:$H$49</definedName>
    <definedName name="OSRRefH22_6x_0" localSheetId="71">'322'!$H$46</definedName>
    <definedName name="OSRRefH22_6x_0" localSheetId="72">'325'!$H$48</definedName>
    <definedName name="OSRRefH22_6x_0" localSheetId="61">'326'!$H$80</definedName>
    <definedName name="OSRRefH22_6x_0" localSheetId="53">'330'!$H$97</definedName>
    <definedName name="OSRRefH22_6x_0" localSheetId="59">'331'!$H$105</definedName>
    <definedName name="OSRRefH22_6x_0" localSheetId="62">'332'!$H$62:$H$63</definedName>
    <definedName name="OSRRefH22_6x_0" localSheetId="78">'405'!$H$47</definedName>
    <definedName name="OSRRefH22_6x_0" localSheetId="79">'406'!$H$47</definedName>
    <definedName name="OSRRefH22_6x_0" localSheetId="80">'411'!$H$47</definedName>
    <definedName name="OSRRefH22_6x_0" localSheetId="81">'412'!$H$47</definedName>
    <definedName name="OSRRefH22_6x_0" localSheetId="83">'413'!$H$46</definedName>
    <definedName name="OSRRefH22_6x_0" localSheetId="84">'414'!$H$45</definedName>
    <definedName name="OSRRefH22_6x_0" localSheetId="85">'415'!$H$48</definedName>
    <definedName name="OSRRefH22_6x_0" localSheetId="86">'418'!$H$49</definedName>
    <definedName name="OSRRefH22_6x_0" localSheetId="88">'424'!$H$38</definedName>
    <definedName name="OSRRefH22_6x_0" localSheetId="89">'425'!$H$47</definedName>
    <definedName name="OSRRefH22_6x_0" localSheetId="92">'430'!$H$40</definedName>
    <definedName name="OSRRefH22_6x_0" localSheetId="93">'433'!$H$50</definedName>
    <definedName name="OSRRefH22_6x_0" localSheetId="94">'435'!$H$40:$H$41</definedName>
    <definedName name="OSRRefH22_6x_0" localSheetId="95">'444'!$H$50</definedName>
    <definedName name="OSRRefH22_6x_0" localSheetId="96">'450'!$H$50</definedName>
    <definedName name="OSRRefH22_6x_0" localSheetId="77">'491'!$H$59</definedName>
    <definedName name="OSRRefH22_6x_0" localSheetId="91">'492'!$H$53</definedName>
    <definedName name="OSRRefH22_6x_0" localSheetId="98">'501'!$H$46</definedName>
    <definedName name="OSRRefH22_6x_0" localSheetId="39">'Div 2'!$H$48</definedName>
    <definedName name="OSRRefH22_6x_0" localSheetId="48">'Div 3'!$H$189:$H$190</definedName>
    <definedName name="OSRRefH22_6x_0" localSheetId="75">'Div 4'!$H$60</definedName>
    <definedName name="OSRRefH22_6x_0" localSheetId="97">'Div 5'!$H$46</definedName>
    <definedName name="OSRRefH22_6x_0" localSheetId="65">'Div 6'!$H$82</definedName>
    <definedName name="OSRRefH22_6x_0" localSheetId="2">Summary!$H$221:$H$222</definedName>
    <definedName name="OSRRefH22_7x_0" localSheetId="41">'201'!$H$43</definedName>
    <definedName name="OSRRefH22_7x_0" localSheetId="42">'202'!$H$45:$H$46</definedName>
    <definedName name="OSRRefH22_7x_0" localSheetId="43">'203'!$H$46</definedName>
    <definedName name="OSRRefH22_7x_0" localSheetId="44">'204'!$H$48:$H$49</definedName>
    <definedName name="OSRRefH22_7x_0" localSheetId="45">'205'!$H$43</definedName>
    <definedName name="OSRRefH22_7x_0" localSheetId="46">'206'!$H$44</definedName>
    <definedName name="OSRRefH22_7x_0" localSheetId="49">'300'!$H$187</definedName>
    <definedName name="OSRRefH22_7x_0" localSheetId="50">'300 &amp; 317'!$H$211</definedName>
    <definedName name="OSRRefH22_7x_0" localSheetId="51">'301'!$H$50</definedName>
    <definedName name="OSRRefH22_7x_0" localSheetId="54">'307'!$H$90:$H$91</definedName>
    <definedName name="OSRRefH22_7x_0" localSheetId="56">'308'!$H$89</definedName>
    <definedName name="OSRRefH22_7x_0" localSheetId="68">'309'!$H$48:$H$49</definedName>
    <definedName name="OSRRefH22_7x_0" localSheetId="67">'310'!$H$57</definedName>
    <definedName name="OSRRefH22_7x_0" localSheetId="76">'310 &amp; 491'!$H$67</definedName>
    <definedName name="OSRRefH22_7x_0" localSheetId="57">'311'!$H$88</definedName>
    <definedName name="OSRRefH22_7x_0" localSheetId="69">'313'!$H$52</definedName>
    <definedName name="OSRRefH22_7x_0" localSheetId="60">'315'!$H$99:$H$100</definedName>
    <definedName name="OSRRefH22_7x_0" localSheetId="63">'316'!$H$56</definedName>
    <definedName name="OSRRefH22_7x_0" localSheetId="66">'317'!$H$84</definedName>
    <definedName name="OSRRefH22_7x_0" localSheetId="64">'320'!$H$51:$H$52</definedName>
    <definedName name="OSRRefH22_7x_0" localSheetId="70">'321'!$H$51</definedName>
    <definedName name="OSRRefH22_7x_0" localSheetId="71">'322'!$H$48</definedName>
    <definedName name="OSRRefH22_7x_0" localSheetId="72">'325'!$H$50</definedName>
    <definedName name="OSRRefH22_7x_0" localSheetId="61">'326'!$H$82</definedName>
    <definedName name="OSRRefH22_7x_0" localSheetId="53">'330'!$H$99:$H$100</definedName>
    <definedName name="OSRRefH22_7x_0" localSheetId="59">'331'!$H$107</definedName>
    <definedName name="OSRRefH22_7x_0" localSheetId="62">'332'!$H$65</definedName>
    <definedName name="OSRRefH22_7x_0" localSheetId="78">'405'!$H$49</definedName>
    <definedName name="OSRRefH22_7x_0" localSheetId="79">'406'!$H$49</definedName>
    <definedName name="OSRRefH22_7x_0" localSheetId="80">'411'!$H$49</definedName>
    <definedName name="OSRRefH22_7x_0" localSheetId="81">'412'!$H$49</definedName>
    <definedName name="OSRRefH22_7x_0" localSheetId="83">'413'!$H$48:$H$50</definedName>
    <definedName name="OSRRefH22_7x_0" localSheetId="84">'414'!$H$47</definedName>
    <definedName name="OSRRefH22_7x_0" localSheetId="85">'415'!$H$50</definedName>
    <definedName name="OSRRefH22_7x_0" localSheetId="86">'418'!$H$51</definedName>
    <definedName name="OSRRefH22_7x_0" localSheetId="88">'424'!$H$40</definedName>
    <definedName name="OSRRefH22_7x_0" localSheetId="89">'425'!$H$49</definedName>
    <definedName name="OSRRefH22_7x_0" localSheetId="92">'430'!$H$42</definedName>
    <definedName name="OSRRefH22_7x_0" localSheetId="93">'433'!$H$52</definedName>
    <definedName name="OSRRefH22_7x_0" localSheetId="94">'435'!$H$43</definedName>
    <definedName name="OSRRefH22_7x_0" localSheetId="95">'444'!$H$52</definedName>
    <definedName name="OSRRefH22_7x_0" localSheetId="96">'450'!$H$52</definedName>
    <definedName name="OSRRefH22_7x_0" localSheetId="77">'491'!$H$61</definedName>
    <definedName name="OSRRefH22_7x_0" localSheetId="91">'492'!$H$55</definedName>
    <definedName name="OSRRefH22_7x_0" localSheetId="98">'501'!$H$48</definedName>
    <definedName name="OSRRefH22_7x_0" localSheetId="39">'Div 2'!$H$50</definedName>
    <definedName name="OSRRefH22_7x_0" localSheetId="48">'Div 3'!$H$192</definedName>
    <definedName name="OSRRefH22_7x_0" localSheetId="75">'Div 4'!$H$62</definedName>
    <definedName name="OSRRefH22_7x_0" localSheetId="97">'Div 5'!$H$48</definedName>
    <definedName name="OSRRefH22_7x_0" localSheetId="65">'Div 6'!$H$84</definedName>
    <definedName name="OSRRefH22_7x_0" localSheetId="2">Summary!$H$224</definedName>
    <definedName name="OSRRefH22_8x_0" localSheetId="41">'201'!$H$45</definedName>
    <definedName name="OSRRefH22_8x_0" localSheetId="42">'202'!$H$48</definedName>
    <definedName name="OSRRefH22_8x_0" localSheetId="43">'203'!$H$48</definedName>
    <definedName name="OSRRefH22_8x_0" localSheetId="44">'204'!$H$51</definedName>
    <definedName name="OSRRefH22_8x_0" localSheetId="45">'205'!$H$45</definedName>
    <definedName name="OSRRefH22_8x_0" localSheetId="49">'300'!$H$189</definedName>
    <definedName name="OSRRefH22_8x_0" localSheetId="50">'300 &amp; 317'!$H$213</definedName>
    <definedName name="OSRRefH22_8x_0" localSheetId="51">'301'!$H$52</definedName>
    <definedName name="OSRRefH22_8x_0" localSheetId="54">'307'!$H$93:$H$94</definedName>
    <definedName name="OSRRefH22_8x_0" localSheetId="56">'308'!$H$91</definedName>
    <definedName name="OSRRefH22_8x_0" localSheetId="68">'309'!$H$51:$H$52</definedName>
    <definedName name="OSRRefH22_8x_0" localSheetId="67">'310'!$H$59</definedName>
    <definedName name="OSRRefH22_8x_0" localSheetId="76">'310 &amp; 491'!$H$69</definedName>
    <definedName name="OSRRefH22_8x_0" localSheetId="57">'311'!$H$90</definedName>
    <definedName name="OSRRefH22_8x_0" localSheetId="69">'313'!$H$54:$H$56</definedName>
    <definedName name="OSRRefH22_8x_0" localSheetId="60">'315'!$H$102</definedName>
    <definedName name="OSRRefH22_8x_0" localSheetId="63">'316'!$H$58:$H$63</definedName>
    <definedName name="OSRRefH22_8x_0" localSheetId="66">'317'!$H$86</definedName>
    <definedName name="OSRRefH22_8x_0" localSheetId="64">'320'!$H$54</definedName>
    <definedName name="OSRRefH22_8x_0" localSheetId="70">'321'!$H$53:$H$55</definedName>
    <definedName name="OSRRefH22_8x_0" localSheetId="71">'322'!$H$50:$H$51</definedName>
    <definedName name="OSRRefH22_8x_0" localSheetId="72">'325'!$H$52</definedName>
    <definedName name="OSRRefH22_8x_0" localSheetId="61">'326'!$H$84</definedName>
    <definedName name="OSRRefH22_8x_0" localSheetId="53">'330'!$H$102:$H$103</definedName>
    <definedName name="OSRRefH22_8x_0" localSheetId="59">'331'!$H$109</definedName>
    <definedName name="OSRRefH22_8x_0" localSheetId="62">'332'!$H$67</definedName>
    <definedName name="OSRRefH22_8x_0" localSheetId="78">'405'!$H$51</definedName>
    <definedName name="OSRRefH22_8x_0" localSheetId="79">'406'!$H$51:$H$53</definedName>
    <definedName name="OSRRefH22_8x_0" localSheetId="80">'411'!$H$51</definedName>
    <definedName name="OSRRefH22_8x_0" localSheetId="81">'412'!$H$51:$H$52</definedName>
    <definedName name="OSRRefH22_8x_0" localSheetId="83">'413'!$H$52:$H$53</definedName>
    <definedName name="OSRRefH22_8x_0" localSheetId="84">'414'!$H$49:$H$50</definedName>
    <definedName name="OSRRefH22_8x_0" localSheetId="85">'415'!$H$52</definedName>
    <definedName name="OSRRefH22_8x_0" localSheetId="86">'418'!$H$53:$H$54</definedName>
    <definedName name="OSRRefH22_8x_0" localSheetId="88">'424'!$H$42:$H$43</definedName>
    <definedName name="OSRRefH22_8x_0" localSheetId="89">'425'!$H$51</definedName>
    <definedName name="OSRRefH22_8x_0" localSheetId="93">'433'!$H$54</definedName>
    <definedName name="OSRRefH22_8x_0" localSheetId="95">'444'!$H$54</definedName>
    <definedName name="OSRRefH22_8x_0" localSheetId="96">'450'!$H$54</definedName>
    <definedName name="OSRRefH22_8x_0" localSheetId="77">'491'!$H$63</definedName>
    <definedName name="OSRRefH22_8x_0" localSheetId="91">'492'!$H$57</definedName>
    <definedName name="OSRRefH22_8x_0" localSheetId="98">'501'!$H$50:$H$51</definedName>
    <definedName name="OSRRefH22_8x_0" localSheetId="39">'Div 2'!$H$52</definedName>
    <definedName name="OSRRefH22_8x_0" localSheetId="48">'Div 3'!$H$194</definedName>
    <definedName name="OSRRefH22_8x_0" localSheetId="75">'Div 4'!$H$64</definedName>
    <definedName name="OSRRefH22_8x_0" localSheetId="97">'Div 5'!$H$50:$H$51</definedName>
    <definedName name="OSRRefH22_8x_0" localSheetId="65">'Div 6'!$H$86</definedName>
    <definedName name="OSRRefH22_8x_0" localSheetId="2">Summary!$H$226</definedName>
    <definedName name="OSRRefH22_9x_0" localSheetId="41">'201'!$H$47:$H$49</definedName>
    <definedName name="OSRRefH22_9x_0" localSheetId="42">'202'!$H$50</definedName>
    <definedName name="OSRRefH22_9x_0" localSheetId="43">'203'!$H$50:$H$51</definedName>
    <definedName name="OSRRefH22_9x_0" localSheetId="44">'204'!$H$53:$H$54</definedName>
    <definedName name="OSRRefH22_9x_0" localSheetId="49">'300'!$H$191</definedName>
    <definedName name="OSRRefH22_9x_0" localSheetId="50">'300 &amp; 317'!$H$215</definedName>
    <definedName name="OSRRefH22_9x_0" localSheetId="51">'301'!$H$54</definedName>
    <definedName name="OSRRefH22_9x_0" localSheetId="54">'307'!$H$96:$H$98</definedName>
    <definedName name="OSRRefH22_9x_0" localSheetId="56">'308'!$H$93:$H$94</definedName>
    <definedName name="OSRRefH22_9x_0" localSheetId="68">'309'!$H$54:$H$56</definedName>
    <definedName name="OSRRefH22_9x_0" localSheetId="67">'310'!$H$61</definedName>
    <definedName name="OSRRefH22_9x_0" localSheetId="76">'310 &amp; 491'!$H$71:$H$72</definedName>
    <definedName name="OSRRefH22_9x_0" localSheetId="57">'311'!$H$92:$H$93</definedName>
    <definedName name="OSRRefH22_9x_0" localSheetId="69">'313'!$H$58</definedName>
    <definedName name="OSRRefH22_9x_0" localSheetId="60">'315'!$H$104:$H$107</definedName>
    <definedName name="OSRRefH22_9x_0" localSheetId="63">'316'!$H$65</definedName>
    <definedName name="OSRRefH22_9x_0" localSheetId="66">'317'!$H$88:$H$90</definedName>
    <definedName name="OSRRefH22_9x_0" localSheetId="70">'321'!$H$57:$H$60</definedName>
    <definedName name="OSRRefH22_9x_0" localSheetId="71">'322'!$H$53:$H$55</definedName>
    <definedName name="OSRRefH22_9x_0" localSheetId="72">'325'!$H$54</definedName>
    <definedName name="OSRRefH22_9x_0" localSheetId="61">'326'!$H$86</definedName>
    <definedName name="OSRRefH22_9x_0" localSheetId="53">'330'!$H$105</definedName>
    <definedName name="OSRRefH22_9x_0" localSheetId="59">'331'!$H$111</definedName>
    <definedName name="OSRRefH22_9x_0" localSheetId="62">'332'!$H$69</definedName>
    <definedName name="OSRRefH22_9x_0" localSheetId="78">'405'!$H$53:$H$54</definedName>
    <definedName name="OSRRefH22_9x_0" localSheetId="79">'406'!$H$55</definedName>
    <definedName name="OSRRefH22_9x_0" localSheetId="80">'411'!$H$53</definedName>
    <definedName name="OSRRefH22_9x_0" localSheetId="81">'412'!$H$54:$H$55</definedName>
    <definedName name="OSRRefH22_9x_0" localSheetId="83">'413'!$H$55:$H$58</definedName>
    <definedName name="OSRRefH22_9x_0" localSheetId="84">'414'!$H$52</definedName>
    <definedName name="OSRRefH22_9x_0" localSheetId="85">'415'!$H$54</definedName>
    <definedName name="OSRRefH22_9x_0" localSheetId="86">'418'!$H$56:$H$58</definedName>
    <definedName name="OSRRefH22_9x_0" localSheetId="88">'424'!$H$45</definedName>
    <definedName name="OSRRefH22_9x_0" localSheetId="89">'425'!$H$53:$H$55</definedName>
    <definedName name="OSRRefH22_9x_0" localSheetId="93">'433'!$H$56</definedName>
    <definedName name="OSRRefH22_9x_0" localSheetId="95">'444'!$H$56</definedName>
    <definedName name="OSRRefH22_9x_0" localSheetId="96">'450'!$H$56</definedName>
    <definedName name="OSRRefH22_9x_0" localSheetId="77">'491'!$H$65:$H$66</definedName>
    <definedName name="OSRRefH22_9x_0" localSheetId="91">'492'!$H$59</definedName>
    <definedName name="OSRRefH22_9x_0" localSheetId="98">'501'!$H$53:$H$55</definedName>
    <definedName name="OSRRefH22_9x_0" localSheetId="39">'Div 2'!$H$54:$H$55</definedName>
    <definedName name="OSRRefH22_9x_0" localSheetId="48">'Div 3'!$H$196</definedName>
    <definedName name="OSRRefH22_9x_0" localSheetId="75">'Div 4'!$H$66</definedName>
    <definedName name="OSRRefH22_9x_0" localSheetId="97">'Div 5'!$H$53:$H$55</definedName>
    <definedName name="OSRRefH22_9x_0" localSheetId="65">'Div 6'!$H$88:$H$90</definedName>
    <definedName name="OSRRefH22_9x_0" localSheetId="2">Summary!$H$228</definedName>
    <definedName name="OSRRefH22x_0" localSheetId="40">'200'!$H$20,'200'!$H$22,'200'!$H$24,'200'!$H$26:$H$27</definedName>
    <definedName name="OSRRefH22x_0" localSheetId="41">'201'!$H$20:$H$27,'201'!$H$29:$H$31,'201'!$H$33,'201'!$H$35,'201'!$H$37,'201'!$H$39,'201'!$H$41,'201'!$H$43,'201'!$H$45,'201'!$H$47:$H$49,'201'!$H$51:$H$53,'201'!$H$55,'201'!$H$57:$H$60,'201'!$H$62,'201'!$H$64</definedName>
    <definedName name="OSRRefH22x_0" localSheetId="42">'202'!$H$20:$H$27,'202'!$H$29:$H$32,'202'!$H$34,'202'!$H$36,'202'!$H$38:$H$39,'202'!$H$41,'202'!$H$43,'202'!$H$45:$H$46,'202'!$H$48,'202'!$H$50,'202'!$H$52:$H$54,'202'!$H$56,'202'!$H$58,'202'!$H$60</definedName>
    <definedName name="OSRRefH22x_0" localSheetId="43">'203'!$H$20:$H$29,'203'!$H$31:$H$34,'203'!$H$36,'203'!$H$38,'203'!$H$40,'203'!$H$42,'203'!$H$44,'203'!$H$46,'203'!$H$48,'203'!$H$50:$H$51,'203'!$H$53:$H$54,'203'!$H$56,'203'!$H$58:$H$61,'203'!$H$63,'203'!$H$65,'203'!$H$67</definedName>
    <definedName name="OSRRefH22x_0" localSheetId="44">'204'!$H$20:$H$28,'204'!$H$30:$H$34,'204'!$H$36,'204'!$H$38,'204'!$H$40,'204'!$H$42:$H$44,'204'!$H$46,'204'!$H$48:$H$49,'204'!$H$51,'204'!$H$53:$H$54</definedName>
    <definedName name="OSRRefH22x_0" localSheetId="45">'205'!$H$20:$H$27,'205'!$H$29,'205'!$H$31,'205'!$H$33,'205'!$H$35:$H$36,'205'!$H$38,'205'!$H$40:$H$41,'205'!$H$43,'205'!$H$45</definedName>
    <definedName name="OSRRefH22x_0" localSheetId="46">'206'!$H$20:$H$26,'206'!$H$28:$H$31,'206'!$H$33,'206'!$H$35,'206'!$H$37,'206'!$H$39:$H$40,'206'!$H$42,'206'!$H$44</definedName>
    <definedName name="OSRRefH22x_0" localSheetId="49">'300'!$H$156:$H$165,'300'!$H$167:$H$173,'300'!$H$175,'300'!$H$177,'300'!$H$179,'300'!$H$181:$H$182,'300'!$H$184:$H$185,'300'!$H$187,'300'!$H$189,'300'!$H$191,'300'!$H$193:$H$194,'300'!$H$196,'300'!$H$198,'300'!$H$200,'300'!$H$202,'300'!$H$204,'300'!$H$206:$H$209,'300'!$H$211:$H$213,'300'!$H$215:$H$218,'300'!$H$220:$H$221,'300'!$H$223:$H$229,'300'!$H$231:$H$232,'300'!$H$234,'300'!$H$236:$H$238,'300'!$H$240</definedName>
    <definedName name="OSRRefH22x_0" localSheetId="50">'300 &amp; 317'!$H$180:$H$189,'300 &amp; 317'!$H$191:$H$197,'300 &amp; 317'!$H$199,'300 &amp; 317'!$H$201,'300 &amp; 317'!$H$203,'300 &amp; 317'!$H$205:$H$206,'300 &amp; 317'!$H$208:$H$209,'300 &amp; 317'!$H$211,'300 &amp; 317'!$H$213,'300 &amp; 317'!$H$215,'300 &amp; 317'!$H$217:$H$218,'300 &amp; 317'!$H$220,'300 &amp; 317'!$H$222,'300 &amp; 317'!$H$224,'300 &amp; 317'!$H$226,'300 &amp; 317'!$H$228,'300 &amp; 317'!$H$230:$H$233,'300 &amp; 317'!$H$235:$H$237,'300 &amp; 317'!$H$239:$H$242,'300 &amp; 317'!$H$244:$H$245,'300 &amp; 317'!$H$247:$H$253,'300 &amp; 317'!$H$255:$H$256,'300 &amp; 317'!$H$258,'300 &amp; 317'!$H$260:$H$262,'300 &amp; 317'!$H$264</definedName>
    <definedName name="OSRRefH22x_0" localSheetId="51">'301'!$H$20:$H$28,'301'!$H$30:$H$36,'301'!$H$38,'301'!$H$40,'301'!$H$42,'301'!$H$44:$H$45,'301'!$H$47:$H$48,'301'!$H$50,'301'!$H$52,'301'!$H$54,'301'!$H$56,'301'!$H$58,'301'!$H$60,'301'!$H$62,'301'!$H$64,'301'!$H$66:$H$69,'301'!$H$71:$H$73,'301'!$H$75,'301'!$H$77:$H$82,'301'!$H$84,'301'!$H$86,'301'!$H$88:$H$89,'301'!$H$91</definedName>
    <definedName name="OSRRefH22x_0" localSheetId="52">'306'!$H$20:$H$28,'306'!$H$30:$H$35,'306'!$H$37,'306'!$H$39,'306'!$H$41:$H$42,'306'!$H$44</definedName>
    <definedName name="OSRRefH22x_0" localSheetId="54">'307'!$H$65:$H$72,'307'!$H$74:$H$77,'307'!$H$79,'307'!$H$81,'307'!$H$83:$H$84,'307'!$H$86,'307'!$H$88,'307'!$H$90:$H$91,'307'!$H$93:$H$94,'307'!$H$96:$H$98,'307'!$H$100</definedName>
    <definedName name="OSRRefH22x_0" localSheetId="56">'308'!$H$60:$H$68,'308'!$H$70:$H$75,'308'!$H$77,'308'!$H$79:$H$80,'308'!$H$82,'308'!$H$84,'308'!$H$86:$H$87,'308'!$H$89,'308'!$H$91,'308'!$H$93:$H$94,'308'!$H$96,'308'!$H$98:$H$100,'308'!$H$102:$H$103,'308'!$H$105,'308'!$H$107</definedName>
    <definedName name="OSRRefH22x_0" localSheetId="68">'309'!$H$24:$H$31,'309'!$H$33:$H$36,'309'!$H$38,'309'!$H$40,'309'!$H$42,'309'!$H$44,'309'!$H$46,'309'!$H$48:$H$49,'309'!$H$51:$H$52,'309'!$H$54:$H$56,'309'!$H$58</definedName>
    <definedName name="OSRRefH22x_0" localSheetId="67">'310'!$H$30:$H$37,'310'!$H$39:$H$44,'310'!$H$46,'310'!$H$48,'310'!$H$50,'310'!$H$52:$H$53,'310'!$H$55,'310'!$H$57,'310'!$H$59,'310'!$H$61,'310'!$H$63,'310'!$H$65,'310'!$H$67,'310'!$H$69:$H$71,'310'!$H$73,'310'!$H$75:$H$78,'310'!$H$80,'310'!$H$82:$H$88,'310'!$H$90,'310'!$H$92,'310'!$H$94</definedName>
    <definedName name="OSRRefH22x_0" localSheetId="76">'310 &amp; 491'!$H$37:$H$45,'310 &amp; 491'!$H$47:$H$53,'310 &amp; 491'!$H$55,'310 &amp; 491'!$H$57,'310 &amp; 491'!$H$59,'310 &amp; 491'!$H$61:$H$63,'310 &amp; 491'!$H$65,'310 &amp; 491'!$H$67,'310 &amp; 491'!$H$69,'310 &amp; 491'!$H$71:$H$72,'310 &amp; 491'!$H$74:$H$75,'310 &amp; 491'!$H$77,'310 &amp; 491'!$H$79,'310 &amp; 491'!$H$81,'310 &amp; 491'!$H$83,'310 &amp; 491'!$H$85:$H$87,'310 &amp; 491'!$H$89:$H$90,'310 &amp; 491'!$H$92:$H$96,'310 &amp; 491'!$H$98,'310 &amp; 491'!$H$100:$H$108,'310 &amp; 491'!$H$110,'310 &amp; 491'!$H$112,'310 &amp; 491'!$H$114:$H$116,'310 &amp; 491'!$H$118</definedName>
    <definedName name="OSRRefH22x_0" localSheetId="57">'311'!$H$59:$H$67,'311'!$H$69:$H$74,'311'!$H$76,'311'!$H$78:$H$79,'311'!$H$81,'311'!$H$83,'311'!$H$85:$H$86,'311'!$H$88,'311'!$H$90,'311'!$H$92:$H$93,'311'!$H$95,'311'!$H$97:$H$99,'311'!$H$101:$H$102,'311'!$H$104,'311'!$H$106</definedName>
    <definedName name="OSRRefH22x_0" localSheetId="69">'313'!$H$27:$H$34,'313'!$H$36:$H$40,'313'!$H$42,'313'!$H$44,'313'!$H$46,'313'!$H$48,'313'!$H$50,'313'!$H$52,'313'!$H$54:$H$56,'313'!$H$58,'313'!$H$60:$H$64,'313'!$H$66,'313'!$H$68</definedName>
    <definedName name="OSRRefH22x_0" localSheetId="55">'314'!$H$53:$H$59,'314'!$H$61:$H$62,'314'!$H$64,'314'!$H$66:$H$67,'314'!$H$69,'314'!$H$71</definedName>
    <definedName name="OSRRefH22x_0" localSheetId="60">'315'!$H$73:$H$80,'315'!$H$82:$H$86,'315'!$H$88,'315'!$H$90:$H$91,'315'!$H$93,'315'!$H$95,'315'!$H$97,'315'!$H$99:$H$100,'315'!$H$102,'315'!$H$104:$H$107,'315'!$H$109,'315'!$H$111</definedName>
    <definedName name="OSRRefH22x_0" localSheetId="63">'316'!$H$32:$H$39,'316'!$H$41:$H$43,'316'!$H$45,'316'!$H$47,'316'!$H$49,'316'!$H$51:$H$52,'316'!$H$54,'316'!$H$56,'316'!$H$58:$H$63,'316'!$H$65,'316'!$H$67,'316'!$H$69</definedName>
    <definedName name="OSRRefH22x_0" localSheetId="66">'317'!$H$57:$H$65,'317'!$H$67:$H$71,'317'!$H$73,'317'!$H$75,'317'!$H$77,'317'!$H$79:$H$80,'317'!$H$82,'317'!$H$84,'317'!$H$86,'317'!$H$88:$H$90,'317'!$H$92</definedName>
    <definedName name="OSRRefH22x_0" localSheetId="64">'320'!$H$28:$H$34,'320'!$H$36:$H$38,'320'!$H$40,'320'!$H$42,'320'!$H$44:$H$45,'320'!$H$47,'320'!$H$49,'320'!$H$51:$H$52,'320'!$H$54</definedName>
    <definedName name="OSRRefH22x_0" localSheetId="70">'321'!$H$24:$H$31,'321'!$H$33:$H$37,'321'!$H$39,'321'!$H$41,'321'!$H$43,'321'!$H$45,'321'!$H$47:$H$49,'321'!$H$51,'321'!$H$53:$H$55,'321'!$H$57:$H$60,'321'!$H$62,'321'!$H$64</definedName>
    <definedName name="OSRRefH22x_0" localSheetId="71">'322'!$H$24:$H$31,'322'!$H$33:$H$36,'322'!$H$38,'322'!$H$40,'322'!$H$42,'322'!$H$44,'322'!$H$46,'322'!$H$48,'322'!$H$50:$H$51,'322'!$H$53:$H$55,'322'!$H$57:$H$61,'322'!$H$63,'322'!$H$65</definedName>
    <definedName name="OSRRefH22x_0" localSheetId="72">'325'!$H$24:$H$31,'325'!$H$33:$H$37,'325'!$H$39,'325'!$H$41,'325'!$H$43,'325'!$H$45:$H$46,'325'!$H$48,'325'!$H$50,'325'!$H$52,'325'!$H$54,'325'!$H$56:$H$58,'325'!$H$60:$H$62,'325'!$H$64,'325'!$H$66:$H$70,'325'!$H$72,'325'!$H$74</definedName>
    <definedName name="OSRRefH22x_0" localSheetId="61">'326'!$H$57:$H$64,'326'!$H$66:$H$70,'326'!$H$72,'326'!$H$74,'326'!$H$76,'326'!$H$78,'326'!$H$80,'326'!$H$82,'326'!$H$84,'326'!$H$86,'326'!$H$88,'326'!$H$90,'326'!$H$92:$H$94,'326'!$H$96,'326'!$H$98:$H$100,'326'!$H$102,'326'!$H$104,'326'!$H$106</definedName>
    <definedName name="OSRRefH22x_0" localSheetId="73">'327'!$H$22</definedName>
    <definedName name="OSRRefH22x_0" localSheetId="53">'330'!$H$74:$H$81,'330'!$H$83:$H$86,'330'!$H$88,'330'!$H$90,'330'!$H$92:$H$93,'330'!$H$95,'330'!$H$97,'330'!$H$99:$H$100,'330'!$H$102:$H$103,'330'!$H$105,'330'!$H$107:$H$109,'330'!$H$111</definedName>
    <definedName name="OSRRefH22x_0" localSheetId="59">'331'!$H$81:$H$88,'331'!$H$90:$H$94,'331'!$H$96,'331'!$H$98,'331'!$H$100,'331'!$H$102:$H$103,'331'!$H$105,'331'!$H$107,'331'!$H$109,'331'!$H$111,'331'!$H$113,'331'!$H$115,'331'!$H$117,'331'!$H$119:$H$120,'331'!$H$122:$H$124,'331'!$H$126,'331'!$H$128:$H$132,'331'!$H$134,'331'!$H$136,'331'!$H$138,'331'!$H$140</definedName>
    <definedName name="OSRRefH22x_0" localSheetId="62">'332'!$H$40:$H$47,'332'!$H$49:$H$52,'332'!$H$54,'332'!$H$56,'332'!$H$58,'332'!$H$60,'332'!$H$62:$H$63,'332'!$H$65,'332'!$H$67,'332'!$H$69,'332'!$H$71,'332'!$H$73:$H$78,'332'!$H$80,'332'!$H$82,'332'!$H$84</definedName>
    <definedName name="OSRRefH22x_0" localSheetId="78">'405'!$H$24:$H$31,'405'!$H$33:$H$36,'405'!$H$38,'405'!$H$40,'405'!$H$42,'405'!$H$44:$H$45,'405'!$H$47,'405'!$H$49,'405'!$H$51,'405'!$H$53:$H$54,'405'!$H$56,'405'!$H$58:$H$60,'405'!$H$62,'405'!$H$64:$H$70,'405'!$H$72,'405'!$H$74,'405'!$H$76</definedName>
    <definedName name="OSRRefH22x_0" localSheetId="79">'406'!$H$24:$H$31,'406'!$H$33:$H$37,'406'!$H$39,'406'!$H$41,'406'!$H$43,'406'!$H$45,'406'!$H$47,'406'!$H$49,'406'!$H$51:$H$53,'406'!$H$55,'406'!$H$57:$H$61,'406'!$H$63,'406'!$H$65</definedName>
    <definedName name="OSRRefH22x_0" localSheetId="80">'411'!$H$20:$H$28,'411'!$H$30:$H$35,'411'!$H$37,'411'!$H$39,'411'!$H$41:$H$43,'411'!$H$45,'411'!$H$47,'411'!$H$49,'411'!$H$51,'411'!$H$53,'411'!$H$55:$H$56,'411'!$H$58:$H$62,'411'!$H$64:$H$69,'411'!$H$71,'411'!$H$73,'411'!$H$75:$H$77,'411'!$H$79</definedName>
    <definedName name="OSRRefH22x_0" localSheetId="81">'412'!$H$23:$H$30,'412'!$H$32:$H$37,'412'!$H$39,'412'!$H$41,'412'!$H$43,'412'!$H$45,'412'!$H$47,'412'!$H$49,'412'!$H$51:$H$52,'412'!$H$54:$H$55,'412'!$H$57:$H$61,'412'!$H$63,'412'!$H$65</definedName>
    <definedName name="OSRRefH22x_0" localSheetId="83">'413'!$H$24:$H$31,'413'!$H$33:$H$36,'413'!$H$38,'413'!$H$40,'413'!$H$42,'413'!$H$44,'413'!$H$46,'413'!$H$48:$H$50,'413'!$H$52:$H$53,'413'!$H$55:$H$58,'413'!$H$60</definedName>
    <definedName name="OSRRefH22x_0" localSheetId="84">'414'!$H$24:$H$30,'414'!$H$32:$H$35,'414'!$H$37,'414'!$H$39,'414'!$H$41,'414'!$H$43,'414'!$H$45,'414'!$H$47,'414'!$H$49:$H$50,'414'!$H$52,'414'!$H$54,'414'!$H$56,'414'!$H$58:$H$64,'414'!$H$66,'414'!$H$68</definedName>
    <definedName name="OSRRefH22x_0" localSheetId="85">'415'!$H$24:$H$31,'415'!$H$33:$H$37,'415'!$H$39,'415'!$H$41,'415'!$H$43,'415'!$H$45:$H$46,'415'!$H$48,'415'!$H$50,'415'!$H$52,'415'!$H$54,'415'!$H$56,'415'!$H$58:$H$60,'415'!$H$62:$H$66,'415'!$H$68,'415'!$H$70:$H$76,'415'!$H$78,'415'!$H$80,'415'!$H$82</definedName>
    <definedName name="OSRRefH22x_0" localSheetId="86">'418'!$H$24:$H$31,'418'!$H$33:$H$38,'418'!$H$40,'418'!$H$42,'418'!$H$44,'418'!$H$46:$H$47,'418'!$H$49,'418'!$H$51,'418'!$H$53:$H$54,'418'!$H$56:$H$58,'418'!$H$60:$H$62,'418'!$H$64,'418'!$H$66:$H$71,'418'!$H$73,'418'!$H$75</definedName>
    <definedName name="OSRRefH22x_0" localSheetId="82">'420'!$H$20:$H$21,'420'!$H$23</definedName>
    <definedName name="OSRRefH22x_0" localSheetId="87">'423'!$H$21:$H$28,'423'!$H$30,'423'!$H$32,'423'!$H$34,'423'!$H$36,'423'!$H$38</definedName>
    <definedName name="OSRRefH22x_0" localSheetId="88">'424'!$H$23,'424'!$H$25:$H$28,'424'!$H$30,'424'!$H$32,'424'!$H$34,'424'!$H$36,'424'!$H$38,'424'!$H$40,'424'!$H$42:$H$43,'424'!$H$45,'424'!$H$47:$H$48,'424'!$H$50</definedName>
    <definedName name="OSRRefH22x_0" localSheetId="89">'425'!$H$24:$H$31,'425'!$H$33:$H$37,'425'!$H$39,'425'!$H$41,'425'!$H$43,'425'!$H$45,'425'!$H$47,'425'!$H$49,'425'!$H$51,'425'!$H$53:$H$55,'425'!$H$57,'425'!$H$59:$H$60,'425'!$H$62:$H$66,'425'!$H$68,'425'!$H$70</definedName>
    <definedName name="OSRRefH22x_0" localSheetId="92">'430'!$H$20:$H$27,'430'!$H$29,'430'!$H$31,'430'!$H$33,'430'!$H$35:$H$36,'430'!$H$38,'430'!$H$40,'430'!$H$42</definedName>
    <definedName name="OSRRefH22x_0" localSheetId="93">'433'!$H$25:$H$33,'433'!$H$35:$H$40,'433'!$H$42,'433'!$H$44,'433'!$H$46,'433'!$H$48,'433'!$H$50,'433'!$H$52,'433'!$H$54,'433'!$H$56,'433'!$H$58,'433'!$H$60,'433'!$H$62:$H$64,'433'!$H$66:$H$72,'433'!$H$74,'433'!$H$76,'433'!$H$78</definedName>
    <definedName name="OSRRefH22x_0" localSheetId="94">'435'!$H$25:$H$27,'435'!$H$29:$H$30,'435'!$H$32,'435'!$H$34,'435'!$H$36,'435'!$H$38,'435'!$H$40:$H$41,'435'!$H$43</definedName>
    <definedName name="OSRRefH22x_0" localSheetId="95">'444'!$H$25:$H$33,'444'!$H$35:$H$40,'444'!$H$42,'444'!$H$44,'444'!$H$46,'444'!$H$48,'444'!$H$50,'444'!$H$52,'444'!$H$54,'444'!$H$56,'444'!$H$58,'444'!$H$60:$H$61,'444'!$H$63:$H$65,'444'!$H$67:$H$74,'444'!$H$76,'444'!$H$78,'444'!$H$80</definedName>
    <definedName name="OSRRefH22x_0" localSheetId="96">'450'!$H$25:$H$33,'450'!$H$35:$H$40,'450'!$H$42,'450'!$H$44,'450'!$H$46,'450'!$H$48,'450'!$H$50,'450'!$H$52,'450'!$H$54,'450'!$H$56,'450'!$H$58,'450'!$H$60,'450'!$H$62,'450'!$H$64:$H$66,'450'!$H$68:$H$73,'450'!$H$75,'450'!$H$77,'450'!$H$79</definedName>
    <definedName name="OSRRefH22x_0" localSheetId="90">'455'!$H$20:$H$26,'455'!$H$28:$H$29</definedName>
    <definedName name="OSRRefH22x_0" localSheetId="77">'491'!$H$31:$H$39,'491'!$H$41:$H$47,'491'!$H$49,'491'!$H$51,'491'!$H$53,'491'!$H$55:$H$57,'491'!$H$59,'491'!$H$61,'491'!$H$63,'491'!$H$65:$H$66,'491'!$H$68,'491'!$H$70,'491'!$H$72,'491'!$H$74,'491'!$H$76:$H$78,'491'!$H$80:$H$81,'491'!$H$83:$H$87,'491'!$H$89,'491'!$H$91:$H$99,'491'!$H$101,'491'!$H$103,'491'!$H$105:$H$107,'491'!$H$109</definedName>
    <definedName name="OSRRefH22x_0" localSheetId="91">'492'!$H$27:$H$35,'492'!$H$37:$H$43,'492'!$H$45,'492'!$H$47,'492'!$H$49,'492'!$H$51,'492'!$H$53,'492'!$H$55,'492'!$H$57,'492'!$H$59,'492'!$H$61,'492'!$H$63,'492'!$H$65:$H$67,'492'!$H$69:$H$71,'492'!$H$73:$H$80,'492'!$H$82,'492'!$H$84,'492'!$H$86</definedName>
    <definedName name="OSRRefH22x_0" localSheetId="98">'501'!$H$21:$H$29,'501'!$H$31:$H$35,'501'!$H$37,'501'!$H$39,'501'!$H$41,'501'!$H$43:$H$44,'501'!$H$46,'501'!$H$48,'501'!$H$50:$H$51,'501'!$H$53:$H$55,'501'!$H$57</definedName>
    <definedName name="OSRRefH22x_0" localSheetId="39">'Div 2'!$H$20:$H$30,'Div 2'!$H$32:$H$38,'Div 2'!$H$40,'Div 2'!$H$42,'Div 2'!$H$44,'Div 2'!$H$46,'Div 2'!$H$48,'Div 2'!$H$50,'Div 2'!$H$52,'Div 2'!$H$54:$H$55,'Div 2'!$H$57,'Div 2'!$H$59,'Div 2'!$H$61:$H$64,'Div 2'!$H$66:$H$68,'Div 2'!$H$70:$H$71,'Div 2'!$H$73,'Div 2'!$H$75:$H$79,'Div 2'!$H$81:$H$82,'Div 2'!$H$84,'Div 2'!$H$86:$H$87</definedName>
    <definedName name="OSRRefH22x_0" localSheetId="48">'Div 3'!$H$161:$H$170,'Div 3'!$H$172:$H$178,'Div 3'!$H$180,'Div 3'!$H$182,'Div 3'!$H$184,'Div 3'!$H$186:$H$187,'Div 3'!$H$189:$H$190,'Div 3'!$H$192,'Div 3'!$H$194,'Div 3'!$H$196,'Div 3'!$H$198:$H$199,'Div 3'!$H$201,'Div 3'!$H$203,'Div 3'!$H$205,'Div 3'!$H$207,'Div 3'!$H$209,'Div 3'!$H$211,'Div 3'!$H$213:$H$216,'Div 3'!$H$218:$H$220,'Div 3'!$H$222:$H$226,'Div 3'!$H$228:$H$229,'Div 3'!$H$231:$H$237,'Div 3'!$H$239:$H$240,'Div 3'!$H$242,'Div 3'!$H$244:$H$246,'Div 3'!$H$248</definedName>
    <definedName name="OSRRefH22x_0" localSheetId="75">'Div 4'!$H$32:$H$40,'Div 4'!$H$42:$H$48,'Div 4'!$H$50,'Div 4'!$H$52,'Div 4'!$H$54,'Div 4'!$H$56:$H$58,'Div 4'!$H$60,'Div 4'!$H$62,'Div 4'!$H$64,'Div 4'!$H$66,'Div 4'!$H$68:$H$69,'Div 4'!$H$71,'Div 4'!$H$73,'Div 4'!$H$75,'Div 4'!$H$77,'Div 4'!$H$79,'Div 4'!$H$81:$H$83,'Div 4'!$H$85:$H$86,'Div 4'!$H$88:$H$92,'Div 4'!$H$94,'Div 4'!$H$96:$H$104,'Div 4'!$H$106,'Div 4'!$H$108,'Div 4'!$H$110:$H$112,'Div 4'!$H$114</definedName>
    <definedName name="OSRRefH22x_0" localSheetId="97">'Div 5'!$H$21:$H$29,'Div 5'!$H$31:$H$35,'Div 5'!$H$37,'Div 5'!$H$39,'Div 5'!$H$41,'Div 5'!$H$43:$H$44,'Div 5'!$H$46,'Div 5'!$H$48,'Div 5'!$H$50:$H$51,'Div 5'!$H$53:$H$55,'Div 5'!$H$57</definedName>
    <definedName name="OSRRefH22x_0" localSheetId="65">'Div 6'!$H$57:$H$65,'Div 6'!$H$67:$H$71,'Div 6'!$H$73,'Div 6'!$H$75,'Div 6'!$H$77,'Div 6'!$H$79:$H$80,'Div 6'!$H$82,'Div 6'!$H$84,'Div 6'!$H$86,'Div 6'!$H$88:$H$90,'Div 6'!$H$92</definedName>
    <definedName name="OSRRefH22x_0" localSheetId="2">Summary!$H$192:$H$201,Summary!$H$203:$H$209,Summary!$H$211,Summary!$H$213,Summary!$H$215,Summary!$H$217:$H$219,Summary!$H$221:$H$222,Summary!$H$224,Summary!$H$226,Summary!$H$228,Summary!$H$230:$H$231,Summary!$H$233:$H$234,Summary!$H$236,Summary!$H$238,Summary!$H$240,Summary!$H$242,Summary!$H$244,Summary!$H$246,Summary!$H$248:$H$251,Summary!$H$253:$H$255,Summary!$H$257:$H$261,Summary!$H$263:$H$264,Summary!$H$266:$H$274,Summary!$H$276:$H$277,Summary!$H$279,Summary!$H$281:$H$283,Summary!$H$285</definedName>
    <definedName name="OSRRefH25x_0" localSheetId="49">'300'!$H$243:$H$250</definedName>
    <definedName name="OSRRefH25x_0" localSheetId="50">'300 &amp; 317'!$H$267:$H$276</definedName>
    <definedName name="OSRRefH25x_0" localSheetId="51">'301'!$H$94:$H$95</definedName>
    <definedName name="OSRRefH25x_0" localSheetId="56">'308'!$H$110:$H$112</definedName>
    <definedName name="OSRRefH25x_0" localSheetId="76">'310 &amp; 491'!$H$121:$H$123</definedName>
    <definedName name="OSRRefH25x_0" localSheetId="57">'311'!$H$109:$H$111</definedName>
    <definedName name="OSRRefH25x_0" localSheetId="60">'315'!$H$114:$H$115</definedName>
    <definedName name="OSRRefH25x_0" localSheetId="63">'316'!$H$72</definedName>
    <definedName name="OSRRefH25x_0" localSheetId="66">'317'!$H$95:$H$97</definedName>
    <definedName name="OSRRefH25x_0" localSheetId="64">'320'!$H$57:$H$60</definedName>
    <definedName name="OSRRefH25x_0" localSheetId="59">'331'!$H$143:$H$144</definedName>
    <definedName name="OSRRefH25x_0" localSheetId="62">'332'!$H$87:$H$91</definedName>
    <definedName name="OSRRefH25x_0" localSheetId="80">'411'!$H$82:$H$83</definedName>
    <definedName name="OSRRefH25x_0" localSheetId="83">'413'!$H$63</definedName>
    <definedName name="OSRRefH25x_0" localSheetId="86">'418'!$H$78</definedName>
    <definedName name="OSRRefH25x_0" localSheetId="87">'423'!$H$41</definedName>
    <definedName name="OSRRefH25x_0" localSheetId="88">'424'!$H$53</definedName>
    <definedName name="OSRRefH25x_0" localSheetId="89">'425'!$H$73</definedName>
    <definedName name="OSRRefH25x_0" localSheetId="90">'455'!$H$32:$H$33</definedName>
    <definedName name="OSRRefH25x_0" localSheetId="77">'491'!$H$112:$H$114</definedName>
    <definedName name="OSRRefH25x_0" localSheetId="98">'501'!$H$60</definedName>
    <definedName name="OSRRefH25x_0" localSheetId="48">'Div 3'!$H$251:$H$258</definedName>
    <definedName name="OSRRefH25x_0" localSheetId="75">'Div 4'!$H$117:$H$119</definedName>
    <definedName name="OSRRefH25x_0" localSheetId="97">'Div 5'!$H$60</definedName>
    <definedName name="OSRRefH25x_0" localSheetId="65">'Div 6'!$H$95:$H$97</definedName>
    <definedName name="OSRRefH25x_0" localSheetId="2">Summary!$H$288:$H$298</definedName>
    <definedName name="OSRRefP13x_0" localSheetId="49">'300'!$P$13:$P$101</definedName>
    <definedName name="OSRRefP13x_0" localSheetId="50">'300 &amp; 317'!$P$13:$P$118</definedName>
    <definedName name="OSRRefP13x_0" localSheetId="54">'307'!$P$13:$P$40</definedName>
    <definedName name="OSRRefP13x_0" localSheetId="56">'308'!$P$13:$P$39</definedName>
    <definedName name="OSRRefP13x_0" localSheetId="68">'309'!$P$13:$P$14</definedName>
    <definedName name="OSRRefP13x_0" localSheetId="67">'310'!$P$13:$P$20</definedName>
    <definedName name="OSRRefP13x_0" localSheetId="76">'310 &amp; 491'!$P$13:$P$27</definedName>
    <definedName name="OSRRefP13x_0" localSheetId="57">'311'!$P$13:$P$38</definedName>
    <definedName name="OSRRefP13x_0" localSheetId="69">'313'!$P$13:$P$17</definedName>
    <definedName name="OSRRefP13x_0" localSheetId="55">'314'!$P$13:$P$31</definedName>
    <definedName name="OSRRefP13x_0" localSheetId="60">'315'!$P$13:$P$48</definedName>
    <definedName name="OSRRefP13x_0" localSheetId="63">'316'!$P$13:$P$24</definedName>
    <definedName name="OSRRefP13x_0" localSheetId="66">'317'!$P$13:$P$36</definedName>
    <definedName name="OSRRefP13x_0" localSheetId="64">'320'!$P$13:$P$15</definedName>
    <definedName name="OSRRefP13x_0" localSheetId="70">'321'!$P$13:$P$14</definedName>
    <definedName name="OSRRefP13x_0" localSheetId="71">'322'!$P$13:$P$14</definedName>
    <definedName name="OSRRefP13x_0" localSheetId="58">'324'!$P$13:$P$15</definedName>
    <definedName name="OSRRefP13x_0" localSheetId="72">'325'!$P$13:$P$14</definedName>
    <definedName name="OSRRefP13x_0" localSheetId="61">'326'!$P$13:$P$36</definedName>
    <definedName name="OSRRefP13x_0" localSheetId="73">'327'!$P$13</definedName>
    <definedName name="OSRRefP13x_0" localSheetId="53">'330'!$P$13:$P$45</definedName>
    <definedName name="OSRRefP13x_0" localSheetId="59">'331'!$P$13:$P$51</definedName>
    <definedName name="OSRRefP13x_0" localSheetId="62">'332'!$P$13:$P$27</definedName>
    <definedName name="OSRRefP13x_0" localSheetId="78">'405'!$P$13:$P$14</definedName>
    <definedName name="OSRRefP13x_0" localSheetId="79">'406'!$P$13:$P$14</definedName>
    <definedName name="OSRRefP13x_0" localSheetId="81">'412'!$P$13:$P$14</definedName>
    <definedName name="OSRRefP13x_0" localSheetId="83">'413'!$P$13:$P$14</definedName>
    <definedName name="OSRRefP13x_0" localSheetId="84">'414'!$P$13:$P$14</definedName>
    <definedName name="OSRRefP13x_0" localSheetId="85">'415'!$P$13:$P$14</definedName>
    <definedName name="OSRRefP13x_0" localSheetId="86">'418'!$P$13:$P$14</definedName>
    <definedName name="OSRRefP13x_0" localSheetId="88">'424'!$P$13</definedName>
    <definedName name="OSRRefP13x_0" localSheetId="89">'425'!$P$13:$P$14</definedName>
    <definedName name="OSRRefP13x_0" localSheetId="93">'433'!$P$13:$P$15</definedName>
    <definedName name="OSRRefP13x_0" localSheetId="94">'435'!$P$13:$P$15</definedName>
    <definedName name="OSRRefP13x_0" localSheetId="95">'444'!$P$13:$P$15</definedName>
    <definedName name="OSRRefP13x_0" localSheetId="96">'450'!$P$13:$P$15</definedName>
    <definedName name="OSRRefP13x_0" localSheetId="77">'491'!$P$13:$P$21</definedName>
    <definedName name="OSRRefP13x_0" localSheetId="91">'492'!$P$13:$P$17</definedName>
    <definedName name="OSRRefP13x_0" localSheetId="98">'501'!$P$13</definedName>
    <definedName name="OSRRefP13x_0" localSheetId="48">'Div 3'!$P$13:$P$104</definedName>
    <definedName name="OSRRefP13x_0" localSheetId="75">'Div 4'!$P$13:$P$22</definedName>
    <definedName name="OSRRefP13x_0" localSheetId="97">'Div 5'!$P$13</definedName>
    <definedName name="OSRRefP13x_0" localSheetId="65">'Div 6'!$P$13:$P$36</definedName>
    <definedName name="OSRRefP13x_0" localSheetId="2">Summary!$P$13:$P$128</definedName>
    <definedName name="OSRRefP16x_0" localSheetId="49">'300'!$P$104:$P$150</definedName>
    <definedName name="OSRRefP16x_0" localSheetId="50">'300 &amp; 317'!$P$121:$P$174</definedName>
    <definedName name="OSRRefP16x_0" localSheetId="54">'307'!$P$43:$P$59</definedName>
    <definedName name="OSRRefP16x_0" localSheetId="56">'308'!$P$42:$P$54</definedName>
    <definedName name="OSRRefP16x_0" localSheetId="68">'309'!$P$17:$P$18</definedName>
    <definedName name="OSRRefP16x_0" localSheetId="67">'310'!$P$23:$P$24</definedName>
    <definedName name="OSRRefP16x_0" localSheetId="76">'310 &amp; 491'!$P$30:$P$31</definedName>
    <definedName name="OSRRefP16x_0" localSheetId="57">'311'!$P$41:$P$53</definedName>
    <definedName name="OSRRefP16x_0" localSheetId="69">'313'!$P$20:$P$21</definedName>
    <definedName name="OSRRefP16x_0" localSheetId="55">'314'!$P$34:$P$47</definedName>
    <definedName name="OSRRefP16x_0" localSheetId="60">'315'!$P$51:$P$67</definedName>
    <definedName name="OSRRefP16x_0" localSheetId="66">'317'!$P$39:$P$51</definedName>
    <definedName name="OSRRefP16x_0" localSheetId="64">'320'!$P$18:$P$22</definedName>
    <definedName name="OSRRefP16x_0" localSheetId="70">'321'!$P$17:$P$18</definedName>
    <definedName name="OSRRefP16x_0" localSheetId="71">'322'!$P$17:$P$18</definedName>
    <definedName name="OSRRefP16x_0" localSheetId="58">'324'!$P$18:$P$19</definedName>
    <definedName name="OSRRefP16x_0" localSheetId="72">'325'!$P$17:$P$18</definedName>
    <definedName name="OSRRefP16x_0" localSheetId="61">'326'!$P$39:$P$51</definedName>
    <definedName name="OSRRefP16x_0" localSheetId="73">'327'!$P$16</definedName>
    <definedName name="OSRRefP16x_0" localSheetId="53">'330'!$P$48:$P$68</definedName>
    <definedName name="OSRRefP16x_0" localSheetId="59">'331'!$P$54:$P$75</definedName>
    <definedName name="OSRRefP16x_0" localSheetId="62">'332'!$P$30:$P$34</definedName>
    <definedName name="OSRRefP16x_0" localSheetId="78">'405'!$P$17:$P$18</definedName>
    <definedName name="OSRRefP16x_0" localSheetId="79">'406'!$P$17:$P$18</definedName>
    <definedName name="OSRRefP16x_0" localSheetId="81">'412'!$P$17</definedName>
    <definedName name="OSRRefP16x_0" localSheetId="83">'413'!$P$17:$P$18</definedName>
    <definedName name="OSRRefP16x_0" localSheetId="84">'414'!$P$17:$P$18</definedName>
    <definedName name="OSRRefP16x_0" localSheetId="85">'415'!$P$17:$P$18</definedName>
    <definedName name="OSRRefP16x_0" localSheetId="86">'418'!$P$17:$P$18</definedName>
    <definedName name="OSRRefP16x_0" localSheetId="87">'423'!$P$15</definedName>
    <definedName name="OSRRefP16x_0" localSheetId="88">'424'!$P$16:$P$17</definedName>
    <definedName name="OSRRefP16x_0" localSheetId="89">'425'!$P$17:$P$18</definedName>
    <definedName name="OSRRefP16x_0" localSheetId="93">'433'!$P$18:$P$19</definedName>
    <definedName name="OSRRefP16x_0" localSheetId="94">'435'!$P$18:$P$19</definedName>
    <definedName name="OSRRefP16x_0" localSheetId="95">'444'!$P$18:$P$19</definedName>
    <definedName name="OSRRefP16x_0" localSheetId="96">'450'!$P$18:$P$19</definedName>
    <definedName name="OSRRefP16x_0" localSheetId="77">'491'!$P$24:$P$25</definedName>
    <definedName name="OSRRefP16x_0" localSheetId="91">'492'!$P$20:$P$21</definedName>
    <definedName name="OSRRefP16x_0" localSheetId="48">'Div 3'!$P$107:$P$155</definedName>
    <definedName name="OSRRefP16x_0" localSheetId="75">'Div 4'!$P$25:$P$26</definedName>
    <definedName name="OSRRefP16x_0" localSheetId="65">'Div 6'!$P$39:$P$51</definedName>
    <definedName name="OSRRefP16x_0" localSheetId="2">Summary!$P$131:$P$186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'203'!$P$20:$P$29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9">'300'!$P$156:$P$165</definedName>
    <definedName name="OSRRefP22_0x_0" localSheetId="50">'300 &amp; 317'!$P$180:$P$189</definedName>
    <definedName name="OSRRefP22_0x_0" localSheetId="51">'301'!$P$20:$P$28</definedName>
    <definedName name="OSRRefP22_0x_0" localSheetId="52">'306'!$P$20:$P$28</definedName>
    <definedName name="OSRRefP22_0x_0" localSheetId="54">'307'!$P$65:$P$72</definedName>
    <definedName name="OSRRefP22_0x_0" localSheetId="56">'308'!$P$60:$P$68</definedName>
    <definedName name="OSRRefP22_0x_0" localSheetId="68">'309'!$P$24:$P$31</definedName>
    <definedName name="OSRRefP22_0x_0" localSheetId="67">'310'!$P$30:$P$37</definedName>
    <definedName name="OSRRefP22_0x_0" localSheetId="76">'310 &amp; 491'!$P$37:$P$45</definedName>
    <definedName name="OSRRefP22_0x_0" localSheetId="57">'311'!$P$59:$P$67</definedName>
    <definedName name="OSRRefP22_0x_0" localSheetId="69">'313'!$P$27:$P$34</definedName>
    <definedName name="OSRRefP22_0x_0" localSheetId="55">'314'!$P$53:$P$59</definedName>
    <definedName name="OSRRefP22_0x_0" localSheetId="60">'315'!$P$73:$P$80</definedName>
    <definedName name="OSRRefP22_0x_0" localSheetId="63">'316'!$P$32:$P$39</definedName>
    <definedName name="OSRRefP22_0x_0" localSheetId="66">'317'!$P$57:$P$65</definedName>
    <definedName name="OSRRefP22_0x_0" localSheetId="64">'320'!$P$28:$P$34</definedName>
    <definedName name="OSRRefP22_0x_0" localSheetId="70">'321'!$P$24:$P$31</definedName>
    <definedName name="OSRRefP22_0x_0" localSheetId="71">'322'!$P$24:$P$31</definedName>
    <definedName name="OSRRefP22_0x_0" localSheetId="72">'325'!$P$24:$P$31</definedName>
    <definedName name="OSRRefP22_0x_0" localSheetId="61">'326'!$P$57:$P$64</definedName>
    <definedName name="OSRRefP22_0x_0" localSheetId="73">'327'!$P$22</definedName>
    <definedName name="OSRRefP22_0x_0" localSheetId="53">'330'!$P$74:$P$81</definedName>
    <definedName name="OSRRefP22_0x_0" localSheetId="59">'331'!$P$81:$P$88</definedName>
    <definedName name="OSRRefP22_0x_0" localSheetId="62">'332'!$P$40:$P$47</definedName>
    <definedName name="OSRRefP22_0x_0" localSheetId="78">'405'!$P$24:$P$31</definedName>
    <definedName name="OSRRefP22_0x_0" localSheetId="79">'406'!$P$24:$P$31</definedName>
    <definedName name="OSRRefP22_0x_0" localSheetId="80">'411'!$P$20:$P$28</definedName>
    <definedName name="OSRRefP22_0x_0" localSheetId="81">'412'!$P$23:$P$30</definedName>
    <definedName name="OSRRefP22_0x_0" localSheetId="83">'413'!$P$24:$P$31</definedName>
    <definedName name="OSRRefP22_0x_0" localSheetId="84">'414'!$P$24:$P$30</definedName>
    <definedName name="OSRRefP22_0x_0" localSheetId="85">'415'!$P$24:$P$31</definedName>
    <definedName name="OSRRefP22_0x_0" localSheetId="86">'418'!$P$24:$P$31</definedName>
    <definedName name="OSRRefP22_0x_0" localSheetId="82">'420'!$P$20:$P$21</definedName>
    <definedName name="OSRRefP22_0x_0" localSheetId="87">'423'!$P$21:$P$28</definedName>
    <definedName name="OSRRefP22_0x_0" localSheetId="88">'424'!$P$23</definedName>
    <definedName name="OSRRefP22_0x_0" localSheetId="89">'425'!$P$24:$P$31</definedName>
    <definedName name="OSRRefP22_0x_0" localSheetId="92">'430'!$P$20:$P$27</definedName>
    <definedName name="OSRRefP22_0x_0" localSheetId="93">'433'!$P$25:$P$33</definedName>
    <definedName name="OSRRefP22_0x_0" localSheetId="94">'435'!$P$25:$P$27</definedName>
    <definedName name="OSRRefP22_0x_0" localSheetId="95">'444'!$P$25:$P$33</definedName>
    <definedName name="OSRRefP22_0x_0" localSheetId="96">'450'!$P$25:$P$33</definedName>
    <definedName name="OSRRefP22_0x_0" localSheetId="90">'455'!$P$20:$P$26</definedName>
    <definedName name="OSRRefP22_0x_0" localSheetId="77">'491'!$P$31:$P$39</definedName>
    <definedName name="OSRRefP22_0x_0" localSheetId="91">'492'!$P$27:$P$35</definedName>
    <definedName name="OSRRefP22_0x_0" localSheetId="98">'501'!$P$21:$P$29</definedName>
    <definedName name="OSRRefP22_0x_0" localSheetId="39">'Div 2'!$P$20:$P$30</definedName>
    <definedName name="OSRRefP22_0x_0" localSheetId="48">'Div 3'!$P$161:$P$170</definedName>
    <definedName name="OSRRefP22_0x_0" localSheetId="75">'Div 4'!$P$32:$P$40</definedName>
    <definedName name="OSRRefP22_0x_0" localSheetId="97">'Div 5'!$P$21:$P$29</definedName>
    <definedName name="OSRRefP22_0x_0" localSheetId="65">'Div 6'!$P$57:$P$65</definedName>
    <definedName name="OSRRefP22_0x_0" localSheetId="2">Summary!$P$192:$P$201</definedName>
    <definedName name="OSRRefP22_10x_0" localSheetId="41">'201'!$P$51:$P$53</definedName>
    <definedName name="OSRRefP22_10x_0" localSheetId="42">'202'!$P$52:$P$54</definedName>
    <definedName name="OSRRefP22_10x_0" localSheetId="43">'203'!$P$53:$P$54</definedName>
    <definedName name="OSRRefP22_10x_0" localSheetId="49">'300'!$P$193:$P$194</definedName>
    <definedName name="OSRRefP22_10x_0" localSheetId="50">'300 &amp; 317'!$P$217:$P$218</definedName>
    <definedName name="OSRRefP22_10x_0" localSheetId="51">'301'!$P$56</definedName>
    <definedName name="OSRRefP22_10x_0" localSheetId="54">'307'!$P$100</definedName>
    <definedName name="OSRRefP22_10x_0" localSheetId="56">'308'!$P$96</definedName>
    <definedName name="OSRRefP22_10x_0" localSheetId="68">'309'!$P$58</definedName>
    <definedName name="OSRRefP22_10x_0" localSheetId="67">'310'!$P$63</definedName>
    <definedName name="OSRRefP22_10x_0" localSheetId="76">'310 &amp; 491'!$P$74:$P$75</definedName>
    <definedName name="OSRRefP22_10x_0" localSheetId="57">'311'!$P$95</definedName>
    <definedName name="OSRRefP22_10x_0" localSheetId="69">'313'!$P$60:$P$64</definedName>
    <definedName name="OSRRefP22_10x_0" localSheetId="60">'315'!$P$109</definedName>
    <definedName name="OSRRefP22_10x_0" localSheetId="63">'316'!$P$67</definedName>
    <definedName name="OSRRefP22_10x_0" localSheetId="66">'317'!$P$92</definedName>
    <definedName name="OSRRefP22_10x_0" localSheetId="70">'321'!$P$62</definedName>
    <definedName name="OSRRefP22_10x_0" localSheetId="71">'322'!$P$57:$P$61</definedName>
    <definedName name="OSRRefP22_10x_0" localSheetId="72">'325'!$P$56:$P$58</definedName>
    <definedName name="OSRRefP22_10x_0" localSheetId="61">'326'!$P$88</definedName>
    <definedName name="OSRRefP22_10x_0" localSheetId="53">'330'!$P$107:$P$109</definedName>
    <definedName name="OSRRefP22_10x_0" localSheetId="59">'331'!$P$113</definedName>
    <definedName name="OSRRefP22_10x_0" localSheetId="62">'332'!$P$71</definedName>
    <definedName name="OSRRefP22_10x_0" localSheetId="78">'405'!$P$56</definedName>
    <definedName name="OSRRefP22_10x_0" localSheetId="79">'406'!$P$57:$P$61</definedName>
    <definedName name="OSRRefP22_10x_0" localSheetId="80">'411'!$P$55:$P$56</definedName>
    <definedName name="OSRRefP22_10x_0" localSheetId="81">'412'!$P$57:$P$61</definedName>
    <definedName name="OSRRefP22_10x_0" localSheetId="83">'413'!$P$60</definedName>
    <definedName name="OSRRefP22_10x_0" localSheetId="84">'414'!$P$54</definedName>
    <definedName name="OSRRefP22_10x_0" localSheetId="85">'415'!$P$56</definedName>
    <definedName name="OSRRefP22_10x_0" localSheetId="86">'418'!$P$60:$P$62</definedName>
    <definedName name="OSRRefP22_10x_0" localSheetId="88">'424'!$P$47:$P$48</definedName>
    <definedName name="OSRRefP22_10x_0" localSheetId="89">'425'!$P$57</definedName>
    <definedName name="OSRRefP22_10x_0" localSheetId="93">'433'!$P$58</definedName>
    <definedName name="OSRRefP22_10x_0" localSheetId="95">'444'!$P$58</definedName>
    <definedName name="OSRRefP22_10x_0" localSheetId="96">'450'!$P$58</definedName>
    <definedName name="OSRRefP22_10x_0" localSheetId="77">'491'!$P$68</definedName>
    <definedName name="OSRRefP22_10x_0" localSheetId="91">'492'!$P$61</definedName>
    <definedName name="OSRRefP22_10x_0" localSheetId="98">'501'!$P$57</definedName>
    <definedName name="OSRRefP22_10x_0" localSheetId="39">'Div 2'!$P$57</definedName>
    <definedName name="OSRRefP22_10x_0" localSheetId="48">'Div 3'!$P$198:$P$199</definedName>
    <definedName name="OSRRefP22_10x_0" localSheetId="75">'Div 4'!$P$68:$P$69</definedName>
    <definedName name="OSRRefP22_10x_0" localSheetId="97">'Div 5'!$P$57</definedName>
    <definedName name="OSRRefP22_10x_0" localSheetId="65">'Div 6'!$P$92</definedName>
    <definedName name="OSRRefP22_10x_0" localSheetId="2">Summary!$P$230:$P$231</definedName>
    <definedName name="OSRRefP22_11x_0" localSheetId="41">'201'!$P$55</definedName>
    <definedName name="OSRRefP22_11x_0" localSheetId="42">'202'!$P$56</definedName>
    <definedName name="OSRRefP22_11x_0" localSheetId="43">'203'!$P$56</definedName>
    <definedName name="OSRRefP22_11x_0" localSheetId="49">'300'!$P$196</definedName>
    <definedName name="OSRRefP22_11x_0" localSheetId="50">'300 &amp; 317'!$P$220</definedName>
    <definedName name="OSRRefP22_11x_0" localSheetId="51">'301'!$P$58</definedName>
    <definedName name="OSRRefP22_11x_0" localSheetId="56">'308'!$P$98:$P$100</definedName>
    <definedName name="OSRRefP22_11x_0" localSheetId="67">'310'!$P$65</definedName>
    <definedName name="OSRRefP22_11x_0" localSheetId="76">'310 &amp; 491'!$P$77</definedName>
    <definedName name="OSRRefP22_11x_0" localSheetId="57">'311'!$P$97:$P$99</definedName>
    <definedName name="OSRRefP22_11x_0" localSheetId="69">'313'!$P$66</definedName>
    <definedName name="OSRRefP22_11x_0" localSheetId="60">'315'!$P$111</definedName>
    <definedName name="OSRRefP22_11x_0" localSheetId="63">'316'!$P$69</definedName>
    <definedName name="OSRRefP22_11x_0" localSheetId="70">'321'!$P$64</definedName>
    <definedName name="OSRRefP22_11x_0" localSheetId="71">'322'!$P$63</definedName>
    <definedName name="OSRRefP22_11x_0" localSheetId="72">'325'!$P$60:$P$62</definedName>
    <definedName name="OSRRefP22_11x_0" localSheetId="61">'326'!$P$90</definedName>
    <definedName name="OSRRefP22_11x_0" localSheetId="53">'330'!$P$111</definedName>
    <definedName name="OSRRefP22_11x_0" localSheetId="59">'331'!$P$115</definedName>
    <definedName name="OSRRefP22_11x_0" localSheetId="62">'332'!$P$73:$P$78</definedName>
    <definedName name="OSRRefP22_11x_0" localSheetId="78">'405'!$P$58:$P$60</definedName>
    <definedName name="OSRRefP22_11x_0" localSheetId="79">'406'!$P$63</definedName>
    <definedName name="OSRRefP22_11x_0" localSheetId="80">'411'!$P$58:$P$62</definedName>
    <definedName name="OSRRefP22_11x_0" localSheetId="81">'412'!$P$63</definedName>
    <definedName name="OSRRefP22_11x_0" localSheetId="84">'414'!$P$56</definedName>
    <definedName name="OSRRefP22_11x_0" localSheetId="85">'415'!$P$58:$P$60</definedName>
    <definedName name="OSRRefP22_11x_0" localSheetId="86">'418'!$P$64</definedName>
    <definedName name="OSRRefP22_11x_0" localSheetId="88">'424'!$P$50</definedName>
    <definedName name="OSRRefP22_11x_0" localSheetId="89">'425'!$P$59:$P$60</definedName>
    <definedName name="OSRRefP22_11x_0" localSheetId="93">'433'!$P$60</definedName>
    <definedName name="OSRRefP22_11x_0" localSheetId="95">'444'!$P$60:$P$61</definedName>
    <definedName name="OSRRefP22_11x_0" localSheetId="96">'450'!$P$60</definedName>
    <definedName name="OSRRefP22_11x_0" localSheetId="77">'491'!$P$70</definedName>
    <definedName name="OSRRefP22_11x_0" localSheetId="91">'492'!$P$63</definedName>
    <definedName name="OSRRefP22_11x_0" localSheetId="39">'Div 2'!$P$59</definedName>
    <definedName name="OSRRefP22_11x_0" localSheetId="48">'Div 3'!$P$201</definedName>
    <definedName name="OSRRefP22_11x_0" localSheetId="75">'Div 4'!$P$71</definedName>
    <definedName name="OSRRefP22_11x_0" localSheetId="2">Summary!$P$233:$P$234</definedName>
    <definedName name="OSRRefP22_12x_0" localSheetId="41">'201'!$P$57:$P$60</definedName>
    <definedName name="OSRRefP22_12x_0" localSheetId="42">'202'!$P$58</definedName>
    <definedName name="OSRRefP22_12x_0" localSheetId="43">'203'!$P$58:$P$61</definedName>
    <definedName name="OSRRefP22_12x_0" localSheetId="49">'300'!$P$198</definedName>
    <definedName name="OSRRefP22_12x_0" localSheetId="50">'300 &amp; 317'!$P$222</definedName>
    <definedName name="OSRRefP22_12x_0" localSheetId="51">'301'!$P$60</definedName>
    <definedName name="OSRRefP22_12x_0" localSheetId="56">'308'!$P$102:$P$103</definedName>
    <definedName name="OSRRefP22_12x_0" localSheetId="67">'310'!$P$67</definedName>
    <definedName name="OSRRefP22_12x_0" localSheetId="76">'310 &amp; 491'!$P$79</definedName>
    <definedName name="OSRRefP22_12x_0" localSheetId="57">'311'!$P$101:$P$102</definedName>
    <definedName name="OSRRefP22_12x_0" localSheetId="69">'313'!$P$68</definedName>
    <definedName name="OSRRefP22_12x_0" localSheetId="71">'322'!$P$65</definedName>
    <definedName name="OSRRefP22_12x_0" localSheetId="72">'325'!$P$64</definedName>
    <definedName name="OSRRefP22_12x_0" localSheetId="61">'326'!$P$92:$P$94</definedName>
    <definedName name="OSRRefP22_12x_0" localSheetId="59">'331'!$P$117</definedName>
    <definedName name="OSRRefP22_12x_0" localSheetId="62">'332'!$P$80</definedName>
    <definedName name="OSRRefP22_12x_0" localSheetId="78">'405'!$P$62</definedName>
    <definedName name="OSRRefP22_12x_0" localSheetId="79">'406'!$P$65</definedName>
    <definedName name="OSRRefP22_12x_0" localSheetId="80">'411'!$P$64:$P$69</definedName>
    <definedName name="OSRRefP22_12x_0" localSheetId="81">'412'!$P$65</definedName>
    <definedName name="OSRRefP22_12x_0" localSheetId="84">'414'!$P$58:$P$64</definedName>
    <definedName name="OSRRefP22_12x_0" localSheetId="85">'415'!$P$62:$P$66</definedName>
    <definedName name="OSRRefP22_12x_0" localSheetId="86">'418'!$P$66:$P$71</definedName>
    <definedName name="OSRRefP22_12x_0" localSheetId="89">'425'!$P$62:$P$66</definedName>
    <definedName name="OSRRefP22_12x_0" localSheetId="93">'433'!$P$62:$P$64</definedName>
    <definedName name="OSRRefP22_12x_0" localSheetId="95">'444'!$P$63:$P$65</definedName>
    <definedName name="OSRRefP22_12x_0" localSheetId="96">'450'!$P$62</definedName>
    <definedName name="OSRRefP22_12x_0" localSheetId="77">'491'!$P$72</definedName>
    <definedName name="OSRRefP22_12x_0" localSheetId="91">'492'!$P$65:$P$67</definedName>
    <definedName name="OSRRefP22_12x_0" localSheetId="39">'Div 2'!$P$61:$P$64</definedName>
    <definedName name="OSRRefP22_12x_0" localSheetId="48">'Div 3'!$P$203</definedName>
    <definedName name="OSRRefP22_12x_0" localSheetId="75">'Div 4'!$P$73</definedName>
    <definedName name="OSRRefP22_12x_0" localSheetId="2">Summary!$P$236</definedName>
    <definedName name="OSRRefP22_13x_0" localSheetId="41">'201'!$P$62</definedName>
    <definedName name="OSRRefP22_13x_0" localSheetId="42">'202'!$P$60</definedName>
    <definedName name="OSRRefP22_13x_0" localSheetId="43">'203'!$P$63</definedName>
    <definedName name="OSRRefP22_13x_0" localSheetId="49">'300'!$P$200</definedName>
    <definedName name="OSRRefP22_13x_0" localSheetId="50">'300 &amp; 317'!$P$224</definedName>
    <definedName name="OSRRefP22_13x_0" localSheetId="51">'301'!$P$62</definedName>
    <definedName name="OSRRefP22_13x_0" localSheetId="56">'308'!$P$105</definedName>
    <definedName name="OSRRefP22_13x_0" localSheetId="67">'310'!$P$69:$P$71</definedName>
    <definedName name="OSRRefP22_13x_0" localSheetId="76">'310 &amp; 491'!$P$81</definedName>
    <definedName name="OSRRefP22_13x_0" localSheetId="57">'311'!$P$104</definedName>
    <definedName name="OSRRefP22_13x_0" localSheetId="72">'325'!$P$66:$P$70</definedName>
    <definedName name="OSRRefP22_13x_0" localSheetId="61">'326'!$P$96</definedName>
    <definedName name="OSRRefP22_13x_0" localSheetId="59">'331'!$P$119:$P$120</definedName>
    <definedName name="OSRRefP22_13x_0" localSheetId="62">'332'!$P$82</definedName>
    <definedName name="OSRRefP22_13x_0" localSheetId="78">'405'!$P$64:$P$70</definedName>
    <definedName name="OSRRefP22_13x_0" localSheetId="80">'411'!$P$71</definedName>
    <definedName name="OSRRefP22_13x_0" localSheetId="84">'414'!$P$66</definedName>
    <definedName name="OSRRefP22_13x_0" localSheetId="85">'415'!$P$68</definedName>
    <definedName name="OSRRefP22_13x_0" localSheetId="86">'418'!$P$73</definedName>
    <definedName name="OSRRefP22_13x_0" localSheetId="89">'425'!$P$68</definedName>
    <definedName name="OSRRefP22_13x_0" localSheetId="93">'433'!$P$66:$P$72</definedName>
    <definedName name="OSRRefP22_13x_0" localSheetId="95">'444'!$P$67:$P$74</definedName>
    <definedName name="OSRRefP22_13x_0" localSheetId="96">'450'!$P$64:$P$66</definedName>
    <definedName name="OSRRefP22_13x_0" localSheetId="77">'491'!$P$74</definedName>
    <definedName name="OSRRefP22_13x_0" localSheetId="91">'492'!$P$69:$P$71</definedName>
    <definedName name="OSRRefP22_13x_0" localSheetId="39">'Div 2'!$P$66:$P$68</definedName>
    <definedName name="OSRRefP22_13x_0" localSheetId="48">'Div 3'!$P$205</definedName>
    <definedName name="OSRRefP22_13x_0" localSheetId="75">'Div 4'!$P$75</definedName>
    <definedName name="OSRRefP22_13x_0" localSheetId="2">Summary!$P$238</definedName>
    <definedName name="OSRRefP22_14x_0" localSheetId="41">'201'!$P$64</definedName>
    <definedName name="OSRRefP22_14x_0" localSheetId="43">'203'!$P$65</definedName>
    <definedName name="OSRRefP22_14x_0" localSheetId="49">'300'!$P$202</definedName>
    <definedName name="OSRRefP22_14x_0" localSheetId="50">'300 &amp; 317'!$P$226</definedName>
    <definedName name="OSRRefP22_14x_0" localSheetId="51">'301'!$P$64</definedName>
    <definedName name="OSRRefP22_14x_0" localSheetId="56">'308'!$P$107</definedName>
    <definedName name="OSRRefP22_14x_0" localSheetId="67">'310'!$P$73</definedName>
    <definedName name="OSRRefP22_14x_0" localSheetId="76">'310 &amp; 491'!$P$83</definedName>
    <definedName name="OSRRefP22_14x_0" localSheetId="57">'311'!$P$106</definedName>
    <definedName name="OSRRefP22_14x_0" localSheetId="72">'325'!$P$72</definedName>
    <definedName name="OSRRefP22_14x_0" localSheetId="61">'326'!$P$98:$P$100</definedName>
    <definedName name="OSRRefP22_14x_0" localSheetId="59">'331'!$P$122:$P$124</definedName>
    <definedName name="OSRRefP22_14x_0" localSheetId="62">'332'!$P$84</definedName>
    <definedName name="OSRRefP22_14x_0" localSheetId="78">'405'!$P$72</definedName>
    <definedName name="OSRRefP22_14x_0" localSheetId="80">'411'!$P$73</definedName>
    <definedName name="OSRRefP22_14x_0" localSheetId="84">'414'!$P$68</definedName>
    <definedName name="OSRRefP22_14x_0" localSheetId="85">'415'!$P$70:$P$76</definedName>
    <definedName name="OSRRefP22_14x_0" localSheetId="86">'418'!$P$75</definedName>
    <definedName name="OSRRefP22_14x_0" localSheetId="89">'425'!$P$70</definedName>
    <definedName name="OSRRefP22_14x_0" localSheetId="93">'433'!$P$74</definedName>
    <definedName name="OSRRefP22_14x_0" localSheetId="95">'444'!$P$76</definedName>
    <definedName name="OSRRefP22_14x_0" localSheetId="96">'450'!$P$68:$P$73</definedName>
    <definedName name="OSRRefP22_14x_0" localSheetId="77">'491'!$P$76:$P$78</definedName>
    <definedName name="OSRRefP22_14x_0" localSheetId="91">'492'!$P$73:$P$80</definedName>
    <definedName name="OSRRefP22_14x_0" localSheetId="39">'Div 2'!$P$70:$P$71</definedName>
    <definedName name="OSRRefP22_14x_0" localSheetId="48">'Div 3'!$P$207</definedName>
    <definedName name="OSRRefP22_14x_0" localSheetId="75">'Div 4'!$P$77</definedName>
    <definedName name="OSRRefP22_14x_0" localSheetId="2">Summary!$P$240</definedName>
    <definedName name="OSRRefP22_15x_0" localSheetId="43">'203'!$P$67</definedName>
    <definedName name="OSRRefP22_15x_0" localSheetId="49">'300'!$P$204</definedName>
    <definedName name="OSRRefP22_15x_0" localSheetId="50">'300 &amp; 317'!$P$228</definedName>
    <definedName name="OSRRefP22_15x_0" localSheetId="51">'301'!$P$66:$P$69</definedName>
    <definedName name="OSRRefP22_15x_0" localSheetId="67">'310'!$P$75:$P$78</definedName>
    <definedName name="OSRRefP22_15x_0" localSheetId="76">'310 &amp; 491'!$P$85:$P$87</definedName>
    <definedName name="OSRRefP22_15x_0" localSheetId="72">'325'!$P$74</definedName>
    <definedName name="OSRRefP22_15x_0" localSheetId="61">'326'!$P$102</definedName>
    <definedName name="OSRRefP22_15x_0" localSheetId="59">'331'!$P$126</definedName>
    <definedName name="OSRRefP22_15x_0" localSheetId="78">'405'!$P$74</definedName>
    <definedName name="OSRRefP22_15x_0" localSheetId="80">'411'!$P$75:$P$77</definedName>
    <definedName name="OSRRefP22_15x_0" localSheetId="85">'415'!$P$78</definedName>
    <definedName name="OSRRefP22_15x_0" localSheetId="93">'433'!$P$76</definedName>
    <definedName name="OSRRefP22_15x_0" localSheetId="95">'444'!$P$78</definedName>
    <definedName name="OSRRefP22_15x_0" localSheetId="96">'450'!$P$75</definedName>
    <definedName name="OSRRefP22_15x_0" localSheetId="77">'491'!$P$80:$P$81</definedName>
    <definedName name="OSRRefP22_15x_0" localSheetId="91">'492'!$P$82</definedName>
    <definedName name="OSRRefP22_15x_0" localSheetId="39">'Div 2'!$P$73</definedName>
    <definedName name="OSRRefP22_15x_0" localSheetId="48">'Div 3'!$P$209</definedName>
    <definedName name="OSRRefP22_15x_0" localSheetId="75">'Div 4'!$P$79</definedName>
    <definedName name="OSRRefP22_15x_0" localSheetId="2">Summary!$P$242</definedName>
    <definedName name="OSRRefP22_16x_0" localSheetId="49">'300'!$P$206:$P$209</definedName>
    <definedName name="OSRRefP22_16x_0" localSheetId="50">'300 &amp; 317'!$P$230:$P$233</definedName>
    <definedName name="OSRRefP22_16x_0" localSheetId="51">'301'!$P$71:$P$73</definedName>
    <definedName name="OSRRefP22_16x_0" localSheetId="67">'310'!$P$80</definedName>
    <definedName name="OSRRefP22_16x_0" localSheetId="76">'310 &amp; 491'!$P$89:$P$90</definedName>
    <definedName name="OSRRefP22_16x_0" localSheetId="61">'326'!$P$104</definedName>
    <definedName name="OSRRefP22_16x_0" localSheetId="59">'331'!$P$128:$P$132</definedName>
    <definedName name="OSRRefP22_16x_0" localSheetId="78">'405'!$P$76</definedName>
    <definedName name="OSRRefP22_16x_0" localSheetId="80">'411'!$P$79</definedName>
    <definedName name="OSRRefP22_16x_0" localSheetId="85">'415'!$P$80</definedName>
    <definedName name="OSRRefP22_16x_0" localSheetId="93">'433'!$P$78</definedName>
    <definedName name="OSRRefP22_16x_0" localSheetId="95">'444'!$P$80</definedName>
    <definedName name="OSRRefP22_16x_0" localSheetId="96">'450'!$P$77</definedName>
    <definedName name="OSRRefP22_16x_0" localSheetId="77">'491'!$P$83:$P$87</definedName>
    <definedName name="OSRRefP22_16x_0" localSheetId="91">'492'!$P$84</definedName>
    <definedName name="OSRRefP22_16x_0" localSheetId="39">'Div 2'!$P$75:$P$79</definedName>
    <definedName name="OSRRefP22_16x_0" localSheetId="48">'Div 3'!$P$211</definedName>
    <definedName name="OSRRefP22_16x_0" localSheetId="75">'Div 4'!$P$81:$P$83</definedName>
    <definedName name="OSRRefP22_16x_0" localSheetId="2">Summary!$P$244</definedName>
    <definedName name="OSRRefP22_17x_0" localSheetId="49">'300'!$P$211:$P$213</definedName>
    <definedName name="OSRRefP22_17x_0" localSheetId="50">'300 &amp; 317'!$P$235:$P$237</definedName>
    <definedName name="OSRRefP22_17x_0" localSheetId="51">'301'!$P$75</definedName>
    <definedName name="OSRRefP22_17x_0" localSheetId="67">'310'!$P$82:$P$88</definedName>
    <definedName name="OSRRefP22_17x_0" localSheetId="76">'310 &amp; 491'!$P$92:$P$96</definedName>
    <definedName name="OSRRefP22_17x_0" localSheetId="61">'326'!$P$106</definedName>
    <definedName name="OSRRefP22_17x_0" localSheetId="59">'331'!$P$134</definedName>
    <definedName name="OSRRefP22_17x_0" localSheetId="85">'415'!$P$82</definedName>
    <definedName name="OSRRefP22_17x_0" localSheetId="96">'450'!$P$79</definedName>
    <definedName name="OSRRefP22_17x_0" localSheetId="77">'491'!$P$89</definedName>
    <definedName name="OSRRefP22_17x_0" localSheetId="91">'492'!$P$86</definedName>
    <definedName name="OSRRefP22_17x_0" localSheetId="39">'Div 2'!$P$81:$P$82</definedName>
    <definedName name="OSRRefP22_17x_0" localSheetId="48">'Div 3'!$P$213:$P$216</definedName>
    <definedName name="OSRRefP22_17x_0" localSheetId="75">'Div 4'!$P$85:$P$86</definedName>
    <definedName name="OSRRefP22_17x_0" localSheetId="2">Summary!$P$246</definedName>
    <definedName name="OSRRefP22_18x_0" localSheetId="49">'300'!$P$215:$P$218</definedName>
    <definedName name="OSRRefP22_18x_0" localSheetId="50">'300 &amp; 317'!$P$239:$P$242</definedName>
    <definedName name="OSRRefP22_18x_0" localSheetId="51">'301'!$P$77:$P$82</definedName>
    <definedName name="OSRRefP22_18x_0" localSheetId="67">'310'!$P$90</definedName>
    <definedName name="OSRRefP22_18x_0" localSheetId="76">'310 &amp; 491'!$P$98</definedName>
    <definedName name="OSRRefP22_18x_0" localSheetId="59">'331'!$P$136</definedName>
    <definedName name="OSRRefP22_18x_0" localSheetId="77">'491'!$P$91:$P$99</definedName>
    <definedName name="OSRRefP22_18x_0" localSheetId="39">'Div 2'!$P$84</definedName>
    <definedName name="OSRRefP22_18x_0" localSheetId="48">'Div 3'!$P$218:$P$220</definedName>
    <definedName name="OSRRefP22_18x_0" localSheetId="75">'Div 4'!$P$88:$P$92</definedName>
    <definedName name="OSRRefP22_18x_0" localSheetId="2">Summary!$P$248:$P$251</definedName>
    <definedName name="OSRRefP22_19x_0" localSheetId="49">'300'!$P$220:$P$221</definedName>
    <definedName name="OSRRefP22_19x_0" localSheetId="50">'300 &amp; 317'!$P$244:$P$245</definedName>
    <definedName name="OSRRefP22_19x_0" localSheetId="51">'301'!$P$84</definedName>
    <definedName name="OSRRefP22_19x_0" localSheetId="67">'310'!$P$92</definedName>
    <definedName name="OSRRefP22_19x_0" localSheetId="76">'310 &amp; 491'!$P$100:$P$108</definedName>
    <definedName name="OSRRefP22_19x_0" localSheetId="59">'331'!$P$138</definedName>
    <definedName name="OSRRefP22_19x_0" localSheetId="77">'491'!$P$101</definedName>
    <definedName name="OSRRefP22_19x_0" localSheetId="39">'Div 2'!$P$86:$P$87</definedName>
    <definedName name="OSRRefP22_19x_0" localSheetId="48">'Div 3'!$P$222:$P$226</definedName>
    <definedName name="OSRRefP22_19x_0" localSheetId="75">'Div 4'!$P$94</definedName>
    <definedName name="OSRRefP22_19x_0" localSheetId="2">Summary!$P$253:$P$255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'203'!$P$31:$P$34</definedName>
    <definedName name="OSRRefP22_1x_0" localSheetId="44">'204'!$P$30:$P$34</definedName>
    <definedName name="OSRRefP22_1x_0" localSheetId="45">'205'!$P$29</definedName>
    <definedName name="OSRRefP22_1x_0" localSheetId="46">'206'!$P$28:$P$31</definedName>
    <definedName name="OSRRefP22_1x_0" localSheetId="49">'300'!$P$167:$P$173</definedName>
    <definedName name="OSRRefP22_1x_0" localSheetId="50">'300 &amp; 317'!$P$191:$P$197</definedName>
    <definedName name="OSRRefP22_1x_0" localSheetId="51">'301'!$P$30:$P$36</definedName>
    <definedName name="OSRRefP22_1x_0" localSheetId="52">'306'!$P$30:$P$35</definedName>
    <definedName name="OSRRefP22_1x_0" localSheetId="54">'307'!$P$74:$P$77</definedName>
    <definedName name="OSRRefP22_1x_0" localSheetId="56">'308'!$P$70:$P$75</definedName>
    <definedName name="OSRRefP22_1x_0" localSheetId="68">'309'!$P$33:$P$36</definedName>
    <definedName name="OSRRefP22_1x_0" localSheetId="67">'310'!$P$39:$P$44</definedName>
    <definedName name="OSRRefP22_1x_0" localSheetId="76">'310 &amp; 491'!$P$47:$P$53</definedName>
    <definedName name="OSRRefP22_1x_0" localSheetId="57">'311'!$P$69:$P$74</definedName>
    <definedName name="OSRRefP22_1x_0" localSheetId="69">'313'!$P$36:$P$40</definedName>
    <definedName name="OSRRefP22_1x_0" localSheetId="55">'314'!$P$61:$P$62</definedName>
    <definedName name="OSRRefP22_1x_0" localSheetId="60">'315'!$P$82:$P$86</definedName>
    <definedName name="OSRRefP22_1x_0" localSheetId="63">'316'!$P$41:$P$43</definedName>
    <definedName name="OSRRefP22_1x_0" localSheetId="66">'317'!$P$67:$P$71</definedName>
    <definedName name="OSRRefP22_1x_0" localSheetId="64">'320'!$P$36:$P$38</definedName>
    <definedName name="OSRRefP22_1x_0" localSheetId="70">'321'!$P$33:$P$37</definedName>
    <definedName name="OSRRefP22_1x_0" localSheetId="71">'322'!$P$33:$P$36</definedName>
    <definedName name="OSRRefP22_1x_0" localSheetId="72">'325'!$P$33:$P$37</definedName>
    <definedName name="OSRRefP22_1x_0" localSheetId="61">'326'!$P$66:$P$70</definedName>
    <definedName name="OSRRefP22_1x_0" localSheetId="53">'330'!$P$83:$P$86</definedName>
    <definedName name="OSRRefP22_1x_0" localSheetId="59">'331'!$P$90:$P$94</definedName>
    <definedName name="OSRRefP22_1x_0" localSheetId="62">'332'!$P$49:$P$52</definedName>
    <definedName name="OSRRefP22_1x_0" localSheetId="78">'405'!$P$33:$P$36</definedName>
    <definedName name="OSRRefP22_1x_0" localSheetId="79">'406'!$P$33:$P$37</definedName>
    <definedName name="OSRRefP22_1x_0" localSheetId="80">'411'!$P$30:$P$35</definedName>
    <definedName name="OSRRefP22_1x_0" localSheetId="81">'412'!$P$32:$P$37</definedName>
    <definedName name="OSRRefP22_1x_0" localSheetId="83">'413'!$P$33:$P$36</definedName>
    <definedName name="OSRRefP22_1x_0" localSheetId="84">'414'!$P$32:$P$35</definedName>
    <definedName name="OSRRefP22_1x_0" localSheetId="85">'415'!$P$33:$P$37</definedName>
    <definedName name="OSRRefP22_1x_0" localSheetId="86">'418'!$P$33:$P$38</definedName>
    <definedName name="OSRRefP22_1x_0" localSheetId="82">'420'!$P$23</definedName>
    <definedName name="OSRRefP22_1x_0" localSheetId="87">'423'!$P$30</definedName>
    <definedName name="OSRRefP22_1x_0" localSheetId="88">'424'!$P$25:$P$28</definedName>
    <definedName name="OSRRefP22_1x_0" localSheetId="89">'425'!$P$33:$P$37</definedName>
    <definedName name="OSRRefP22_1x_0" localSheetId="92">'430'!$P$29</definedName>
    <definedName name="OSRRefP22_1x_0" localSheetId="93">'433'!$P$35:$P$40</definedName>
    <definedName name="OSRRefP22_1x_0" localSheetId="94">'435'!$P$29:$P$30</definedName>
    <definedName name="OSRRefP22_1x_0" localSheetId="95">'444'!$P$35:$P$40</definedName>
    <definedName name="OSRRefP22_1x_0" localSheetId="96">'450'!$P$35:$P$40</definedName>
    <definedName name="OSRRefP22_1x_0" localSheetId="90">'455'!$P$28:$P$29</definedName>
    <definedName name="OSRRefP22_1x_0" localSheetId="77">'491'!$P$41:$P$47</definedName>
    <definedName name="OSRRefP22_1x_0" localSheetId="91">'492'!$P$37:$P$43</definedName>
    <definedName name="OSRRefP22_1x_0" localSheetId="98">'501'!$P$31:$P$35</definedName>
    <definedName name="OSRRefP22_1x_0" localSheetId="39">'Div 2'!$P$32:$P$38</definedName>
    <definedName name="OSRRefP22_1x_0" localSheetId="48">'Div 3'!$P$172:$P$178</definedName>
    <definedName name="OSRRefP22_1x_0" localSheetId="75">'Div 4'!$P$42:$P$48</definedName>
    <definedName name="OSRRefP22_1x_0" localSheetId="97">'Div 5'!$P$31:$P$35</definedName>
    <definedName name="OSRRefP22_1x_0" localSheetId="65">'Div 6'!$P$67:$P$71</definedName>
    <definedName name="OSRRefP22_1x_0" localSheetId="2">Summary!$P$203:$P$209</definedName>
    <definedName name="OSRRefP22_20x_0" localSheetId="49">'300'!$P$223:$P$229</definedName>
    <definedName name="OSRRefP22_20x_0" localSheetId="50">'300 &amp; 317'!$P$247:$P$253</definedName>
    <definedName name="OSRRefP22_20x_0" localSheetId="51">'301'!$P$86</definedName>
    <definedName name="OSRRefP22_20x_0" localSheetId="67">'310'!$P$94</definedName>
    <definedName name="OSRRefP22_20x_0" localSheetId="76">'310 &amp; 491'!$P$110</definedName>
    <definedName name="OSRRefP22_20x_0" localSheetId="59">'331'!$P$140</definedName>
    <definedName name="OSRRefP22_20x_0" localSheetId="77">'491'!$P$103</definedName>
    <definedName name="OSRRefP22_20x_0" localSheetId="48">'Div 3'!$P$228:$P$229</definedName>
    <definedName name="OSRRefP22_20x_0" localSheetId="75">'Div 4'!$P$96:$P$104</definedName>
    <definedName name="OSRRefP22_20x_0" localSheetId="2">Summary!$P$257:$P$261</definedName>
    <definedName name="OSRRefP22_21x_0" localSheetId="49">'300'!$P$231:$P$232</definedName>
    <definedName name="OSRRefP22_21x_0" localSheetId="50">'300 &amp; 317'!$P$255:$P$256</definedName>
    <definedName name="OSRRefP22_21x_0" localSheetId="51">'301'!$P$88:$P$89</definedName>
    <definedName name="OSRRefP22_21x_0" localSheetId="76">'310 &amp; 491'!$P$112</definedName>
    <definedName name="OSRRefP22_21x_0" localSheetId="77">'491'!$P$105:$P$107</definedName>
    <definedName name="OSRRefP22_21x_0" localSheetId="48">'Div 3'!$P$231:$P$237</definedName>
    <definedName name="OSRRefP22_21x_0" localSheetId="75">'Div 4'!$P$106</definedName>
    <definedName name="OSRRefP22_21x_0" localSheetId="2">Summary!$P$263:$P$264</definedName>
    <definedName name="OSRRefP22_22x_0" localSheetId="49">'300'!$P$234</definedName>
    <definedName name="OSRRefP22_22x_0" localSheetId="50">'300 &amp; 317'!$P$258</definedName>
    <definedName name="OSRRefP22_22x_0" localSheetId="51">'301'!$P$91</definedName>
    <definedName name="OSRRefP22_22x_0" localSheetId="76">'310 &amp; 491'!$P$114:$P$116</definedName>
    <definedName name="OSRRefP22_22x_0" localSheetId="77">'491'!$P$109</definedName>
    <definedName name="OSRRefP22_22x_0" localSheetId="48">'Div 3'!$P$239:$P$240</definedName>
    <definedName name="OSRRefP22_22x_0" localSheetId="75">'Div 4'!$P$108</definedName>
    <definedName name="OSRRefP22_22x_0" localSheetId="2">Summary!$P$266:$P$274</definedName>
    <definedName name="OSRRefP22_23x_0" localSheetId="49">'300'!$P$236:$P$238</definedName>
    <definedName name="OSRRefP22_23x_0" localSheetId="50">'300 &amp; 317'!$P$260:$P$262</definedName>
    <definedName name="OSRRefP22_23x_0" localSheetId="76">'310 &amp; 491'!$P$118</definedName>
    <definedName name="OSRRefP22_23x_0" localSheetId="48">'Div 3'!$P$242</definedName>
    <definedName name="OSRRefP22_23x_0" localSheetId="75">'Div 4'!$P$110:$P$112</definedName>
    <definedName name="OSRRefP22_23x_0" localSheetId="2">Summary!$P$276:$P$277</definedName>
    <definedName name="OSRRefP22_24x_0" localSheetId="49">'300'!$P$240</definedName>
    <definedName name="OSRRefP22_24x_0" localSheetId="50">'300 &amp; 317'!$P$264</definedName>
    <definedName name="OSRRefP22_24x_0" localSheetId="48">'Div 3'!$P$244:$P$246</definedName>
    <definedName name="OSRRefP22_24x_0" localSheetId="75">'Div 4'!$P$114</definedName>
    <definedName name="OSRRefP22_24x_0" localSheetId="2">Summary!$P$279</definedName>
    <definedName name="OSRRefP22_25x_0" localSheetId="48">'Div 3'!$P$248</definedName>
    <definedName name="OSRRefP22_25x_0" localSheetId="2">Summary!$P$281:$P$283</definedName>
    <definedName name="OSRRefP22_26x_0" localSheetId="2">Summary!$P$285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'203'!$P$36</definedName>
    <definedName name="OSRRefP22_2x_0" localSheetId="44">'204'!$P$36</definedName>
    <definedName name="OSRRefP22_2x_0" localSheetId="45">'205'!$P$31</definedName>
    <definedName name="OSRRefP22_2x_0" localSheetId="46">'206'!$P$33</definedName>
    <definedName name="OSRRefP22_2x_0" localSheetId="49">'300'!$P$175</definedName>
    <definedName name="OSRRefP22_2x_0" localSheetId="50">'300 &amp; 317'!$P$199</definedName>
    <definedName name="OSRRefP22_2x_0" localSheetId="51">'301'!$P$38</definedName>
    <definedName name="OSRRefP22_2x_0" localSheetId="52">'306'!$P$37</definedName>
    <definedName name="OSRRefP22_2x_0" localSheetId="54">'307'!$P$79</definedName>
    <definedName name="OSRRefP22_2x_0" localSheetId="56">'308'!$P$77</definedName>
    <definedName name="OSRRefP22_2x_0" localSheetId="68">'309'!$P$38</definedName>
    <definedName name="OSRRefP22_2x_0" localSheetId="67">'310'!$P$46</definedName>
    <definedName name="OSRRefP22_2x_0" localSheetId="76">'310 &amp; 491'!$P$55</definedName>
    <definedName name="OSRRefP22_2x_0" localSheetId="57">'311'!$P$76</definedName>
    <definedName name="OSRRefP22_2x_0" localSheetId="69">'313'!$P$42</definedName>
    <definedName name="OSRRefP22_2x_0" localSheetId="55">'314'!$P$64</definedName>
    <definedName name="OSRRefP22_2x_0" localSheetId="60">'315'!$P$88</definedName>
    <definedName name="OSRRefP22_2x_0" localSheetId="63">'316'!$P$45</definedName>
    <definedName name="OSRRefP22_2x_0" localSheetId="66">'317'!$P$73</definedName>
    <definedName name="OSRRefP22_2x_0" localSheetId="64">'320'!$P$40</definedName>
    <definedName name="OSRRefP22_2x_0" localSheetId="70">'321'!$P$39</definedName>
    <definedName name="OSRRefP22_2x_0" localSheetId="71">'322'!$P$38</definedName>
    <definedName name="OSRRefP22_2x_0" localSheetId="72">'325'!$P$39</definedName>
    <definedName name="OSRRefP22_2x_0" localSheetId="61">'326'!$P$72</definedName>
    <definedName name="OSRRefP22_2x_0" localSheetId="53">'330'!$P$88</definedName>
    <definedName name="OSRRefP22_2x_0" localSheetId="59">'331'!$P$96</definedName>
    <definedName name="OSRRefP22_2x_0" localSheetId="62">'332'!$P$54</definedName>
    <definedName name="OSRRefP22_2x_0" localSheetId="78">'405'!$P$38</definedName>
    <definedName name="OSRRefP22_2x_0" localSheetId="79">'406'!$P$39</definedName>
    <definedName name="OSRRefP22_2x_0" localSheetId="80">'411'!$P$37</definedName>
    <definedName name="OSRRefP22_2x_0" localSheetId="81">'412'!$P$39</definedName>
    <definedName name="OSRRefP22_2x_0" localSheetId="83">'413'!$P$38</definedName>
    <definedName name="OSRRefP22_2x_0" localSheetId="84">'414'!$P$37</definedName>
    <definedName name="OSRRefP22_2x_0" localSheetId="85">'415'!$P$39</definedName>
    <definedName name="OSRRefP22_2x_0" localSheetId="86">'418'!$P$40</definedName>
    <definedName name="OSRRefP22_2x_0" localSheetId="87">'423'!$P$32</definedName>
    <definedName name="OSRRefP22_2x_0" localSheetId="88">'424'!$P$30</definedName>
    <definedName name="OSRRefP22_2x_0" localSheetId="89">'425'!$P$39</definedName>
    <definedName name="OSRRefP22_2x_0" localSheetId="92">'430'!$P$31</definedName>
    <definedName name="OSRRefP22_2x_0" localSheetId="93">'433'!$P$42</definedName>
    <definedName name="OSRRefP22_2x_0" localSheetId="94">'435'!$P$32</definedName>
    <definedName name="OSRRefP22_2x_0" localSheetId="95">'444'!$P$42</definedName>
    <definedName name="OSRRefP22_2x_0" localSheetId="96">'450'!$P$42</definedName>
    <definedName name="OSRRefP22_2x_0" localSheetId="77">'491'!$P$49</definedName>
    <definedName name="OSRRefP22_2x_0" localSheetId="91">'492'!$P$45</definedName>
    <definedName name="OSRRefP22_2x_0" localSheetId="98">'501'!$P$37</definedName>
    <definedName name="OSRRefP22_2x_0" localSheetId="39">'Div 2'!$P$40</definedName>
    <definedName name="OSRRefP22_2x_0" localSheetId="48">'Div 3'!$P$180</definedName>
    <definedName name="OSRRefP22_2x_0" localSheetId="75">'Div 4'!$P$50</definedName>
    <definedName name="OSRRefP22_2x_0" localSheetId="97">'Div 5'!$P$37</definedName>
    <definedName name="OSRRefP22_2x_0" localSheetId="65">'Div 6'!$P$73</definedName>
    <definedName name="OSRRefP22_2x_0" localSheetId="2">Summary!$P$211</definedName>
    <definedName name="OSRRefP22_3x_0" localSheetId="40">'200'!$P$26:$P$27</definedName>
    <definedName name="OSRRefP22_3x_0" localSheetId="41">'201'!$P$35</definedName>
    <definedName name="OSRRefP22_3x_0" localSheetId="42">'202'!$P$36</definedName>
    <definedName name="OSRRefP22_3x_0" localSheetId="43">'203'!$P$38</definedName>
    <definedName name="OSRRefP22_3x_0" localSheetId="44">'204'!$P$38</definedName>
    <definedName name="OSRRefP22_3x_0" localSheetId="45">'205'!$P$33</definedName>
    <definedName name="OSRRefP22_3x_0" localSheetId="46">'206'!$P$35</definedName>
    <definedName name="OSRRefP22_3x_0" localSheetId="49">'300'!$P$177</definedName>
    <definedName name="OSRRefP22_3x_0" localSheetId="50">'300 &amp; 317'!$P$201</definedName>
    <definedName name="OSRRefP22_3x_0" localSheetId="51">'301'!$P$40</definedName>
    <definedName name="OSRRefP22_3x_0" localSheetId="52">'306'!$P$39</definedName>
    <definedName name="OSRRefP22_3x_0" localSheetId="54">'307'!$P$81</definedName>
    <definedName name="OSRRefP22_3x_0" localSheetId="56">'308'!$P$79:$P$80</definedName>
    <definedName name="OSRRefP22_3x_0" localSheetId="68">'309'!$P$40</definedName>
    <definedName name="OSRRefP22_3x_0" localSheetId="67">'310'!$P$48</definedName>
    <definedName name="OSRRefP22_3x_0" localSheetId="76">'310 &amp; 491'!$P$57</definedName>
    <definedName name="OSRRefP22_3x_0" localSheetId="57">'311'!$P$78:$P$79</definedName>
    <definedName name="OSRRefP22_3x_0" localSheetId="69">'313'!$P$44</definedName>
    <definedName name="OSRRefP22_3x_0" localSheetId="55">'314'!$P$66:$P$67</definedName>
    <definedName name="OSRRefP22_3x_0" localSheetId="60">'315'!$P$90:$P$91</definedName>
    <definedName name="OSRRefP22_3x_0" localSheetId="63">'316'!$P$47</definedName>
    <definedName name="OSRRefP22_3x_0" localSheetId="66">'317'!$P$75</definedName>
    <definedName name="OSRRefP22_3x_0" localSheetId="64">'320'!$P$42</definedName>
    <definedName name="OSRRefP22_3x_0" localSheetId="70">'321'!$P$41</definedName>
    <definedName name="OSRRefP22_3x_0" localSheetId="71">'322'!$P$40</definedName>
    <definedName name="OSRRefP22_3x_0" localSheetId="72">'325'!$P$41</definedName>
    <definedName name="OSRRefP22_3x_0" localSheetId="61">'326'!$P$74</definedName>
    <definedName name="OSRRefP22_3x_0" localSheetId="53">'330'!$P$90</definedName>
    <definedName name="OSRRefP22_3x_0" localSheetId="59">'331'!$P$98</definedName>
    <definedName name="OSRRefP22_3x_0" localSheetId="62">'332'!$P$56</definedName>
    <definedName name="OSRRefP22_3x_0" localSheetId="78">'405'!$P$40</definedName>
    <definedName name="OSRRefP22_3x_0" localSheetId="79">'406'!$P$41</definedName>
    <definedName name="OSRRefP22_3x_0" localSheetId="80">'411'!$P$39</definedName>
    <definedName name="OSRRefP22_3x_0" localSheetId="81">'412'!$P$41</definedName>
    <definedName name="OSRRefP22_3x_0" localSheetId="83">'413'!$P$40</definedName>
    <definedName name="OSRRefP22_3x_0" localSheetId="84">'414'!$P$39</definedName>
    <definedName name="OSRRefP22_3x_0" localSheetId="85">'415'!$P$41</definedName>
    <definedName name="OSRRefP22_3x_0" localSheetId="86">'418'!$P$42</definedName>
    <definedName name="OSRRefP22_3x_0" localSheetId="87">'423'!$P$34</definedName>
    <definedName name="OSRRefP22_3x_0" localSheetId="88">'424'!$P$32</definedName>
    <definedName name="OSRRefP22_3x_0" localSheetId="89">'425'!$P$41</definedName>
    <definedName name="OSRRefP22_3x_0" localSheetId="92">'430'!$P$33</definedName>
    <definedName name="OSRRefP22_3x_0" localSheetId="93">'433'!$P$44</definedName>
    <definedName name="OSRRefP22_3x_0" localSheetId="94">'435'!$P$34</definedName>
    <definedName name="OSRRefP22_3x_0" localSheetId="95">'444'!$P$44</definedName>
    <definedName name="OSRRefP22_3x_0" localSheetId="96">'450'!$P$44</definedName>
    <definedName name="OSRRefP22_3x_0" localSheetId="77">'491'!$P$51</definedName>
    <definedName name="OSRRefP22_3x_0" localSheetId="91">'492'!$P$47</definedName>
    <definedName name="OSRRefP22_3x_0" localSheetId="98">'501'!$P$39</definedName>
    <definedName name="OSRRefP22_3x_0" localSheetId="39">'Div 2'!$P$42</definedName>
    <definedName name="OSRRefP22_3x_0" localSheetId="48">'Div 3'!$P$182</definedName>
    <definedName name="OSRRefP22_3x_0" localSheetId="75">'Div 4'!$P$52</definedName>
    <definedName name="OSRRefP22_3x_0" localSheetId="97">'Div 5'!$P$39</definedName>
    <definedName name="OSRRefP22_3x_0" localSheetId="65">'Div 6'!$P$75</definedName>
    <definedName name="OSRRefP22_3x_0" localSheetId="2">Summary!$P$213</definedName>
    <definedName name="OSRRefP22_4x_0" localSheetId="41">'201'!$P$37</definedName>
    <definedName name="OSRRefP22_4x_0" localSheetId="42">'202'!$P$38:$P$39</definedName>
    <definedName name="OSRRefP22_4x_0" localSheetId="43">'203'!$P$40</definedName>
    <definedName name="OSRRefP22_4x_0" localSheetId="44">'204'!$P$40</definedName>
    <definedName name="OSRRefP22_4x_0" localSheetId="45">'205'!$P$35:$P$36</definedName>
    <definedName name="OSRRefP22_4x_0" localSheetId="46">'206'!$P$37</definedName>
    <definedName name="OSRRefP22_4x_0" localSheetId="49">'300'!$P$179</definedName>
    <definedName name="OSRRefP22_4x_0" localSheetId="50">'300 &amp; 317'!$P$203</definedName>
    <definedName name="OSRRefP22_4x_0" localSheetId="51">'301'!$P$42</definedName>
    <definedName name="OSRRefP22_4x_0" localSheetId="52">'306'!$P$41:$P$42</definedName>
    <definedName name="OSRRefP22_4x_0" localSheetId="54">'307'!$P$83:$P$84</definedName>
    <definedName name="OSRRefP22_4x_0" localSheetId="56">'308'!$P$82</definedName>
    <definedName name="OSRRefP22_4x_0" localSheetId="68">'309'!$P$42</definedName>
    <definedName name="OSRRefP22_4x_0" localSheetId="67">'310'!$P$50</definedName>
    <definedName name="OSRRefP22_4x_0" localSheetId="76">'310 &amp; 491'!$P$59</definedName>
    <definedName name="OSRRefP22_4x_0" localSheetId="57">'311'!$P$81</definedName>
    <definedName name="OSRRefP22_4x_0" localSheetId="69">'313'!$P$46</definedName>
    <definedName name="OSRRefP22_4x_0" localSheetId="55">'314'!$P$69</definedName>
    <definedName name="OSRRefP22_4x_0" localSheetId="60">'315'!$P$93</definedName>
    <definedName name="OSRRefP22_4x_0" localSheetId="63">'316'!$P$49</definedName>
    <definedName name="OSRRefP22_4x_0" localSheetId="66">'317'!$P$77</definedName>
    <definedName name="OSRRefP22_4x_0" localSheetId="64">'320'!$P$44:$P$45</definedName>
    <definedName name="OSRRefP22_4x_0" localSheetId="70">'321'!$P$43</definedName>
    <definedName name="OSRRefP22_4x_0" localSheetId="71">'322'!$P$42</definedName>
    <definedName name="OSRRefP22_4x_0" localSheetId="72">'325'!$P$43</definedName>
    <definedName name="OSRRefP22_4x_0" localSheetId="61">'326'!$P$76</definedName>
    <definedName name="OSRRefP22_4x_0" localSheetId="53">'330'!$P$92:$P$93</definedName>
    <definedName name="OSRRefP22_4x_0" localSheetId="59">'331'!$P$100</definedName>
    <definedName name="OSRRefP22_4x_0" localSheetId="62">'332'!$P$58</definedName>
    <definedName name="OSRRefP22_4x_0" localSheetId="78">'405'!$P$42</definedName>
    <definedName name="OSRRefP22_4x_0" localSheetId="79">'406'!$P$43</definedName>
    <definedName name="OSRRefP22_4x_0" localSheetId="80">'411'!$P$41:$P$43</definedName>
    <definedName name="OSRRefP22_4x_0" localSheetId="81">'412'!$P$43</definedName>
    <definedName name="OSRRefP22_4x_0" localSheetId="83">'413'!$P$42</definedName>
    <definedName name="OSRRefP22_4x_0" localSheetId="84">'414'!$P$41</definedName>
    <definedName name="OSRRefP22_4x_0" localSheetId="85">'415'!$P$43</definedName>
    <definedName name="OSRRefP22_4x_0" localSheetId="86">'418'!$P$44</definedName>
    <definedName name="OSRRefP22_4x_0" localSheetId="87">'423'!$P$36</definedName>
    <definedName name="OSRRefP22_4x_0" localSheetId="88">'424'!$P$34</definedName>
    <definedName name="OSRRefP22_4x_0" localSheetId="89">'425'!$P$43</definedName>
    <definedName name="OSRRefP22_4x_0" localSheetId="92">'430'!$P$35:$P$36</definedName>
    <definedName name="OSRRefP22_4x_0" localSheetId="93">'433'!$P$46</definedName>
    <definedName name="OSRRefP22_4x_0" localSheetId="94">'435'!$P$36</definedName>
    <definedName name="OSRRefP22_4x_0" localSheetId="95">'444'!$P$46</definedName>
    <definedName name="OSRRefP22_4x_0" localSheetId="96">'450'!$P$46</definedName>
    <definedName name="OSRRefP22_4x_0" localSheetId="77">'491'!$P$53</definedName>
    <definedName name="OSRRefP22_4x_0" localSheetId="91">'492'!$P$49</definedName>
    <definedName name="OSRRefP22_4x_0" localSheetId="98">'501'!$P$41</definedName>
    <definedName name="OSRRefP22_4x_0" localSheetId="39">'Div 2'!$P$44</definedName>
    <definedName name="OSRRefP22_4x_0" localSheetId="48">'Div 3'!$P$184</definedName>
    <definedName name="OSRRefP22_4x_0" localSheetId="75">'Div 4'!$P$54</definedName>
    <definedName name="OSRRefP22_4x_0" localSheetId="97">'Div 5'!$P$41</definedName>
    <definedName name="OSRRefP22_4x_0" localSheetId="65">'Div 6'!$P$77</definedName>
    <definedName name="OSRRefP22_4x_0" localSheetId="2">Summary!$P$215</definedName>
    <definedName name="OSRRefP22_5x_0" localSheetId="41">'201'!$P$39</definedName>
    <definedName name="OSRRefP22_5x_0" localSheetId="42">'202'!$P$41</definedName>
    <definedName name="OSRRefP22_5x_0" localSheetId="43">'203'!$P$42</definedName>
    <definedName name="OSRRefP22_5x_0" localSheetId="44">'204'!$P$42:$P$44</definedName>
    <definedName name="OSRRefP22_5x_0" localSheetId="45">'205'!$P$38</definedName>
    <definedName name="OSRRefP22_5x_0" localSheetId="46">'206'!$P$39:$P$40</definedName>
    <definedName name="OSRRefP22_5x_0" localSheetId="49">'300'!$P$181:$P$182</definedName>
    <definedName name="OSRRefP22_5x_0" localSheetId="50">'300 &amp; 317'!$P$205:$P$206</definedName>
    <definedName name="OSRRefP22_5x_0" localSheetId="51">'301'!$P$44:$P$45</definedName>
    <definedName name="OSRRefP22_5x_0" localSheetId="52">'306'!$P$44</definedName>
    <definedName name="OSRRefP22_5x_0" localSheetId="54">'307'!$P$86</definedName>
    <definedName name="OSRRefP22_5x_0" localSheetId="56">'308'!$P$84</definedName>
    <definedName name="OSRRefP22_5x_0" localSheetId="68">'309'!$P$44</definedName>
    <definedName name="OSRRefP22_5x_0" localSheetId="67">'310'!$P$52:$P$53</definedName>
    <definedName name="OSRRefP22_5x_0" localSheetId="76">'310 &amp; 491'!$P$61:$P$63</definedName>
    <definedName name="OSRRefP22_5x_0" localSheetId="57">'311'!$P$83</definedName>
    <definedName name="OSRRefP22_5x_0" localSheetId="69">'313'!$P$48</definedName>
    <definedName name="OSRRefP22_5x_0" localSheetId="55">'314'!$P$71</definedName>
    <definedName name="OSRRefP22_5x_0" localSheetId="60">'315'!$P$95</definedName>
    <definedName name="OSRRefP22_5x_0" localSheetId="63">'316'!$P$51:$P$52</definedName>
    <definedName name="OSRRefP22_5x_0" localSheetId="66">'317'!$P$79:$P$80</definedName>
    <definedName name="OSRRefP22_5x_0" localSheetId="64">'320'!$P$47</definedName>
    <definedName name="OSRRefP22_5x_0" localSheetId="70">'321'!$P$45</definedName>
    <definedName name="OSRRefP22_5x_0" localSheetId="71">'322'!$P$44</definedName>
    <definedName name="OSRRefP22_5x_0" localSheetId="72">'325'!$P$45:$P$46</definedName>
    <definedName name="OSRRefP22_5x_0" localSheetId="61">'326'!$P$78</definedName>
    <definedName name="OSRRefP22_5x_0" localSheetId="53">'330'!$P$95</definedName>
    <definedName name="OSRRefP22_5x_0" localSheetId="59">'331'!$P$102:$P$103</definedName>
    <definedName name="OSRRefP22_5x_0" localSheetId="62">'332'!$P$60</definedName>
    <definedName name="OSRRefP22_5x_0" localSheetId="78">'405'!$P$44:$P$45</definedName>
    <definedName name="OSRRefP22_5x_0" localSheetId="79">'406'!$P$45</definedName>
    <definedName name="OSRRefP22_5x_0" localSheetId="80">'411'!$P$45</definedName>
    <definedName name="OSRRefP22_5x_0" localSheetId="81">'412'!$P$45</definedName>
    <definedName name="OSRRefP22_5x_0" localSheetId="83">'413'!$P$44</definedName>
    <definedName name="OSRRefP22_5x_0" localSheetId="84">'414'!$P$43</definedName>
    <definedName name="OSRRefP22_5x_0" localSheetId="85">'415'!$P$45:$P$46</definedName>
    <definedName name="OSRRefP22_5x_0" localSheetId="86">'418'!$P$46:$P$47</definedName>
    <definedName name="OSRRefP22_5x_0" localSheetId="87">'423'!$P$38</definedName>
    <definedName name="OSRRefP22_5x_0" localSheetId="88">'424'!$P$36</definedName>
    <definedName name="OSRRefP22_5x_0" localSheetId="89">'425'!$P$45</definedName>
    <definedName name="OSRRefP22_5x_0" localSheetId="92">'430'!$P$38</definedName>
    <definedName name="OSRRefP22_5x_0" localSheetId="93">'433'!$P$48</definedName>
    <definedName name="OSRRefP22_5x_0" localSheetId="94">'435'!$P$38</definedName>
    <definedName name="OSRRefP22_5x_0" localSheetId="95">'444'!$P$48</definedName>
    <definedName name="OSRRefP22_5x_0" localSheetId="96">'450'!$P$48</definedName>
    <definedName name="OSRRefP22_5x_0" localSheetId="77">'491'!$P$55:$P$57</definedName>
    <definedName name="OSRRefP22_5x_0" localSheetId="91">'492'!$P$51</definedName>
    <definedName name="OSRRefP22_5x_0" localSheetId="98">'501'!$P$43:$P$44</definedName>
    <definedName name="OSRRefP22_5x_0" localSheetId="39">'Div 2'!$P$46</definedName>
    <definedName name="OSRRefP22_5x_0" localSheetId="48">'Div 3'!$P$186:$P$187</definedName>
    <definedName name="OSRRefP22_5x_0" localSheetId="75">'Div 4'!$P$56:$P$58</definedName>
    <definedName name="OSRRefP22_5x_0" localSheetId="97">'Div 5'!$P$43:$P$44</definedName>
    <definedName name="OSRRefP22_5x_0" localSheetId="65">'Div 6'!$P$79:$P$80</definedName>
    <definedName name="OSRRefP22_5x_0" localSheetId="2">Summary!$P$217:$P$219</definedName>
    <definedName name="OSRRefP22_6x_0" localSheetId="41">'201'!$P$41</definedName>
    <definedName name="OSRRefP22_6x_0" localSheetId="42">'202'!$P$43</definedName>
    <definedName name="OSRRefP22_6x_0" localSheetId="43">'203'!$P$44</definedName>
    <definedName name="OSRRefP22_6x_0" localSheetId="44">'204'!$P$46</definedName>
    <definedName name="OSRRefP22_6x_0" localSheetId="45">'205'!$P$40:$P$41</definedName>
    <definedName name="OSRRefP22_6x_0" localSheetId="46">'206'!$P$42</definedName>
    <definedName name="OSRRefP22_6x_0" localSheetId="49">'300'!$P$184:$P$185</definedName>
    <definedName name="OSRRefP22_6x_0" localSheetId="50">'300 &amp; 317'!$P$208:$P$209</definedName>
    <definedName name="OSRRefP22_6x_0" localSheetId="51">'301'!$P$47:$P$48</definedName>
    <definedName name="OSRRefP22_6x_0" localSheetId="54">'307'!$P$88</definedName>
    <definedName name="OSRRefP22_6x_0" localSheetId="56">'308'!$P$86:$P$87</definedName>
    <definedName name="OSRRefP22_6x_0" localSheetId="68">'309'!$P$46</definedName>
    <definedName name="OSRRefP22_6x_0" localSheetId="67">'310'!$P$55</definedName>
    <definedName name="OSRRefP22_6x_0" localSheetId="76">'310 &amp; 491'!$P$65</definedName>
    <definedName name="OSRRefP22_6x_0" localSheetId="57">'311'!$P$85:$P$86</definedName>
    <definedName name="OSRRefP22_6x_0" localSheetId="69">'313'!$P$50</definedName>
    <definedName name="OSRRefP22_6x_0" localSheetId="60">'315'!$P$97</definedName>
    <definedName name="OSRRefP22_6x_0" localSheetId="63">'316'!$P$54</definedName>
    <definedName name="OSRRefP22_6x_0" localSheetId="66">'317'!$P$82</definedName>
    <definedName name="OSRRefP22_6x_0" localSheetId="64">'320'!$P$49</definedName>
    <definedName name="OSRRefP22_6x_0" localSheetId="70">'321'!$P$47:$P$49</definedName>
    <definedName name="OSRRefP22_6x_0" localSheetId="71">'322'!$P$46</definedName>
    <definedName name="OSRRefP22_6x_0" localSheetId="72">'325'!$P$48</definedName>
    <definedName name="OSRRefP22_6x_0" localSheetId="61">'326'!$P$80</definedName>
    <definedName name="OSRRefP22_6x_0" localSheetId="53">'330'!$P$97</definedName>
    <definedName name="OSRRefP22_6x_0" localSheetId="59">'331'!$P$105</definedName>
    <definedName name="OSRRefP22_6x_0" localSheetId="62">'332'!$P$62:$P$63</definedName>
    <definedName name="OSRRefP22_6x_0" localSheetId="78">'405'!$P$47</definedName>
    <definedName name="OSRRefP22_6x_0" localSheetId="79">'406'!$P$47</definedName>
    <definedName name="OSRRefP22_6x_0" localSheetId="80">'411'!$P$47</definedName>
    <definedName name="OSRRefP22_6x_0" localSheetId="81">'412'!$P$47</definedName>
    <definedName name="OSRRefP22_6x_0" localSheetId="83">'413'!$P$46</definedName>
    <definedName name="OSRRefP22_6x_0" localSheetId="84">'414'!$P$45</definedName>
    <definedName name="OSRRefP22_6x_0" localSheetId="85">'415'!$P$48</definedName>
    <definedName name="OSRRefP22_6x_0" localSheetId="86">'418'!$P$49</definedName>
    <definedName name="OSRRefP22_6x_0" localSheetId="88">'424'!$P$38</definedName>
    <definedName name="OSRRefP22_6x_0" localSheetId="89">'425'!$P$47</definedName>
    <definedName name="OSRRefP22_6x_0" localSheetId="92">'430'!$P$40</definedName>
    <definedName name="OSRRefP22_6x_0" localSheetId="93">'433'!$P$50</definedName>
    <definedName name="OSRRefP22_6x_0" localSheetId="94">'435'!$P$40:$P$41</definedName>
    <definedName name="OSRRefP22_6x_0" localSheetId="95">'444'!$P$50</definedName>
    <definedName name="OSRRefP22_6x_0" localSheetId="96">'450'!$P$50</definedName>
    <definedName name="OSRRefP22_6x_0" localSheetId="77">'491'!$P$59</definedName>
    <definedName name="OSRRefP22_6x_0" localSheetId="91">'492'!$P$53</definedName>
    <definedName name="OSRRefP22_6x_0" localSheetId="98">'501'!$P$46</definedName>
    <definedName name="OSRRefP22_6x_0" localSheetId="39">'Div 2'!$P$48</definedName>
    <definedName name="OSRRefP22_6x_0" localSheetId="48">'Div 3'!$P$189:$P$190</definedName>
    <definedName name="OSRRefP22_6x_0" localSheetId="75">'Div 4'!$P$60</definedName>
    <definedName name="OSRRefP22_6x_0" localSheetId="97">'Div 5'!$P$46</definedName>
    <definedName name="OSRRefP22_6x_0" localSheetId="65">'Div 6'!$P$82</definedName>
    <definedName name="OSRRefP22_6x_0" localSheetId="2">Summary!$P$221:$P$222</definedName>
    <definedName name="OSRRefP22_7x_0" localSheetId="41">'201'!$P$43</definedName>
    <definedName name="OSRRefP22_7x_0" localSheetId="42">'202'!$P$45:$P$46</definedName>
    <definedName name="OSRRefP22_7x_0" localSheetId="43">'203'!$P$46</definedName>
    <definedName name="OSRRefP22_7x_0" localSheetId="44">'204'!$P$48:$P$49</definedName>
    <definedName name="OSRRefP22_7x_0" localSheetId="45">'205'!$P$43</definedName>
    <definedName name="OSRRefP22_7x_0" localSheetId="46">'206'!$P$44</definedName>
    <definedName name="OSRRefP22_7x_0" localSheetId="49">'300'!$P$187</definedName>
    <definedName name="OSRRefP22_7x_0" localSheetId="50">'300 &amp; 317'!$P$211</definedName>
    <definedName name="OSRRefP22_7x_0" localSheetId="51">'301'!$P$50</definedName>
    <definedName name="OSRRefP22_7x_0" localSheetId="54">'307'!$P$90:$P$91</definedName>
    <definedName name="OSRRefP22_7x_0" localSheetId="56">'308'!$P$89</definedName>
    <definedName name="OSRRefP22_7x_0" localSheetId="68">'309'!$P$48:$P$49</definedName>
    <definedName name="OSRRefP22_7x_0" localSheetId="67">'310'!$P$57</definedName>
    <definedName name="OSRRefP22_7x_0" localSheetId="76">'310 &amp; 491'!$P$67</definedName>
    <definedName name="OSRRefP22_7x_0" localSheetId="57">'311'!$P$88</definedName>
    <definedName name="OSRRefP22_7x_0" localSheetId="69">'313'!$P$52</definedName>
    <definedName name="OSRRefP22_7x_0" localSheetId="60">'315'!$P$99:$P$100</definedName>
    <definedName name="OSRRefP22_7x_0" localSheetId="63">'316'!$P$56</definedName>
    <definedName name="OSRRefP22_7x_0" localSheetId="66">'317'!$P$84</definedName>
    <definedName name="OSRRefP22_7x_0" localSheetId="64">'320'!$P$51:$P$52</definedName>
    <definedName name="OSRRefP22_7x_0" localSheetId="70">'321'!$P$51</definedName>
    <definedName name="OSRRefP22_7x_0" localSheetId="71">'322'!$P$48</definedName>
    <definedName name="OSRRefP22_7x_0" localSheetId="72">'325'!$P$50</definedName>
    <definedName name="OSRRefP22_7x_0" localSheetId="61">'326'!$P$82</definedName>
    <definedName name="OSRRefP22_7x_0" localSheetId="53">'330'!$P$99:$P$100</definedName>
    <definedName name="OSRRefP22_7x_0" localSheetId="59">'331'!$P$107</definedName>
    <definedName name="OSRRefP22_7x_0" localSheetId="62">'332'!$P$65</definedName>
    <definedName name="OSRRefP22_7x_0" localSheetId="78">'405'!$P$49</definedName>
    <definedName name="OSRRefP22_7x_0" localSheetId="79">'406'!$P$49</definedName>
    <definedName name="OSRRefP22_7x_0" localSheetId="80">'411'!$P$49</definedName>
    <definedName name="OSRRefP22_7x_0" localSheetId="81">'412'!$P$49</definedName>
    <definedName name="OSRRefP22_7x_0" localSheetId="83">'413'!$P$48:$P$50</definedName>
    <definedName name="OSRRefP22_7x_0" localSheetId="84">'414'!$P$47</definedName>
    <definedName name="OSRRefP22_7x_0" localSheetId="85">'415'!$P$50</definedName>
    <definedName name="OSRRefP22_7x_0" localSheetId="86">'418'!$P$51</definedName>
    <definedName name="OSRRefP22_7x_0" localSheetId="88">'424'!$P$40</definedName>
    <definedName name="OSRRefP22_7x_0" localSheetId="89">'425'!$P$49</definedName>
    <definedName name="OSRRefP22_7x_0" localSheetId="92">'430'!$P$42</definedName>
    <definedName name="OSRRefP22_7x_0" localSheetId="93">'433'!$P$52</definedName>
    <definedName name="OSRRefP22_7x_0" localSheetId="94">'435'!$P$43</definedName>
    <definedName name="OSRRefP22_7x_0" localSheetId="95">'444'!$P$52</definedName>
    <definedName name="OSRRefP22_7x_0" localSheetId="96">'450'!$P$52</definedName>
    <definedName name="OSRRefP22_7x_0" localSheetId="77">'491'!$P$61</definedName>
    <definedName name="OSRRefP22_7x_0" localSheetId="91">'492'!$P$55</definedName>
    <definedName name="OSRRefP22_7x_0" localSheetId="98">'501'!$P$48</definedName>
    <definedName name="OSRRefP22_7x_0" localSheetId="39">'Div 2'!$P$50</definedName>
    <definedName name="OSRRefP22_7x_0" localSheetId="48">'Div 3'!$P$192</definedName>
    <definedName name="OSRRefP22_7x_0" localSheetId="75">'Div 4'!$P$62</definedName>
    <definedName name="OSRRefP22_7x_0" localSheetId="97">'Div 5'!$P$48</definedName>
    <definedName name="OSRRefP22_7x_0" localSheetId="65">'Div 6'!$P$84</definedName>
    <definedName name="OSRRefP22_7x_0" localSheetId="2">Summary!$P$224</definedName>
    <definedName name="OSRRefP22_8x_0" localSheetId="41">'201'!$P$45</definedName>
    <definedName name="OSRRefP22_8x_0" localSheetId="42">'202'!$P$48</definedName>
    <definedName name="OSRRefP22_8x_0" localSheetId="43">'203'!$P$48</definedName>
    <definedName name="OSRRefP22_8x_0" localSheetId="44">'204'!$P$51</definedName>
    <definedName name="OSRRefP22_8x_0" localSheetId="45">'205'!$P$45</definedName>
    <definedName name="OSRRefP22_8x_0" localSheetId="49">'300'!$P$189</definedName>
    <definedName name="OSRRefP22_8x_0" localSheetId="50">'300 &amp; 317'!$P$213</definedName>
    <definedName name="OSRRefP22_8x_0" localSheetId="51">'301'!$P$52</definedName>
    <definedName name="OSRRefP22_8x_0" localSheetId="54">'307'!$P$93:$P$94</definedName>
    <definedName name="OSRRefP22_8x_0" localSheetId="56">'308'!$P$91</definedName>
    <definedName name="OSRRefP22_8x_0" localSheetId="68">'309'!$P$51:$P$52</definedName>
    <definedName name="OSRRefP22_8x_0" localSheetId="67">'310'!$P$59</definedName>
    <definedName name="OSRRefP22_8x_0" localSheetId="76">'310 &amp; 491'!$P$69</definedName>
    <definedName name="OSRRefP22_8x_0" localSheetId="57">'311'!$P$90</definedName>
    <definedName name="OSRRefP22_8x_0" localSheetId="69">'313'!$P$54:$P$56</definedName>
    <definedName name="OSRRefP22_8x_0" localSheetId="60">'315'!$P$102</definedName>
    <definedName name="OSRRefP22_8x_0" localSheetId="63">'316'!$P$58:$P$63</definedName>
    <definedName name="OSRRefP22_8x_0" localSheetId="66">'317'!$P$86</definedName>
    <definedName name="OSRRefP22_8x_0" localSheetId="64">'320'!$P$54</definedName>
    <definedName name="OSRRefP22_8x_0" localSheetId="70">'321'!$P$53:$P$55</definedName>
    <definedName name="OSRRefP22_8x_0" localSheetId="71">'322'!$P$50:$P$51</definedName>
    <definedName name="OSRRefP22_8x_0" localSheetId="72">'325'!$P$52</definedName>
    <definedName name="OSRRefP22_8x_0" localSheetId="61">'326'!$P$84</definedName>
    <definedName name="OSRRefP22_8x_0" localSheetId="53">'330'!$P$102:$P$103</definedName>
    <definedName name="OSRRefP22_8x_0" localSheetId="59">'331'!$P$109</definedName>
    <definedName name="OSRRefP22_8x_0" localSheetId="62">'332'!$P$67</definedName>
    <definedName name="OSRRefP22_8x_0" localSheetId="78">'405'!$P$51</definedName>
    <definedName name="OSRRefP22_8x_0" localSheetId="79">'406'!$P$51:$P$53</definedName>
    <definedName name="OSRRefP22_8x_0" localSheetId="80">'411'!$P$51</definedName>
    <definedName name="OSRRefP22_8x_0" localSheetId="81">'412'!$P$51:$P$52</definedName>
    <definedName name="OSRRefP22_8x_0" localSheetId="83">'413'!$P$52:$P$53</definedName>
    <definedName name="OSRRefP22_8x_0" localSheetId="84">'414'!$P$49:$P$50</definedName>
    <definedName name="OSRRefP22_8x_0" localSheetId="85">'415'!$P$52</definedName>
    <definedName name="OSRRefP22_8x_0" localSheetId="86">'418'!$P$53:$P$54</definedName>
    <definedName name="OSRRefP22_8x_0" localSheetId="88">'424'!$P$42:$P$43</definedName>
    <definedName name="OSRRefP22_8x_0" localSheetId="89">'425'!$P$51</definedName>
    <definedName name="OSRRefP22_8x_0" localSheetId="93">'433'!$P$54</definedName>
    <definedName name="OSRRefP22_8x_0" localSheetId="95">'444'!$P$54</definedName>
    <definedName name="OSRRefP22_8x_0" localSheetId="96">'450'!$P$54</definedName>
    <definedName name="OSRRefP22_8x_0" localSheetId="77">'491'!$P$63</definedName>
    <definedName name="OSRRefP22_8x_0" localSheetId="91">'492'!$P$57</definedName>
    <definedName name="OSRRefP22_8x_0" localSheetId="98">'501'!$P$50:$P$51</definedName>
    <definedName name="OSRRefP22_8x_0" localSheetId="39">'Div 2'!$P$52</definedName>
    <definedName name="OSRRefP22_8x_0" localSheetId="48">'Div 3'!$P$194</definedName>
    <definedName name="OSRRefP22_8x_0" localSheetId="75">'Div 4'!$P$64</definedName>
    <definedName name="OSRRefP22_8x_0" localSheetId="97">'Div 5'!$P$50:$P$51</definedName>
    <definedName name="OSRRefP22_8x_0" localSheetId="65">'Div 6'!$P$86</definedName>
    <definedName name="OSRRefP22_8x_0" localSheetId="2">Summary!$P$226</definedName>
    <definedName name="OSRRefP22_9x_0" localSheetId="41">'201'!$P$47:$P$49</definedName>
    <definedName name="OSRRefP22_9x_0" localSheetId="42">'202'!$P$50</definedName>
    <definedName name="OSRRefP22_9x_0" localSheetId="43">'203'!$P$50:$P$51</definedName>
    <definedName name="OSRRefP22_9x_0" localSheetId="44">'204'!$P$53:$P$54</definedName>
    <definedName name="OSRRefP22_9x_0" localSheetId="49">'300'!$P$191</definedName>
    <definedName name="OSRRefP22_9x_0" localSheetId="50">'300 &amp; 317'!$P$215</definedName>
    <definedName name="OSRRefP22_9x_0" localSheetId="51">'301'!$P$54</definedName>
    <definedName name="OSRRefP22_9x_0" localSheetId="54">'307'!$P$96:$P$98</definedName>
    <definedName name="OSRRefP22_9x_0" localSheetId="56">'308'!$P$93:$P$94</definedName>
    <definedName name="OSRRefP22_9x_0" localSheetId="68">'309'!$P$54:$P$56</definedName>
    <definedName name="OSRRefP22_9x_0" localSheetId="67">'310'!$P$61</definedName>
    <definedName name="OSRRefP22_9x_0" localSheetId="76">'310 &amp; 491'!$P$71:$P$72</definedName>
    <definedName name="OSRRefP22_9x_0" localSheetId="57">'311'!$P$92:$P$93</definedName>
    <definedName name="OSRRefP22_9x_0" localSheetId="69">'313'!$P$58</definedName>
    <definedName name="OSRRefP22_9x_0" localSheetId="60">'315'!$P$104:$P$107</definedName>
    <definedName name="OSRRefP22_9x_0" localSheetId="63">'316'!$P$65</definedName>
    <definedName name="OSRRefP22_9x_0" localSheetId="66">'317'!$P$88:$P$90</definedName>
    <definedName name="OSRRefP22_9x_0" localSheetId="70">'321'!$P$57:$P$60</definedName>
    <definedName name="OSRRefP22_9x_0" localSheetId="71">'322'!$P$53:$P$55</definedName>
    <definedName name="OSRRefP22_9x_0" localSheetId="72">'325'!$P$54</definedName>
    <definedName name="OSRRefP22_9x_0" localSheetId="61">'326'!$P$86</definedName>
    <definedName name="OSRRefP22_9x_0" localSheetId="53">'330'!$P$105</definedName>
    <definedName name="OSRRefP22_9x_0" localSheetId="59">'331'!$P$111</definedName>
    <definedName name="OSRRefP22_9x_0" localSheetId="62">'332'!$P$69</definedName>
    <definedName name="OSRRefP22_9x_0" localSheetId="78">'405'!$P$53:$P$54</definedName>
    <definedName name="OSRRefP22_9x_0" localSheetId="79">'406'!$P$55</definedName>
    <definedName name="OSRRefP22_9x_0" localSheetId="80">'411'!$P$53</definedName>
    <definedName name="OSRRefP22_9x_0" localSheetId="81">'412'!$P$54:$P$55</definedName>
    <definedName name="OSRRefP22_9x_0" localSheetId="83">'413'!$P$55:$P$58</definedName>
    <definedName name="OSRRefP22_9x_0" localSheetId="84">'414'!$P$52</definedName>
    <definedName name="OSRRefP22_9x_0" localSheetId="85">'415'!$P$54</definedName>
    <definedName name="OSRRefP22_9x_0" localSheetId="86">'418'!$P$56:$P$58</definedName>
    <definedName name="OSRRefP22_9x_0" localSheetId="88">'424'!$P$45</definedName>
    <definedName name="OSRRefP22_9x_0" localSheetId="89">'425'!$P$53:$P$55</definedName>
    <definedName name="OSRRefP22_9x_0" localSheetId="93">'433'!$P$56</definedName>
    <definedName name="OSRRefP22_9x_0" localSheetId="95">'444'!$P$56</definedName>
    <definedName name="OSRRefP22_9x_0" localSheetId="96">'450'!$P$56</definedName>
    <definedName name="OSRRefP22_9x_0" localSheetId="77">'491'!$P$65:$P$66</definedName>
    <definedName name="OSRRefP22_9x_0" localSheetId="91">'492'!$P$59</definedName>
    <definedName name="OSRRefP22_9x_0" localSheetId="98">'501'!$P$53:$P$55</definedName>
    <definedName name="OSRRefP22_9x_0" localSheetId="39">'Div 2'!$P$54:$P$55</definedName>
    <definedName name="OSRRefP22_9x_0" localSheetId="48">'Div 3'!$P$196</definedName>
    <definedName name="OSRRefP22_9x_0" localSheetId="75">'Div 4'!$P$66</definedName>
    <definedName name="OSRRefP22_9x_0" localSheetId="97">'Div 5'!$P$53:$P$55</definedName>
    <definedName name="OSRRefP22_9x_0" localSheetId="65">'Div 6'!$P$88:$P$90</definedName>
    <definedName name="OSRRefP22_9x_0" localSheetId="2">Summary!$P$228</definedName>
    <definedName name="OSRRefP22x_0" localSheetId="40">'200'!$P$20,'200'!$P$22,'200'!$P$24,'200'!$P$26:$P$27</definedName>
    <definedName name="OSRRefP22x_0" localSheetId="41">'201'!$P$20:$P$27,'201'!$P$29:$P$31,'201'!$P$33,'201'!$P$35,'201'!$P$37,'201'!$P$39,'201'!$P$41,'201'!$P$43,'201'!$P$45,'201'!$P$47:$P$49,'201'!$P$51:$P$53,'201'!$P$55,'201'!$P$57:$P$60,'201'!$P$62,'201'!$P$64</definedName>
    <definedName name="OSRRefP22x_0" localSheetId="42">'202'!$P$20:$P$27,'202'!$P$29:$P$32,'202'!$P$34,'202'!$P$36,'202'!$P$38:$P$39,'202'!$P$41,'202'!$P$43,'202'!$P$45:$P$46,'202'!$P$48,'202'!$P$50,'202'!$P$52:$P$54,'202'!$P$56,'202'!$P$58,'202'!$P$60</definedName>
    <definedName name="OSRRefP22x_0" localSheetId="43">'203'!$P$20:$P$29,'203'!$P$31:$P$34,'203'!$P$36,'203'!$P$38,'203'!$P$40,'203'!$P$42,'203'!$P$44,'203'!$P$46,'203'!$P$48,'203'!$P$50:$P$51,'203'!$P$53:$P$54,'203'!$P$56,'203'!$P$58:$P$61,'203'!$P$63,'203'!$P$65,'203'!$P$67</definedName>
    <definedName name="OSRRefP22x_0" localSheetId="44">'204'!$P$20:$P$28,'204'!$P$30:$P$34,'204'!$P$36,'204'!$P$38,'204'!$P$40,'204'!$P$42:$P$44,'204'!$P$46,'204'!$P$48:$P$49,'204'!$P$51,'204'!$P$53:$P$54</definedName>
    <definedName name="OSRRefP22x_0" localSheetId="45">'205'!$P$20:$P$27,'205'!$P$29,'205'!$P$31,'205'!$P$33,'205'!$P$35:$P$36,'205'!$P$38,'205'!$P$40:$P$41,'205'!$P$43,'205'!$P$45</definedName>
    <definedName name="OSRRefP22x_0" localSheetId="46">'206'!$P$20:$P$26,'206'!$P$28:$P$31,'206'!$P$33,'206'!$P$35,'206'!$P$37,'206'!$P$39:$P$40,'206'!$P$42,'206'!$P$44</definedName>
    <definedName name="OSRRefP22x_0" localSheetId="49">'300'!$P$156:$P$165,'300'!$P$167:$P$173,'300'!$P$175,'300'!$P$177,'300'!$P$179,'300'!$P$181:$P$182,'300'!$P$184:$P$185,'300'!$P$187,'300'!$P$189,'300'!$P$191,'300'!$P$193:$P$194,'300'!$P$196,'300'!$P$198,'300'!$P$200,'300'!$P$202,'300'!$P$204,'300'!$P$206:$P$209,'300'!$P$211:$P$213,'300'!$P$215:$P$218,'300'!$P$220:$P$221,'300'!$P$223:$P$229,'300'!$P$231:$P$232,'300'!$P$234,'300'!$P$236:$P$238,'300'!$P$240</definedName>
    <definedName name="OSRRefP22x_0" localSheetId="50">'300 &amp; 317'!$P$180:$P$189,'300 &amp; 317'!$P$191:$P$197,'300 &amp; 317'!$P$199,'300 &amp; 317'!$P$201,'300 &amp; 317'!$P$203,'300 &amp; 317'!$P$205:$P$206,'300 &amp; 317'!$P$208:$P$209,'300 &amp; 317'!$P$211,'300 &amp; 317'!$P$213,'300 &amp; 317'!$P$215,'300 &amp; 317'!$P$217:$P$218,'300 &amp; 317'!$P$220,'300 &amp; 317'!$P$222,'300 &amp; 317'!$P$224,'300 &amp; 317'!$P$226,'300 &amp; 317'!$P$228,'300 &amp; 317'!$P$230:$P$233,'300 &amp; 317'!$P$235:$P$237,'300 &amp; 317'!$P$239:$P$242,'300 &amp; 317'!$P$244:$P$245,'300 &amp; 317'!$P$247:$P$253,'300 &amp; 317'!$P$255:$P$256,'300 &amp; 317'!$P$258,'300 &amp; 317'!$P$260:$P$262,'300 &amp; 317'!$P$264</definedName>
    <definedName name="OSRRefP22x_0" localSheetId="51">'301'!$P$20:$P$28,'301'!$P$30:$P$36,'301'!$P$38,'301'!$P$40,'301'!$P$42,'301'!$P$44:$P$45,'301'!$P$47:$P$48,'301'!$P$50,'301'!$P$52,'301'!$P$54,'301'!$P$56,'301'!$P$58,'301'!$P$60,'301'!$P$62,'301'!$P$64,'301'!$P$66:$P$69,'301'!$P$71:$P$73,'301'!$P$75,'301'!$P$77:$P$82,'301'!$P$84,'301'!$P$86,'301'!$P$88:$P$89,'301'!$P$91</definedName>
    <definedName name="OSRRefP22x_0" localSheetId="52">'306'!$P$20:$P$28,'306'!$P$30:$P$35,'306'!$P$37,'306'!$P$39,'306'!$P$41:$P$42,'306'!$P$44</definedName>
    <definedName name="OSRRefP22x_0" localSheetId="54">'307'!$P$65:$P$72,'307'!$P$74:$P$77,'307'!$P$79,'307'!$P$81,'307'!$P$83:$P$84,'307'!$P$86,'307'!$P$88,'307'!$P$90:$P$91,'307'!$P$93:$P$94,'307'!$P$96:$P$98,'307'!$P$100</definedName>
    <definedName name="OSRRefP22x_0" localSheetId="56">'308'!$P$60:$P$68,'308'!$P$70:$P$75,'308'!$P$77,'308'!$P$79:$P$80,'308'!$P$82,'308'!$P$84,'308'!$P$86:$P$87,'308'!$P$89,'308'!$P$91,'308'!$P$93:$P$94,'308'!$P$96,'308'!$P$98:$P$100,'308'!$P$102:$P$103,'308'!$P$105,'308'!$P$107</definedName>
    <definedName name="OSRRefP22x_0" localSheetId="68">'309'!$P$24:$P$31,'309'!$P$33:$P$36,'309'!$P$38,'309'!$P$40,'309'!$P$42,'309'!$P$44,'309'!$P$46,'309'!$P$48:$P$49,'309'!$P$51:$P$52,'309'!$P$54:$P$56,'309'!$P$58</definedName>
    <definedName name="OSRRefP22x_0" localSheetId="67">'310'!$P$30:$P$37,'310'!$P$39:$P$44,'310'!$P$46,'310'!$P$48,'310'!$P$50,'310'!$P$52:$P$53,'310'!$P$55,'310'!$P$57,'310'!$P$59,'310'!$P$61,'310'!$P$63,'310'!$P$65,'310'!$P$67,'310'!$P$69:$P$71,'310'!$P$73,'310'!$P$75:$P$78,'310'!$P$80,'310'!$P$82:$P$88,'310'!$P$90,'310'!$P$92,'310'!$P$94</definedName>
    <definedName name="OSRRefP22x_0" localSheetId="76">'310 &amp; 491'!$P$37:$P$45,'310 &amp; 491'!$P$47:$P$53,'310 &amp; 491'!$P$55,'310 &amp; 491'!$P$57,'310 &amp; 491'!$P$59,'310 &amp; 491'!$P$61:$P$63,'310 &amp; 491'!$P$65,'310 &amp; 491'!$P$67,'310 &amp; 491'!$P$69,'310 &amp; 491'!$P$71:$P$72,'310 &amp; 491'!$P$74:$P$75,'310 &amp; 491'!$P$77,'310 &amp; 491'!$P$79,'310 &amp; 491'!$P$81,'310 &amp; 491'!$P$83,'310 &amp; 491'!$P$85:$P$87,'310 &amp; 491'!$P$89:$P$90,'310 &amp; 491'!$P$92:$P$96,'310 &amp; 491'!$P$98,'310 &amp; 491'!$P$100:$P$108,'310 &amp; 491'!$P$110,'310 &amp; 491'!$P$112,'310 &amp; 491'!$P$114:$P$116,'310 &amp; 491'!$P$118</definedName>
    <definedName name="OSRRefP22x_0" localSheetId="57">'311'!$P$59:$P$67,'311'!$P$69:$P$74,'311'!$P$76,'311'!$P$78:$P$79,'311'!$P$81,'311'!$P$83,'311'!$P$85:$P$86,'311'!$P$88,'311'!$P$90,'311'!$P$92:$P$93,'311'!$P$95,'311'!$P$97:$P$99,'311'!$P$101:$P$102,'311'!$P$104,'311'!$P$106</definedName>
    <definedName name="OSRRefP22x_0" localSheetId="69">'313'!$P$27:$P$34,'313'!$P$36:$P$40,'313'!$P$42,'313'!$P$44,'313'!$P$46,'313'!$P$48,'313'!$P$50,'313'!$P$52,'313'!$P$54:$P$56,'313'!$P$58,'313'!$P$60:$P$64,'313'!$P$66,'313'!$P$68</definedName>
    <definedName name="OSRRefP22x_0" localSheetId="55">'314'!$P$53:$P$59,'314'!$P$61:$P$62,'314'!$P$64,'314'!$P$66:$P$67,'314'!$P$69,'314'!$P$71</definedName>
    <definedName name="OSRRefP22x_0" localSheetId="60">'315'!$P$73:$P$80,'315'!$P$82:$P$86,'315'!$P$88,'315'!$P$90:$P$91,'315'!$P$93,'315'!$P$95,'315'!$P$97,'315'!$P$99:$P$100,'315'!$P$102,'315'!$P$104:$P$107,'315'!$P$109,'315'!$P$111</definedName>
    <definedName name="OSRRefP22x_0" localSheetId="63">'316'!$P$32:$P$39,'316'!$P$41:$P$43,'316'!$P$45,'316'!$P$47,'316'!$P$49,'316'!$P$51:$P$52,'316'!$P$54,'316'!$P$56,'316'!$P$58:$P$63,'316'!$P$65,'316'!$P$67,'316'!$P$69</definedName>
    <definedName name="OSRRefP22x_0" localSheetId="66">'317'!$P$57:$P$65,'317'!$P$67:$P$71,'317'!$P$73,'317'!$P$75,'317'!$P$77,'317'!$P$79:$P$80,'317'!$P$82,'317'!$P$84,'317'!$P$86,'317'!$P$88:$P$90,'317'!$P$92</definedName>
    <definedName name="OSRRefP22x_0" localSheetId="64">'320'!$P$28:$P$34,'320'!$P$36:$P$38,'320'!$P$40,'320'!$P$42,'320'!$P$44:$P$45,'320'!$P$47,'320'!$P$49,'320'!$P$51:$P$52,'320'!$P$54</definedName>
    <definedName name="OSRRefP22x_0" localSheetId="70">'321'!$P$24:$P$31,'321'!$P$33:$P$37,'321'!$P$39,'321'!$P$41,'321'!$P$43,'321'!$P$45,'321'!$P$47:$P$49,'321'!$P$51,'321'!$P$53:$P$55,'321'!$P$57:$P$60,'321'!$P$62,'321'!$P$64</definedName>
    <definedName name="OSRRefP22x_0" localSheetId="71">'322'!$P$24:$P$31,'322'!$P$33:$P$36,'322'!$P$38,'322'!$P$40,'322'!$P$42,'322'!$P$44,'322'!$P$46,'322'!$P$48,'322'!$P$50:$P$51,'322'!$P$53:$P$55,'322'!$P$57:$P$61,'322'!$P$63,'322'!$P$65</definedName>
    <definedName name="OSRRefP22x_0" localSheetId="72">'325'!$P$24:$P$31,'325'!$P$33:$P$37,'325'!$P$39,'325'!$P$41,'325'!$P$43,'325'!$P$45:$P$46,'325'!$P$48,'325'!$P$50,'325'!$P$52,'325'!$P$54,'325'!$P$56:$P$58,'325'!$P$60:$P$62,'325'!$P$64,'325'!$P$66:$P$70,'325'!$P$72,'325'!$P$74</definedName>
    <definedName name="OSRRefP22x_0" localSheetId="61">'326'!$P$57:$P$64,'326'!$P$66:$P$70,'326'!$P$72,'326'!$P$74,'326'!$P$76,'326'!$P$78,'326'!$P$80,'326'!$P$82,'326'!$P$84,'326'!$P$86,'326'!$P$88,'326'!$P$90,'326'!$P$92:$P$94,'326'!$P$96,'326'!$P$98:$P$100,'326'!$P$102,'326'!$P$104,'326'!$P$106</definedName>
    <definedName name="OSRRefP22x_0" localSheetId="73">'327'!$P$22</definedName>
    <definedName name="OSRRefP22x_0" localSheetId="53">'330'!$P$74:$P$81,'330'!$P$83:$P$86,'330'!$P$88,'330'!$P$90,'330'!$P$92:$P$93,'330'!$P$95,'330'!$P$97,'330'!$P$99:$P$100,'330'!$P$102:$P$103,'330'!$P$105,'330'!$P$107:$P$109,'330'!$P$111</definedName>
    <definedName name="OSRRefP22x_0" localSheetId="59">'331'!$P$81:$P$88,'331'!$P$90:$P$94,'331'!$P$96,'331'!$P$98,'331'!$P$100,'331'!$P$102:$P$103,'331'!$P$105,'331'!$P$107,'331'!$P$109,'331'!$P$111,'331'!$P$113,'331'!$P$115,'331'!$P$117,'331'!$P$119:$P$120,'331'!$P$122:$P$124,'331'!$P$126,'331'!$P$128:$P$132,'331'!$P$134,'331'!$P$136,'331'!$P$138,'331'!$P$140</definedName>
    <definedName name="OSRRefP22x_0" localSheetId="62">'332'!$P$40:$P$47,'332'!$P$49:$P$52,'332'!$P$54,'332'!$P$56,'332'!$P$58,'332'!$P$60,'332'!$P$62:$P$63,'332'!$P$65,'332'!$P$67,'332'!$P$69,'332'!$P$71,'332'!$P$73:$P$78,'332'!$P$80,'332'!$P$82,'332'!$P$84</definedName>
    <definedName name="OSRRefP22x_0" localSheetId="78">'405'!$P$24:$P$31,'405'!$P$33:$P$36,'405'!$P$38,'405'!$P$40,'405'!$P$42,'405'!$P$44:$P$45,'405'!$P$47,'405'!$P$49,'405'!$P$51,'405'!$P$53:$P$54,'405'!$P$56,'405'!$P$58:$P$60,'405'!$P$62,'405'!$P$64:$P$70,'405'!$P$72,'405'!$P$74,'405'!$P$76</definedName>
    <definedName name="OSRRefP22x_0" localSheetId="79">'406'!$P$24:$P$31,'406'!$P$33:$P$37,'406'!$P$39,'406'!$P$41,'406'!$P$43,'406'!$P$45,'406'!$P$47,'406'!$P$49,'406'!$P$51:$P$53,'406'!$P$55,'406'!$P$57:$P$61,'406'!$P$63,'406'!$P$65</definedName>
    <definedName name="OSRRefP22x_0" localSheetId="80">'411'!$P$20:$P$28,'411'!$P$30:$P$35,'411'!$P$37,'411'!$P$39,'411'!$P$41:$P$43,'411'!$P$45,'411'!$P$47,'411'!$P$49,'411'!$P$51,'411'!$P$53,'411'!$P$55:$P$56,'411'!$P$58:$P$62,'411'!$P$64:$P$69,'411'!$P$71,'411'!$P$73,'411'!$P$75:$P$77,'411'!$P$79</definedName>
    <definedName name="OSRRefP22x_0" localSheetId="81">'412'!$P$23:$P$30,'412'!$P$32:$P$37,'412'!$P$39,'412'!$P$41,'412'!$P$43,'412'!$P$45,'412'!$P$47,'412'!$P$49,'412'!$P$51:$P$52,'412'!$P$54:$P$55,'412'!$P$57:$P$61,'412'!$P$63,'412'!$P$65</definedName>
    <definedName name="OSRRefP22x_0" localSheetId="83">'413'!$P$24:$P$31,'413'!$P$33:$P$36,'413'!$P$38,'413'!$P$40,'413'!$P$42,'413'!$P$44,'413'!$P$46,'413'!$P$48:$P$50,'413'!$P$52:$P$53,'413'!$P$55:$P$58,'413'!$P$60</definedName>
    <definedName name="OSRRefP22x_0" localSheetId="84">'414'!$P$24:$P$30,'414'!$P$32:$P$35,'414'!$P$37,'414'!$P$39,'414'!$P$41,'414'!$P$43,'414'!$P$45,'414'!$P$47,'414'!$P$49:$P$50,'414'!$P$52,'414'!$P$54,'414'!$P$56,'414'!$P$58:$P$64,'414'!$P$66,'414'!$P$68</definedName>
    <definedName name="OSRRefP22x_0" localSheetId="85">'415'!$P$24:$P$31,'415'!$P$33:$P$37,'415'!$P$39,'415'!$P$41,'415'!$P$43,'415'!$P$45:$P$46,'415'!$P$48,'415'!$P$50,'415'!$P$52,'415'!$P$54,'415'!$P$56,'415'!$P$58:$P$60,'415'!$P$62:$P$66,'415'!$P$68,'415'!$P$70:$P$76,'415'!$P$78,'415'!$P$80,'415'!$P$82</definedName>
    <definedName name="OSRRefP22x_0" localSheetId="86">'418'!$P$24:$P$31,'418'!$P$33:$P$38,'418'!$P$40,'418'!$P$42,'418'!$P$44,'418'!$P$46:$P$47,'418'!$P$49,'418'!$P$51,'418'!$P$53:$P$54,'418'!$P$56:$P$58,'418'!$P$60:$P$62,'418'!$P$64,'418'!$P$66:$P$71,'418'!$P$73,'418'!$P$75</definedName>
    <definedName name="OSRRefP22x_0" localSheetId="82">'420'!$P$20:$P$21,'420'!$P$23</definedName>
    <definedName name="OSRRefP22x_0" localSheetId="87">'423'!$P$21:$P$28,'423'!$P$30,'423'!$P$32,'423'!$P$34,'423'!$P$36,'423'!$P$38</definedName>
    <definedName name="OSRRefP22x_0" localSheetId="88">'424'!$P$23,'424'!$P$25:$P$28,'424'!$P$30,'424'!$P$32,'424'!$P$34,'424'!$P$36,'424'!$P$38,'424'!$P$40,'424'!$P$42:$P$43,'424'!$P$45,'424'!$P$47:$P$48,'424'!$P$50</definedName>
    <definedName name="OSRRefP22x_0" localSheetId="89">'425'!$P$24:$P$31,'425'!$P$33:$P$37,'425'!$P$39,'425'!$P$41,'425'!$P$43,'425'!$P$45,'425'!$P$47,'425'!$P$49,'425'!$P$51,'425'!$P$53:$P$55,'425'!$P$57,'425'!$P$59:$P$60,'425'!$P$62:$P$66,'425'!$P$68,'425'!$P$70</definedName>
    <definedName name="OSRRefP22x_0" localSheetId="92">'430'!$P$20:$P$27,'430'!$P$29,'430'!$P$31,'430'!$P$33,'430'!$P$35:$P$36,'430'!$P$38,'430'!$P$40,'430'!$P$42</definedName>
    <definedName name="OSRRefP22x_0" localSheetId="93">'433'!$P$25:$P$33,'433'!$P$35:$P$40,'433'!$P$42,'433'!$P$44,'433'!$P$46,'433'!$P$48,'433'!$P$50,'433'!$P$52,'433'!$P$54,'433'!$P$56,'433'!$P$58,'433'!$P$60,'433'!$P$62:$P$64,'433'!$P$66:$P$72,'433'!$P$74,'433'!$P$76,'433'!$P$78</definedName>
    <definedName name="OSRRefP22x_0" localSheetId="94">'435'!$P$25:$P$27,'435'!$P$29:$P$30,'435'!$P$32,'435'!$P$34,'435'!$P$36,'435'!$P$38,'435'!$P$40:$P$41,'435'!$P$43</definedName>
    <definedName name="OSRRefP22x_0" localSheetId="95">'444'!$P$25:$P$33,'444'!$P$35:$P$40,'444'!$P$42,'444'!$P$44,'444'!$P$46,'444'!$P$48,'444'!$P$50,'444'!$P$52,'444'!$P$54,'444'!$P$56,'444'!$P$58,'444'!$P$60:$P$61,'444'!$P$63:$P$65,'444'!$P$67:$P$74,'444'!$P$76,'444'!$P$78,'444'!$P$80</definedName>
    <definedName name="OSRRefP22x_0" localSheetId="96">'450'!$P$25:$P$33,'450'!$P$35:$P$40,'450'!$P$42,'450'!$P$44,'450'!$P$46,'450'!$P$48,'450'!$P$50,'450'!$P$52,'450'!$P$54,'450'!$P$56,'450'!$P$58,'450'!$P$60,'450'!$P$62,'450'!$P$64:$P$66,'450'!$P$68:$P$73,'450'!$P$75,'450'!$P$77,'450'!$P$79</definedName>
    <definedName name="OSRRefP22x_0" localSheetId="90">'455'!$P$20:$P$26,'455'!$P$28:$P$29</definedName>
    <definedName name="OSRRefP22x_0" localSheetId="77">'491'!$P$31:$P$39,'491'!$P$41:$P$47,'491'!$P$49,'491'!$P$51,'491'!$P$53,'491'!$P$55:$P$57,'491'!$P$59,'491'!$P$61,'491'!$P$63,'491'!$P$65:$P$66,'491'!$P$68,'491'!$P$70,'491'!$P$72,'491'!$P$74,'491'!$P$76:$P$78,'491'!$P$80:$P$81,'491'!$P$83:$P$87,'491'!$P$89,'491'!$P$91:$P$99,'491'!$P$101,'491'!$P$103,'491'!$P$105:$P$107,'491'!$P$109</definedName>
    <definedName name="OSRRefP22x_0" localSheetId="91">'492'!$P$27:$P$35,'492'!$P$37:$P$43,'492'!$P$45,'492'!$P$47,'492'!$P$49,'492'!$P$51,'492'!$P$53,'492'!$P$55,'492'!$P$57,'492'!$P$59,'492'!$P$61,'492'!$P$63,'492'!$P$65:$P$67,'492'!$P$69:$P$71,'492'!$P$73:$P$80,'492'!$P$82,'492'!$P$84,'492'!$P$86</definedName>
    <definedName name="OSRRefP22x_0" localSheetId="98">'501'!$P$21:$P$29,'501'!$P$31:$P$35,'501'!$P$37,'501'!$P$39,'501'!$P$41,'501'!$P$43:$P$44,'501'!$P$46,'501'!$P$48,'501'!$P$50:$P$51,'501'!$P$53:$P$55,'501'!$P$57</definedName>
    <definedName name="OSRRefP22x_0" localSheetId="39">'Div 2'!$P$20:$P$30,'Div 2'!$P$32:$P$38,'Div 2'!$P$40,'Div 2'!$P$42,'Div 2'!$P$44,'Div 2'!$P$46,'Div 2'!$P$48,'Div 2'!$P$50,'Div 2'!$P$52,'Div 2'!$P$54:$P$55,'Div 2'!$P$57,'Div 2'!$P$59,'Div 2'!$P$61:$P$64,'Div 2'!$P$66:$P$68,'Div 2'!$P$70:$P$71,'Div 2'!$P$73,'Div 2'!$P$75:$P$79,'Div 2'!$P$81:$P$82,'Div 2'!$P$84,'Div 2'!$P$86:$P$87</definedName>
    <definedName name="OSRRefP22x_0" localSheetId="48">'Div 3'!$P$161:$P$170,'Div 3'!$P$172:$P$178,'Div 3'!$P$180,'Div 3'!$P$182,'Div 3'!$P$184,'Div 3'!$P$186:$P$187,'Div 3'!$P$189:$P$190,'Div 3'!$P$192,'Div 3'!$P$194,'Div 3'!$P$196,'Div 3'!$P$198:$P$199,'Div 3'!$P$201,'Div 3'!$P$203,'Div 3'!$P$205,'Div 3'!$P$207,'Div 3'!$P$209,'Div 3'!$P$211,'Div 3'!$P$213:$P$216,'Div 3'!$P$218:$P$220,'Div 3'!$P$222:$P$226,'Div 3'!$P$228:$P$229,'Div 3'!$P$231:$P$237,'Div 3'!$P$239:$P$240,'Div 3'!$P$242,'Div 3'!$P$244:$P$246,'Div 3'!$P$248</definedName>
    <definedName name="OSRRefP22x_0" localSheetId="75">'Div 4'!$P$32:$P$40,'Div 4'!$P$42:$P$48,'Div 4'!$P$50,'Div 4'!$P$52,'Div 4'!$P$54,'Div 4'!$P$56:$P$58,'Div 4'!$P$60,'Div 4'!$P$62,'Div 4'!$P$64,'Div 4'!$P$66,'Div 4'!$P$68:$P$69,'Div 4'!$P$71,'Div 4'!$P$73,'Div 4'!$P$75,'Div 4'!$P$77,'Div 4'!$P$79,'Div 4'!$P$81:$P$83,'Div 4'!$P$85:$P$86,'Div 4'!$P$88:$P$92,'Div 4'!$P$94,'Div 4'!$P$96:$P$104,'Div 4'!$P$106,'Div 4'!$P$108,'Div 4'!$P$110:$P$112,'Div 4'!$P$114</definedName>
    <definedName name="OSRRefP22x_0" localSheetId="97">'Div 5'!$P$21:$P$29,'Div 5'!$P$31:$P$35,'Div 5'!$P$37,'Div 5'!$P$39,'Div 5'!$P$41,'Div 5'!$P$43:$P$44,'Div 5'!$P$46,'Div 5'!$P$48,'Div 5'!$P$50:$P$51,'Div 5'!$P$53:$P$55,'Div 5'!$P$57</definedName>
    <definedName name="OSRRefP22x_0" localSheetId="65">'Div 6'!$P$57:$P$65,'Div 6'!$P$67:$P$71,'Div 6'!$P$73,'Div 6'!$P$75,'Div 6'!$P$77,'Div 6'!$P$79:$P$80,'Div 6'!$P$82,'Div 6'!$P$84,'Div 6'!$P$86,'Div 6'!$P$88:$P$90,'Div 6'!$P$92</definedName>
    <definedName name="OSRRefP22x_0" localSheetId="2">Summary!$P$192:$P$201,Summary!$P$203:$P$209,Summary!$P$211,Summary!$P$213,Summary!$P$215,Summary!$P$217:$P$219,Summary!$P$221:$P$222,Summary!$P$224,Summary!$P$226,Summary!$P$228,Summary!$P$230:$P$231,Summary!$P$233:$P$234,Summary!$P$236,Summary!$P$238,Summary!$P$240,Summary!$P$242,Summary!$P$244,Summary!$P$246,Summary!$P$248:$P$251,Summary!$P$253:$P$255,Summary!$P$257:$P$261,Summary!$P$263:$P$264,Summary!$P$266:$P$274,Summary!$P$276:$P$277,Summary!$P$279,Summary!$P$281:$P$283,Summary!$P$285</definedName>
    <definedName name="OSRRefP25x_0" localSheetId="49">'300'!$P$243:$P$250</definedName>
    <definedName name="OSRRefP25x_0" localSheetId="50">'300 &amp; 317'!$P$267:$P$276</definedName>
    <definedName name="OSRRefP25x_0" localSheetId="51">'301'!$P$94:$P$95</definedName>
    <definedName name="OSRRefP25x_0" localSheetId="56">'308'!$P$110:$P$112</definedName>
    <definedName name="OSRRefP25x_0" localSheetId="76">'310 &amp; 491'!$P$121:$P$123</definedName>
    <definedName name="OSRRefP25x_0" localSheetId="57">'311'!$P$109:$P$111</definedName>
    <definedName name="OSRRefP25x_0" localSheetId="60">'315'!$P$114:$P$115</definedName>
    <definedName name="OSRRefP25x_0" localSheetId="63">'316'!$P$72</definedName>
    <definedName name="OSRRefP25x_0" localSheetId="66">'317'!$P$95:$P$97</definedName>
    <definedName name="OSRRefP25x_0" localSheetId="64">'320'!$P$57:$P$60</definedName>
    <definedName name="OSRRefP25x_0" localSheetId="59">'331'!$P$143:$P$144</definedName>
    <definedName name="OSRRefP25x_0" localSheetId="62">'332'!$P$87:$P$91</definedName>
    <definedName name="OSRRefP25x_0" localSheetId="80">'411'!$P$82:$P$83</definedName>
    <definedName name="OSRRefP25x_0" localSheetId="83">'413'!$P$63</definedName>
    <definedName name="OSRRefP25x_0" localSheetId="86">'418'!$P$78</definedName>
    <definedName name="OSRRefP25x_0" localSheetId="87">'423'!$P$41</definedName>
    <definedName name="OSRRefP25x_0" localSheetId="88">'424'!$P$53</definedName>
    <definedName name="OSRRefP25x_0" localSheetId="89">'425'!$P$73</definedName>
    <definedName name="OSRRefP25x_0" localSheetId="90">'455'!$P$32:$P$33</definedName>
    <definedName name="OSRRefP25x_0" localSheetId="77">'491'!$P$112:$P$114</definedName>
    <definedName name="OSRRefP25x_0" localSheetId="98">'501'!$P$60</definedName>
    <definedName name="OSRRefP25x_0" localSheetId="48">'Div 3'!$P$251:$P$258</definedName>
    <definedName name="OSRRefP25x_0" localSheetId="75">'Div 4'!$P$117:$P$119</definedName>
    <definedName name="OSRRefP25x_0" localSheetId="97">'Div 5'!$P$60</definedName>
    <definedName name="OSRRefP25x_0" localSheetId="65">'Div 6'!$P$95:$P$97</definedName>
    <definedName name="OSRRefP25x_0" localSheetId="2">Summary!$P$288:$P$298</definedName>
    <definedName name="OSRRefT13x_0" localSheetId="49">'300'!$T$13:$T$101</definedName>
    <definedName name="OSRRefT13x_0" localSheetId="50">'300 &amp; 317'!$T$13:$T$118</definedName>
    <definedName name="OSRRefT13x_0" localSheetId="54">'307'!$T$13:$T$40</definedName>
    <definedName name="OSRRefT13x_0" localSheetId="56">'308'!$T$13:$T$39</definedName>
    <definedName name="OSRRefT13x_0" localSheetId="68">'309'!$T$13:$T$14</definedName>
    <definedName name="OSRRefT13x_0" localSheetId="67">'310'!$T$13:$T$20</definedName>
    <definedName name="OSRRefT13x_0" localSheetId="76">'310 &amp; 491'!$T$13:$T$27</definedName>
    <definedName name="OSRRefT13x_0" localSheetId="57">'311'!$T$13:$T$38</definedName>
    <definedName name="OSRRefT13x_0" localSheetId="69">'313'!$T$13:$T$17</definedName>
    <definedName name="OSRRefT13x_0" localSheetId="55">'314'!$T$13:$T$31</definedName>
    <definedName name="OSRRefT13x_0" localSheetId="60">'315'!$T$13:$T$48</definedName>
    <definedName name="OSRRefT13x_0" localSheetId="63">'316'!$T$13:$T$24</definedName>
    <definedName name="OSRRefT13x_0" localSheetId="66">'317'!$T$13:$T$36</definedName>
    <definedName name="OSRRefT13x_0" localSheetId="64">'320'!$T$13:$T$15</definedName>
    <definedName name="OSRRefT13x_0" localSheetId="70">'321'!$T$13:$T$14</definedName>
    <definedName name="OSRRefT13x_0" localSheetId="71">'322'!$T$13:$T$14</definedName>
    <definedName name="OSRRefT13x_0" localSheetId="58">'324'!$T$13:$T$15</definedName>
    <definedName name="OSRRefT13x_0" localSheetId="72">'325'!$T$13:$T$14</definedName>
    <definedName name="OSRRefT13x_0" localSheetId="61">'326'!$T$13:$T$36</definedName>
    <definedName name="OSRRefT13x_0" localSheetId="73">'327'!$T$13</definedName>
    <definedName name="OSRRefT13x_0" localSheetId="53">'330'!$T$13:$T$45</definedName>
    <definedName name="OSRRefT13x_0" localSheetId="59">'331'!$T$13:$T$51</definedName>
    <definedName name="OSRRefT13x_0" localSheetId="62">'332'!$T$13:$T$27</definedName>
    <definedName name="OSRRefT13x_0" localSheetId="78">'405'!$T$13:$T$14</definedName>
    <definedName name="OSRRefT13x_0" localSheetId="79">'406'!$T$13:$T$14</definedName>
    <definedName name="OSRRefT13x_0" localSheetId="81">'412'!$T$13:$T$14</definedName>
    <definedName name="OSRRefT13x_0" localSheetId="83">'413'!$T$13:$T$14</definedName>
    <definedName name="OSRRefT13x_0" localSheetId="84">'414'!$T$13:$T$14</definedName>
    <definedName name="OSRRefT13x_0" localSheetId="85">'415'!$T$13:$T$14</definedName>
    <definedName name="OSRRefT13x_0" localSheetId="86">'418'!$T$13:$T$14</definedName>
    <definedName name="OSRRefT13x_0" localSheetId="88">'424'!$T$13</definedName>
    <definedName name="OSRRefT13x_0" localSheetId="89">'425'!$T$13:$T$14</definedName>
    <definedName name="OSRRefT13x_0" localSheetId="93">'433'!$T$13:$T$15</definedName>
    <definedName name="OSRRefT13x_0" localSheetId="94">'435'!$T$13:$T$15</definedName>
    <definedName name="OSRRefT13x_0" localSheetId="95">'444'!$T$13:$T$15</definedName>
    <definedName name="OSRRefT13x_0" localSheetId="96">'450'!$T$13:$T$15</definedName>
    <definedName name="OSRRefT13x_0" localSheetId="77">'491'!$T$13:$T$21</definedName>
    <definedName name="OSRRefT13x_0" localSheetId="91">'492'!$T$13:$T$17</definedName>
    <definedName name="OSRRefT13x_0" localSheetId="98">'501'!$T$13</definedName>
    <definedName name="OSRRefT13x_0" localSheetId="48">'Div 3'!$T$13:$T$104</definedName>
    <definedName name="OSRRefT13x_0" localSheetId="75">'Div 4'!$T$13:$T$22</definedName>
    <definedName name="OSRRefT13x_0" localSheetId="97">'Div 5'!$T$13</definedName>
    <definedName name="OSRRefT13x_0" localSheetId="65">'Div 6'!$T$13:$T$36</definedName>
    <definedName name="OSRRefT13x_0" localSheetId="2">Summary!$T$13:$T$128</definedName>
    <definedName name="OSRRefT16x_0" localSheetId="49">'300'!$T$104:$T$150</definedName>
    <definedName name="OSRRefT16x_0" localSheetId="50">'300 &amp; 317'!$T$121:$T$174</definedName>
    <definedName name="OSRRefT16x_0" localSheetId="54">'307'!$T$43:$T$59</definedName>
    <definedName name="OSRRefT16x_0" localSheetId="56">'308'!$T$42:$T$54</definedName>
    <definedName name="OSRRefT16x_0" localSheetId="68">'309'!$T$17:$T$18</definedName>
    <definedName name="OSRRefT16x_0" localSheetId="67">'310'!$T$23:$T$24</definedName>
    <definedName name="OSRRefT16x_0" localSheetId="76">'310 &amp; 491'!$T$30:$T$31</definedName>
    <definedName name="OSRRefT16x_0" localSheetId="57">'311'!$T$41:$T$53</definedName>
    <definedName name="OSRRefT16x_0" localSheetId="69">'313'!$T$20:$T$21</definedName>
    <definedName name="OSRRefT16x_0" localSheetId="55">'314'!$T$34:$T$47</definedName>
    <definedName name="OSRRefT16x_0" localSheetId="60">'315'!$T$51:$T$67</definedName>
    <definedName name="OSRRefT16x_0" localSheetId="66">'317'!$T$39:$T$51</definedName>
    <definedName name="OSRRefT16x_0" localSheetId="64">'320'!$T$18:$T$22</definedName>
    <definedName name="OSRRefT16x_0" localSheetId="70">'321'!$T$17:$T$18</definedName>
    <definedName name="OSRRefT16x_0" localSheetId="71">'322'!$T$17:$T$18</definedName>
    <definedName name="OSRRefT16x_0" localSheetId="58">'324'!$T$18:$T$19</definedName>
    <definedName name="OSRRefT16x_0" localSheetId="72">'325'!$T$17:$T$18</definedName>
    <definedName name="OSRRefT16x_0" localSheetId="61">'326'!$T$39:$T$51</definedName>
    <definedName name="OSRRefT16x_0" localSheetId="73">'327'!$T$16</definedName>
    <definedName name="OSRRefT16x_0" localSheetId="53">'330'!$T$48:$T$68</definedName>
    <definedName name="OSRRefT16x_0" localSheetId="59">'331'!$T$54:$T$75</definedName>
    <definedName name="OSRRefT16x_0" localSheetId="62">'332'!$T$30:$T$34</definedName>
    <definedName name="OSRRefT16x_0" localSheetId="78">'405'!$T$17:$T$18</definedName>
    <definedName name="OSRRefT16x_0" localSheetId="79">'406'!$T$17:$T$18</definedName>
    <definedName name="OSRRefT16x_0" localSheetId="81">'412'!$T$17</definedName>
    <definedName name="OSRRefT16x_0" localSheetId="83">'413'!$T$17:$T$18</definedName>
    <definedName name="OSRRefT16x_0" localSheetId="84">'414'!$T$17:$T$18</definedName>
    <definedName name="OSRRefT16x_0" localSheetId="85">'415'!$T$17:$T$18</definedName>
    <definedName name="OSRRefT16x_0" localSheetId="86">'418'!$T$17:$T$18</definedName>
    <definedName name="OSRRefT16x_0" localSheetId="87">'423'!$T$15</definedName>
    <definedName name="OSRRefT16x_0" localSheetId="88">'424'!$T$16:$T$17</definedName>
    <definedName name="OSRRefT16x_0" localSheetId="89">'425'!$T$17:$T$18</definedName>
    <definedName name="OSRRefT16x_0" localSheetId="93">'433'!$T$18:$T$19</definedName>
    <definedName name="OSRRefT16x_0" localSheetId="94">'435'!$T$18:$T$19</definedName>
    <definedName name="OSRRefT16x_0" localSheetId="95">'444'!$T$18:$T$19</definedName>
    <definedName name="OSRRefT16x_0" localSheetId="96">'450'!$T$18:$T$19</definedName>
    <definedName name="OSRRefT16x_0" localSheetId="77">'491'!$T$24:$T$25</definedName>
    <definedName name="OSRRefT16x_0" localSheetId="91">'492'!$T$20:$T$21</definedName>
    <definedName name="OSRRefT16x_0" localSheetId="48">'Div 3'!$T$107:$T$155</definedName>
    <definedName name="OSRRefT16x_0" localSheetId="75">'Div 4'!$T$25:$T$26</definedName>
    <definedName name="OSRRefT16x_0" localSheetId="65">'Div 6'!$T$39:$T$51</definedName>
    <definedName name="OSRRefT16x_0" localSheetId="2">Summary!$T$131:$T$186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'203'!$T$20:$T$29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9">'300'!$T$156:$T$165</definedName>
    <definedName name="OSRRefT22_0x_0" localSheetId="50">'300 &amp; 317'!$T$180:$T$189</definedName>
    <definedName name="OSRRefT22_0x_0" localSheetId="51">'301'!$T$20:$T$28</definedName>
    <definedName name="OSRRefT22_0x_0" localSheetId="52">'306'!$T$20:$T$28</definedName>
    <definedName name="OSRRefT22_0x_0" localSheetId="54">'307'!$T$65:$T$72</definedName>
    <definedName name="OSRRefT22_0x_0" localSheetId="56">'308'!$T$60:$T$68</definedName>
    <definedName name="OSRRefT22_0x_0" localSheetId="68">'309'!$T$24:$T$31</definedName>
    <definedName name="OSRRefT22_0x_0" localSheetId="67">'310'!$T$30:$T$37</definedName>
    <definedName name="OSRRefT22_0x_0" localSheetId="76">'310 &amp; 491'!$T$37:$T$45</definedName>
    <definedName name="OSRRefT22_0x_0" localSheetId="57">'311'!$T$59:$T$67</definedName>
    <definedName name="OSRRefT22_0x_0" localSheetId="69">'313'!$T$27:$T$34</definedName>
    <definedName name="OSRRefT22_0x_0" localSheetId="55">'314'!$T$53:$T$59</definedName>
    <definedName name="OSRRefT22_0x_0" localSheetId="60">'315'!$T$73:$T$80</definedName>
    <definedName name="OSRRefT22_0x_0" localSheetId="63">'316'!$T$32:$T$39</definedName>
    <definedName name="OSRRefT22_0x_0" localSheetId="66">'317'!$T$57:$T$65</definedName>
    <definedName name="OSRRefT22_0x_0" localSheetId="64">'320'!$T$28:$T$34</definedName>
    <definedName name="OSRRefT22_0x_0" localSheetId="70">'321'!$T$24:$T$31</definedName>
    <definedName name="OSRRefT22_0x_0" localSheetId="71">'322'!$T$24:$T$31</definedName>
    <definedName name="OSRRefT22_0x_0" localSheetId="72">'325'!$T$24:$T$31</definedName>
    <definedName name="OSRRefT22_0x_0" localSheetId="61">'326'!$T$57:$T$64</definedName>
    <definedName name="OSRRefT22_0x_0" localSheetId="73">'327'!$T$22</definedName>
    <definedName name="OSRRefT22_0x_0" localSheetId="53">'330'!$T$74:$T$81</definedName>
    <definedName name="OSRRefT22_0x_0" localSheetId="59">'331'!$T$81:$T$88</definedName>
    <definedName name="OSRRefT22_0x_0" localSheetId="62">'332'!$T$40:$T$47</definedName>
    <definedName name="OSRRefT22_0x_0" localSheetId="78">'405'!$T$24:$T$31</definedName>
    <definedName name="OSRRefT22_0x_0" localSheetId="79">'406'!$T$24:$T$31</definedName>
    <definedName name="OSRRefT22_0x_0" localSheetId="80">'411'!$T$20:$T$28</definedName>
    <definedName name="OSRRefT22_0x_0" localSheetId="81">'412'!$T$23:$T$30</definedName>
    <definedName name="OSRRefT22_0x_0" localSheetId="83">'413'!$T$24:$T$31</definedName>
    <definedName name="OSRRefT22_0x_0" localSheetId="84">'414'!$T$24:$T$30</definedName>
    <definedName name="OSRRefT22_0x_0" localSheetId="85">'415'!$T$24:$T$31</definedName>
    <definedName name="OSRRefT22_0x_0" localSheetId="86">'418'!$T$24:$T$31</definedName>
    <definedName name="OSRRefT22_0x_0" localSheetId="82">'420'!$T$20:$T$21</definedName>
    <definedName name="OSRRefT22_0x_0" localSheetId="87">'423'!$T$21:$T$28</definedName>
    <definedName name="OSRRefT22_0x_0" localSheetId="88">'424'!$T$23</definedName>
    <definedName name="OSRRefT22_0x_0" localSheetId="89">'425'!$T$24:$T$31</definedName>
    <definedName name="OSRRefT22_0x_0" localSheetId="92">'430'!$T$20:$T$27</definedName>
    <definedName name="OSRRefT22_0x_0" localSheetId="93">'433'!$T$25:$T$33</definedName>
    <definedName name="OSRRefT22_0x_0" localSheetId="94">'435'!$T$25:$T$27</definedName>
    <definedName name="OSRRefT22_0x_0" localSheetId="95">'444'!$T$25:$T$33</definedName>
    <definedName name="OSRRefT22_0x_0" localSheetId="96">'450'!$T$25:$T$33</definedName>
    <definedName name="OSRRefT22_0x_0" localSheetId="90">'455'!$T$20:$T$26</definedName>
    <definedName name="OSRRefT22_0x_0" localSheetId="77">'491'!$T$31:$T$39</definedName>
    <definedName name="OSRRefT22_0x_0" localSheetId="91">'492'!$T$27:$T$35</definedName>
    <definedName name="OSRRefT22_0x_0" localSheetId="98">'501'!$T$21:$T$29</definedName>
    <definedName name="OSRRefT22_0x_0" localSheetId="39">'Div 2'!$T$20:$T$30</definedName>
    <definedName name="OSRRefT22_0x_0" localSheetId="48">'Div 3'!$T$161:$T$170</definedName>
    <definedName name="OSRRefT22_0x_0" localSheetId="75">'Div 4'!$T$32:$T$40</definedName>
    <definedName name="OSRRefT22_0x_0" localSheetId="97">'Div 5'!$T$21:$T$29</definedName>
    <definedName name="OSRRefT22_0x_0" localSheetId="65">'Div 6'!$T$57:$T$65</definedName>
    <definedName name="OSRRefT22_0x_0" localSheetId="2">Summary!$T$192:$T$201</definedName>
    <definedName name="OSRRefT22_10x_0" localSheetId="41">'201'!$T$51:$T$53</definedName>
    <definedName name="OSRRefT22_10x_0" localSheetId="42">'202'!$T$52:$T$54</definedName>
    <definedName name="OSRRefT22_10x_0" localSheetId="43">'203'!$T$53:$T$54</definedName>
    <definedName name="OSRRefT22_10x_0" localSheetId="49">'300'!$T$193:$T$194</definedName>
    <definedName name="OSRRefT22_10x_0" localSheetId="50">'300 &amp; 317'!$T$217:$T$218</definedName>
    <definedName name="OSRRefT22_10x_0" localSheetId="51">'301'!$T$56</definedName>
    <definedName name="OSRRefT22_10x_0" localSheetId="54">'307'!$T$100</definedName>
    <definedName name="OSRRefT22_10x_0" localSheetId="56">'308'!$T$96</definedName>
    <definedName name="OSRRefT22_10x_0" localSheetId="68">'309'!$T$58</definedName>
    <definedName name="OSRRefT22_10x_0" localSheetId="67">'310'!$T$63</definedName>
    <definedName name="OSRRefT22_10x_0" localSheetId="76">'310 &amp; 491'!$T$74:$T$75</definedName>
    <definedName name="OSRRefT22_10x_0" localSheetId="57">'311'!$T$95</definedName>
    <definedName name="OSRRefT22_10x_0" localSheetId="69">'313'!$T$60:$T$64</definedName>
    <definedName name="OSRRefT22_10x_0" localSheetId="60">'315'!$T$109</definedName>
    <definedName name="OSRRefT22_10x_0" localSheetId="63">'316'!$T$67</definedName>
    <definedName name="OSRRefT22_10x_0" localSheetId="66">'317'!$T$92</definedName>
    <definedName name="OSRRefT22_10x_0" localSheetId="70">'321'!$T$62</definedName>
    <definedName name="OSRRefT22_10x_0" localSheetId="71">'322'!$T$57:$T$61</definedName>
    <definedName name="OSRRefT22_10x_0" localSheetId="72">'325'!$T$56:$T$58</definedName>
    <definedName name="OSRRefT22_10x_0" localSheetId="61">'326'!$T$88</definedName>
    <definedName name="OSRRefT22_10x_0" localSheetId="53">'330'!$T$107:$T$109</definedName>
    <definedName name="OSRRefT22_10x_0" localSheetId="59">'331'!$T$113</definedName>
    <definedName name="OSRRefT22_10x_0" localSheetId="62">'332'!$T$71</definedName>
    <definedName name="OSRRefT22_10x_0" localSheetId="78">'405'!$T$56</definedName>
    <definedName name="OSRRefT22_10x_0" localSheetId="79">'406'!$T$57:$T$61</definedName>
    <definedName name="OSRRefT22_10x_0" localSheetId="80">'411'!$T$55:$T$56</definedName>
    <definedName name="OSRRefT22_10x_0" localSheetId="81">'412'!$T$57:$T$61</definedName>
    <definedName name="OSRRefT22_10x_0" localSheetId="83">'413'!$T$60</definedName>
    <definedName name="OSRRefT22_10x_0" localSheetId="84">'414'!$T$54</definedName>
    <definedName name="OSRRefT22_10x_0" localSheetId="85">'415'!$T$56</definedName>
    <definedName name="OSRRefT22_10x_0" localSheetId="86">'418'!$T$60:$T$62</definedName>
    <definedName name="OSRRefT22_10x_0" localSheetId="88">'424'!$T$47:$T$48</definedName>
    <definedName name="OSRRefT22_10x_0" localSheetId="89">'425'!$T$57</definedName>
    <definedName name="OSRRefT22_10x_0" localSheetId="93">'433'!$T$58</definedName>
    <definedName name="OSRRefT22_10x_0" localSheetId="95">'444'!$T$58</definedName>
    <definedName name="OSRRefT22_10x_0" localSheetId="96">'450'!$T$58</definedName>
    <definedName name="OSRRefT22_10x_0" localSheetId="77">'491'!$T$68</definedName>
    <definedName name="OSRRefT22_10x_0" localSheetId="91">'492'!$T$61</definedName>
    <definedName name="OSRRefT22_10x_0" localSheetId="98">'501'!$T$57</definedName>
    <definedName name="OSRRefT22_10x_0" localSheetId="39">'Div 2'!$T$57</definedName>
    <definedName name="OSRRefT22_10x_0" localSheetId="48">'Div 3'!$T$198:$T$199</definedName>
    <definedName name="OSRRefT22_10x_0" localSheetId="75">'Div 4'!$T$68:$T$69</definedName>
    <definedName name="OSRRefT22_10x_0" localSheetId="97">'Div 5'!$T$57</definedName>
    <definedName name="OSRRefT22_10x_0" localSheetId="65">'Div 6'!$T$92</definedName>
    <definedName name="OSRRefT22_10x_0" localSheetId="2">Summary!$T$230:$T$231</definedName>
    <definedName name="OSRRefT22_11x_0" localSheetId="41">'201'!$T$55</definedName>
    <definedName name="OSRRefT22_11x_0" localSheetId="42">'202'!$T$56</definedName>
    <definedName name="OSRRefT22_11x_0" localSheetId="43">'203'!$T$56</definedName>
    <definedName name="OSRRefT22_11x_0" localSheetId="49">'300'!$T$196</definedName>
    <definedName name="OSRRefT22_11x_0" localSheetId="50">'300 &amp; 317'!$T$220</definedName>
    <definedName name="OSRRefT22_11x_0" localSheetId="51">'301'!$T$58</definedName>
    <definedName name="OSRRefT22_11x_0" localSheetId="56">'308'!$T$98:$T$100</definedName>
    <definedName name="OSRRefT22_11x_0" localSheetId="67">'310'!$T$65</definedName>
    <definedName name="OSRRefT22_11x_0" localSheetId="76">'310 &amp; 491'!$T$77</definedName>
    <definedName name="OSRRefT22_11x_0" localSheetId="57">'311'!$T$97:$T$99</definedName>
    <definedName name="OSRRefT22_11x_0" localSheetId="69">'313'!$T$66</definedName>
    <definedName name="OSRRefT22_11x_0" localSheetId="60">'315'!$T$111</definedName>
    <definedName name="OSRRefT22_11x_0" localSheetId="63">'316'!$T$69</definedName>
    <definedName name="OSRRefT22_11x_0" localSheetId="70">'321'!$T$64</definedName>
    <definedName name="OSRRefT22_11x_0" localSheetId="71">'322'!$T$63</definedName>
    <definedName name="OSRRefT22_11x_0" localSheetId="72">'325'!$T$60:$T$62</definedName>
    <definedName name="OSRRefT22_11x_0" localSheetId="61">'326'!$T$90</definedName>
    <definedName name="OSRRefT22_11x_0" localSheetId="53">'330'!$T$111</definedName>
    <definedName name="OSRRefT22_11x_0" localSheetId="59">'331'!$T$115</definedName>
    <definedName name="OSRRefT22_11x_0" localSheetId="62">'332'!$T$73:$T$78</definedName>
    <definedName name="OSRRefT22_11x_0" localSheetId="78">'405'!$T$58:$T$60</definedName>
    <definedName name="OSRRefT22_11x_0" localSheetId="79">'406'!$T$63</definedName>
    <definedName name="OSRRefT22_11x_0" localSheetId="80">'411'!$T$58:$T$62</definedName>
    <definedName name="OSRRefT22_11x_0" localSheetId="81">'412'!$T$63</definedName>
    <definedName name="OSRRefT22_11x_0" localSheetId="84">'414'!$T$56</definedName>
    <definedName name="OSRRefT22_11x_0" localSheetId="85">'415'!$T$58:$T$60</definedName>
    <definedName name="OSRRefT22_11x_0" localSheetId="86">'418'!$T$64</definedName>
    <definedName name="OSRRefT22_11x_0" localSheetId="88">'424'!$T$50</definedName>
    <definedName name="OSRRefT22_11x_0" localSheetId="89">'425'!$T$59:$T$60</definedName>
    <definedName name="OSRRefT22_11x_0" localSheetId="93">'433'!$T$60</definedName>
    <definedName name="OSRRefT22_11x_0" localSheetId="95">'444'!$T$60:$T$61</definedName>
    <definedName name="OSRRefT22_11x_0" localSheetId="96">'450'!$T$60</definedName>
    <definedName name="OSRRefT22_11x_0" localSheetId="77">'491'!$T$70</definedName>
    <definedName name="OSRRefT22_11x_0" localSheetId="91">'492'!$T$63</definedName>
    <definedName name="OSRRefT22_11x_0" localSheetId="39">'Div 2'!$T$59</definedName>
    <definedName name="OSRRefT22_11x_0" localSheetId="48">'Div 3'!$T$201</definedName>
    <definedName name="OSRRefT22_11x_0" localSheetId="75">'Div 4'!$T$71</definedName>
    <definedName name="OSRRefT22_11x_0" localSheetId="2">Summary!$T$233:$T$234</definedName>
    <definedName name="OSRRefT22_12x_0" localSheetId="41">'201'!$T$57:$T$60</definedName>
    <definedName name="OSRRefT22_12x_0" localSheetId="42">'202'!$T$58</definedName>
    <definedName name="OSRRefT22_12x_0" localSheetId="43">'203'!$T$58:$T$61</definedName>
    <definedName name="OSRRefT22_12x_0" localSheetId="49">'300'!$T$198</definedName>
    <definedName name="OSRRefT22_12x_0" localSheetId="50">'300 &amp; 317'!$T$222</definedName>
    <definedName name="OSRRefT22_12x_0" localSheetId="51">'301'!$T$60</definedName>
    <definedName name="OSRRefT22_12x_0" localSheetId="56">'308'!$T$102:$T$103</definedName>
    <definedName name="OSRRefT22_12x_0" localSheetId="67">'310'!$T$67</definedName>
    <definedName name="OSRRefT22_12x_0" localSheetId="76">'310 &amp; 491'!$T$79</definedName>
    <definedName name="OSRRefT22_12x_0" localSheetId="57">'311'!$T$101:$T$102</definedName>
    <definedName name="OSRRefT22_12x_0" localSheetId="69">'313'!$T$68</definedName>
    <definedName name="OSRRefT22_12x_0" localSheetId="71">'322'!$T$65</definedName>
    <definedName name="OSRRefT22_12x_0" localSheetId="72">'325'!$T$64</definedName>
    <definedName name="OSRRefT22_12x_0" localSheetId="61">'326'!$T$92:$T$94</definedName>
    <definedName name="OSRRefT22_12x_0" localSheetId="59">'331'!$T$117</definedName>
    <definedName name="OSRRefT22_12x_0" localSheetId="62">'332'!$T$80</definedName>
    <definedName name="OSRRefT22_12x_0" localSheetId="78">'405'!$T$62</definedName>
    <definedName name="OSRRefT22_12x_0" localSheetId="79">'406'!$T$65</definedName>
    <definedName name="OSRRefT22_12x_0" localSheetId="80">'411'!$T$64:$T$69</definedName>
    <definedName name="OSRRefT22_12x_0" localSheetId="81">'412'!$T$65</definedName>
    <definedName name="OSRRefT22_12x_0" localSheetId="84">'414'!$T$58:$T$64</definedName>
    <definedName name="OSRRefT22_12x_0" localSheetId="85">'415'!$T$62:$T$66</definedName>
    <definedName name="OSRRefT22_12x_0" localSheetId="86">'418'!$T$66:$T$71</definedName>
    <definedName name="OSRRefT22_12x_0" localSheetId="89">'425'!$T$62:$T$66</definedName>
    <definedName name="OSRRefT22_12x_0" localSheetId="93">'433'!$T$62:$T$64</definedName>
    <definedName name="OSRRefT22_12x_0" localSheetId="95">'444'!$T$63:$T$65</definedName>
    <definedName name="OSRRefT22_12x_0" localSheetId="96">'450'!$T$62</definedName>
    <definedName name="OSRRefT22_12x_0" localSheetId="77">'491'!$T$72</definedName>
    <definedName name="OSRRefT22_12x_0" localSheetId="91">'492'!$T$65:$T$67</definedName>
    <definedName name="OSRRefT22_12x_0" localSheetId="39">'Div 2'!$T$61:$T$64</definedName>
    <definedName name="OSRRefT22_12x_0" localSheetId="48">'Div 3'!$T$203</definedName>
    <definedName name="OSRRefT22_12x_0" localSheetId="75">'Div 4'!$T$73</definedName>
    <definedName name="OSRRefT22_12x_0" localSheetId="2">Summary!$T$236</definedName>
    <definedName name="OSRRefT22_13x_0" localSheetId="41">'201'!$T$62</definedName>
    <definedName name="OSRRefT22_13x_0" localSheetId="42">'202'!$T$60</definedName>
    <definedName name="OSRRefT22_13x_0" localSheetId="43">'203'!$T$63</definedName>
    <definedName name="OSRRefT22_13x_0" localSheetId="49">'300'!$T$200</definedName>
    <definedName name="OSRRefT22_13x_0" localSheetId="50">'300 &amp; 317'!$T$224</definedName>
    <definedName name="OSRRefT22_13x_0" localSheetId="51">'301'!$T$62</definedName>
    <definedName name="OSRRefT22_13x_0" localSheetId="56">'308'!$T$105</definedName>
    <definedName name="OSRRefT22_13x_0" localSheetId="67">'310'!$T$69:$T$71</definedName>
    <definedName name="OSRRefT22_13x_0" localSheetId="76">'310 &amp; 491'!$T$81</definedName>
    <definedName name="OSRRefT22_13x_0" localSheetId="57">'311'!$T$104</definedName>
    <definedName name="OSRRefT22_13x_0" localSheetId="72">'325'!$T$66:$T$70</definedName>
    <definedName name="OSRRefT22_13x_0" localSheetId="61">'326'!$T$96</definedName>
    <definedName name="OSRRefT22_13x_0" localSheetId="59">'331'!$T$119:$T$120</definedName>
    <definedName name="OSRRefT22_13x_0" localSheetId="62">'332'!$T$82</definedName>
    <definedName name="OSRRefT22_13x_0" localSheetId="78">'405'!$T$64:$T$70</definedName>
    <definedName name="OSRRefT22_13x_0" localSheetId="80">'411'!$T$71</definedName>
    <definedName name="OSRRefT22_13x_0" localSheetId="84">'414'!$T$66</definedName>
    <definedName name="OSRRefT22_13x_0" localSheetId="85">'415'!$T$68</definedName>
    <definedName name="OSRRefT22_13x_0" localSheetId="86">'418'!$T$73</definedName>
    <definedName name="OSRRefT22_13x_0" localSheetId="89">'425'!$T$68</definedName>
    <definedName name="OSRRefT22_13x_0" localSheetId="93">'433'!$T$66:$T$72</definedName>
    <definedName name="OSRRefT22_13x_0" localSheetId="95">'444'!$T$67:$T$74</definedName>
    <definedName name="OSRRefT22_13x_0" localSheetId="96">'450'!$T$64:$T$66</definedName>
    <definedName name="OSRRefT22_13x_0" localSheetId="77">'491'!$T$74</definedName>
    <definedName name="OSRRefT22_13x_0" localSheetId="91">'492'!$T$69:$T$71</definedName>
    <definedName name="OSRRefT22_13x_0" localSheetId="39">'Div 2'!$T$66:$T$68</definedName>
    <definedName name="OSRRefT22_13x_0" localSheetId="48">'Div 3'!$T$205</definedName>
    <definedName name="OSRRefT22_13x_0" localSheetId="75">'Div 4'!$T$75</definedName>
    <definedName name="OSRRefT22_13x_0" localSheetId="2">Summary!$T$238</definedName>
    <definedName name="OSRRefT22_14x_0" localSheetId="41">'201'!$T$64</definedName>
    <definedName name="OSRRefT22_14x_0" localSheetId="43">'203'!$T$65</definedName>
    <definedName name="OSRRefT22_14x_0" localSheetId="49">'300'!$T$202</definedName>
    <definedName name="OSRRefT22_14x_0" localSheetId="50">'300 &amp; 317'!$T$226</definedName>
    <definedName name="OSRRefT22_14x_0" localSheetId="51">'301'!$T$64</definedName>
    <definedName name="OSRRefT22_14x_0" localSheetId="56">'308'!$T$107</definedName>
    <definedName name="OSRRefT22_14x_0" localSheetId="67">'310'!$T$73</definedName>
    <definedName name="OSRRefT22_14x_0" localSheetId="76">'310 &amp; 491'!$T$83</definedName>
    <definedName name="OSRRefT22_14x_0" localSheetId="57">'311'!$T$106</definedName>
    <definedName name="OSRRefT22_14x_0" localSheetId="72">'325'!$T$72</definedName>
    <definedName name="OSRRefT22_14x_0" localSheetId="61">'326'!$T$98:$T$100</definedName>
    <definedName name="OSRRefT22_14x_0" localSheetId="59">'331'!$T$122:$T$124</definedName>
    <definedName name="OSRRefT22_14x_0" localSheetId="62">'332'!$T$84</definedName>
    <definedName name="OSRRefT22_14x_0" localSheetId="78">'405'!$T$72</definedName>
    <definedName name="OSRRefT22_14x_0" localSheetId="80">'411'!$T$73</definedName>
    <definedName name="OSRRefT22_14x_0" localSheetId="84">'414'!$T$68</definedName>
    <definedName name="OSRRefT22_14x_0" localSheetId="85">'415'!$T$70:$T$76</definedName>
    <definedName name="OSRRefT22_14x_0" localSheetId="86">'418'!$T$75</definedName>
    <definedName name="OSRRefT22_14x_0" localSheetId="89">'425'!$T$70</definedName>
    <definedName name="OSRRefT22_14x_0" localSheetId="93">'433'!$T$74</definedName>
    <definedName name="OSRRefT22_14x_0" localSheetId="95">'444'!$T$76</definedName>
    <definedName name="OSRRefT22_14x_0" localSheetId="96">'450'!$T$68:$T$73</definedName>
    <definedName name="OSRRefT22_14x_0" localSheetId="77">'491'!$T$76:$T$78</definedName>
    <definedName name="OSRRefT22_14x_0" localSheetId="91">'492'!$T$73:$T$80</definedName>
    <definedName name="OSRRefT22_14x_0" localSheetId="39">'Div 2'!$T$70:$T$71</definedName>
    <definedName name="OSRRefT22_14x_0" localSheetId="48">'Div 3'!$T$207</definedName>
    <definedName name="OSRRefT22_14x_0" localSheetId="75">'Div 4'!$T$77</definedName>
    <definedName name="OSRRefT22_14x_0" localSheetId="2">Summary!$T$240</definedName>
    <definedName name="OSRRefT22_15x_0" localSheetId="43">'203'!$T$67</definedName>
    <definedName name="OSRRefT22_15x_0" localSheetId="49">'300'!$T$204</definedName>
    <definedName name="OSRRefT22_15x_0" localSheetId="50">'300 &amp; 317'!$T$228</definedName>
    <definedName name="OSRRefT22_15x_0" localSheetId="51">'301'!$T$66:$T$69</definedName>
    <definedName name="OSRRefT22_15x_0" localSheetId="67">'310'!$T$75:$T$78</definedName>
    <definedName name="OSRRefT22_15x_0" localSheetId="76">'310 &amp; 491'!$T$85:$T$87</definedName>
    <definedName name="OSRRefT22_15x_0" localSheetId="72">'325'!$T$74</definedName>
    <definedName name="OSRRefT22_15x_0" localSheetId="61">'326'!$T$102</definedName>
    <definedName name="OSRRefT22_15x_0" localSheetId="59">'331'!$T$126</definedName>
    <definedName name="OSRRefT22_15x_0" localSheetId="78">'405'!$T$74</definedName>
    <definedName name="OSRRefT22_15x_0" localSheetId="80">'411'!$T$75:$T$77</definedName>
    <definedName name="OSRRefT22_15x_0" localSheetId="85">'415'!$T$78</definedName>
    <definedName name="OSRRefT22_15x_0" localSheetId="93">'433'!$T$76</definedName>
    <definedName name="OSRRefT22_15x_0" localSheetId="95">'444'!$T$78</definedName>
    <definedName name="OSRRefT22_15x_0" localSheetId="96">'450'!$T$75</definedName>
    <definedName name="OSRRefT22_15x_0" localSheetId="77">'491'!$T$80:$T$81</definedName>
    <definedName name="OSRRefT22_15x_0" localSheetId="91">'492'!$T$82</definedName>
    <definedName name="OSRRefT22_15x_0" localSheetId="39">'Div 2'!$T$73</definedName>
    <definedName name="OSRRefT22_15x_0" localSheetId="48">'Div 3'!$T$209</definedName>
    <definedName name="OSRRefT22_15x_0" localSheetId="75">'Div 4'!$T$79</definedName>
    <definedName name="OSRRefT22_15x_0" localSheetId="2">Summary!$T$242</definedName>
    <definedName name="OSRRefT22_16x_0" localSheetId="49">'300'!$T$206:$T$209</definedName>
    <definedName name="OSRRefT22_16x_0" localSheetId="50">'300 &amp; 317'!$T$230:$T$233</definedName>
    <definedName name="OSRRefT22_16x_0" localSheetId="51">'301'!$T$71:$T$73</definedName>
    <definedName name="OSRRefT22_16x_0" localSheetId="67">'310'!$T$80</definedName>
    <definedName name="OSRRefT22_16x_0" localSheetId="76">'310 &amp; 491'!$T$89:$T$90</definedName>
    <definedName name="OSRRefT22_16x_0" localSheetId="61">'326'!$T$104</definedName>
    <definedName name="OSRRefT22_16x_0" localSheetId="59">'331'!$T$128:$T$132</definedName>
    <definedName name="OSRRefT22_16x_0" localSheetId="78">'405'!$T$76</definedName>
    <definedName name="OSRRefT22_16x_0" localSheetId="80">'411'!$T$79</definedName>
    <definedName name="OSRRefT22_16x_0" localSheetId="85">'415'!$T$80</definedName>
    <definedName name="OSRRefT22_16x_0" localSheetId="93">'433'!$T$78</definedName>
    <definedName name="OSRRefT22_16x_0" localSheetId="95">'444'!$T$80</definedName>
    <definedName name="OSRRefT22_16x_0" localSheetId="96">'450'!$T$77</definedName>
    <definedName name="OSRRefT22_16x_0" localSheetId="77">'491'!$T$83:$T$87</definedName>
    <definedName name="OSRRefT22_16x_0" localSheetId="91">'492'!$T$84</definedName>
    <definedName name="OSRRefT22_16x_0" localSheetId="39">'Div 2'!$T$75:$T$79</definedName>
    <definedName name="OSRRefT22_16x_0" localSheetId="48">'Div 3'!$T$211</definedName>
    <definedName name="OSRRefT22_16x_0" localSheetId="75">'Div 4'!$T$81:$T$83</definedName>
    <definedName name="OSRRefT22_16x_0" localSheetId="2">Summary!$T$244</definedName>
    <definedName name="OSRRefT22_17x_0" localSheetId="49">'300'!$T$211:$T$213</definedName>
    <definedName name="OSRRefT22_17x_0" localSheetId="50">'300 &amp; 317'!$T$235:$T$237</definedName>
    <definedName name="OSRRefT22_17x_0" localSheetId="51">'301'!$T$75</definedName>
    <definedName name="OSRRefT22_17x_0" localSheetId="67">'310'!$T$82:$T$88</definedName>
    <definedName name="OSRRefT22_17x_0" localSheetId="76">'310 &amp; 491'!$T$92:$T$96</definedName>
    <definedName name="OSRRefT22_17x_0" localSheetId="61">'326'!$T$106</definedName>
    <definedName name="OSRRefT22_17x_0" localSheetId="59">'331'!$T$134</definedName>
    <definedName name="OSRRefT22_17x_0" localSheetId="85">'415'!$T$82</definedName>
    <definedName name="OSRRefT22_17x_0" localSheetId="96">'450'!$T$79</definedName>
    <definedName name="OSRRefT22_17x_0" localSheetId="77">'491'!$T$89</definedName>
    <definedName name="OSRRefT22_17x_0" localSheetId="91">'492'!$T$86</definedName>
    <definedName name="OSRRefT22_17x_0" localSheetId="39">'Div 2'!$T$81:$T$82</definedName>
    <definedName name="OSRRefT22_17x_0" localSheetId="48">'Div 3'!$T$213:$T$216</definedName>
    <definedName name="OSRRefT22_17x_0" localSheetId="75">'Div 4'!$T$85:$T$86</definedName>
    <definedName name="OSRRefT22_17x_0" localSheetId="2">Summary!$T$246</definedName>
    <definedName name="OSRRefT22_18x_0" localSheetId="49">'300'!$T$215:$T$218</definedName>
    <definedName name="OSRRefT22_18x_0" localSheetId="50">'300 &amp; 317'!$T$239:$T$242</definedName>
    <definedName name="OSRRefT22_18x_0" localSheetId="51">'301'!$T$77:$T$82</definedName>
    <definedName name="OSRRefT22_18x_0" localSheetId="67">'310'!$T$90</definedName>
    <definedName name="OSRRefT22_18x_0" localSheetId="76">'310 &amp; 491'!$T$98</definedName>
    <definedName name="OSRRefT22_18x_0" localSheetId="59">'331'!$T$136</definedName>
    <definedName name="OSRRefT22_18x_0" localSheetId="77">'491'!$T$91:$T$99</definedName>
    <definedName name="OSRRefT22_18x_0" localSheetId="39">'Div 2'!$T$84</definedName>
    <definedName name="OSRRefT22_18x_0" localSheetId="48">'Div 3'!$T$218:$T$220</definedName>
    <definedName name="OSRRefT22_18x_0" localSheetId="75">'Div 4'!$T$88:$T$92</definedName>
    <definedName name="OSRRefT22_18x_0" localSheetId="2">Summary!$T$248:$T$251</definedName>
    <definedName name="OSRRefT22_19x_0" localSheetId="49">'300'!$T$220:$T$221</definedName>
    <definedName name="OSRRefT22_19x_0" localSheetId="50">'300 &amp; 317'!$T$244:$T$245</definedName>
    <definedName name="OSRRefT22_19x_0" localSheetId="51">'301'!$T$84</definedName>
    <definedName name="OSRRefT22_19x_0" localSheetId="67">'310'!$T$92</definedName>
    <definedName name="OSRRefT22_19x_0" localSheetId="76">'310 &amp; 491'!$T$100:$T$108</definedName>
    <definedName name="OSRRefT22_19x_0" localSheetId="59">'331'!$T$138</definedName>
    <definedName name="OSRRefT22_19x_0" localSheetId="77">'491'!$T$101</definedName>
    <definedName name="OSRRefT22_19x_0" localSheetId="39">'Div 2'!$T$86:$T$87</definedName>
    <definedName name="OSRRefT22_19x_0" localSheetId="48">'Div 3'!$T$222:$T$226</definedName>
    <definedName name="OSRRefT22_19x_0" localSheetId="75">'Div 4'!$T$94</definedName>
    <definedName name="OSRRefT22_19x_0" localSheetId="2">Summary!$T$253:$T$255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'203'!$T$31:$T$34</definedName>
    <definedName name="OSRRefT22_1x_0" localSheetId="44">'204'!$T$30:$T$34</definedName>
    <definedName name="OSRRefT22_1x_0" localSheetId="45">'205'!$T$29</definedName>
    <definedName name="OSRRefT22_1x_0" localSheetId="46">'206'!$T$28:$T$31</definedName>
    <definedName name="OSRRefT22_1x_0" localSheetId="49">'300'!$T$167:$T$173</definedName>
    <definedName name="OSRRefT22_1x_0" localSheetId="50">'300 &amp; 317'!$T$191:$T$197</definedName>
    <definedName name="OSRRefT22_1x_0" localSheetId="51">'301'!$T$30:$T$36</definedName>
    <definedName name="OSRRefT22_1x_0" localSheetId="52">'306'!$T$30:$T$35</definedName>
    <definedName name="OSRRefT22_1x_0" localSheetId="54">'307'!$T$74:$T$77</definedName>
    <definedName name="OSRRefT22_1x_0" localSheetId="56">'308'!$T$70:$T$75</definedName>
    <definedName name="OSRRefT22_1x_0" localSheetId="68">'309'!$T$33:$T$36</definedName>
    <definedName name="OSRRefT22_1x_0" localSheetId="67">'310'!$T$39:$T$44</definedName>
    <definedName name="OSRRefT22_1x_0" localSheetId="76">'310 &amp; 491'!$T$47:$T$53</definedName>
    <definedName name="OSRRefT22_1x_0" localSheetId="57">'311'!$T$69:$T$74</definedName>
    <definedName name="OSRRefT22_1x_0" localSheetId="69">'313'!$T$36:$T$40</definedName>
    <definedName name="OSRRefT22_1x_0" localSheetId="55">'314'!$T$61:$T$62</definedName>
    <definedName name="OSRRefT22_1x_0" localSheetId="60">'315'!$T$82:$T$86</definedName>
    <definedName name="OSRRefT22_1x_0" localSheetId="63">'316'!$T$41:$T$43</definedName>
    <definedName name="OSRRefT22_1x_0" localSheetId="66">'317'!$T$67:$T$71</definedName>
    <definedName name="OSRRefT22_1x_0" localSheetId="64">'320'!$T$36:$T$38</definedName>
    <definedName name="OSRRefT22_1x_0" localSheetId="70">'321'!$T$33:$T$37</definedName>
    <definedName name="OSRRefT22_1x_0" localSheetId="71">'322'!$T$33:$T$36</definedName>
    <definedName name="OSRRefT22_1x_0" localSheetId="72">'325'!$T$33:$T$37</definedName>
    <definedName name="OSRRefT22_1x_0" localSheetId="61">'326'!$T$66:$T$70</definedName>
    <definedName name="OSRRefT22_1x_0" localSheetId="53">'330'!$T$83:$T$86</definedName>
    <definedName name="OSRRefT22_1x_0" localSheetId="59">'331'!$T$90:$T$94</definedName>
    <definedName name="OSRRefT22_1x_0" localSheetId="62">'332'!$T$49:$T$52</definedName>
    <definedName name="OSRRefT22_1x_0" localSheetId="78">'405'!$T$33:$T$36</definedName>
    <definedName name="OSRRefT22_1x_0" localSheetId="79">'406'!$T$33:$T$37</definedName>
    <definedName name="OSRRefT22_1x_0" localSheetId="80">'411'!$T$30:$T$35</definedName>
    <definedName name="OSRRefT22_1x_0" localSheetId="81">'412'!$T$32:$T$37</definedName>
    <definedName name="OSRRefT22_1x_0" localSheetId="83">'413'!$T$33:$T$36</definedName>
    <definedName name="OSRRefT22_1x_0" localSheetId="84">'414'!$T$32:$T$35</definedName>
    <definedName name="OSRRefT22_1x_0" localSheetId="85">'415'!$T$33:$T$37</definedName>
    <definedName name="OSRRefT22_1x_0" localSheetId="86">'418'!$T$33:$T$38</definedName>
    <definedName name="OSRRefT22_1x_0" localSheetId="82">'420'!$T$23</definedName>
    <definedName name="OSRRefT22_1x_0" localSheetId="87">'423'!$T$30</definedName>
    <definedName name="OSRRefT22_1x_0" localSheetId="88">'424'!$T$25:$T$28</definedName>
    <definedName name="OSRRefT22_1x_0" localSheetId="89">'425'!$T$33:$T$37</definedName>
    <definedName name="OSRRefT22_1x_0" localSheetId="92">'430'!$T$29</definedName>
    <definedName name="OSRRefT22_1x_0" localSheetId="93">'433'!$T$35:$T$40</definedName>
    <definedName name="OSRRefT22_1x_0" localSheetId="94">'435'!$T$29:$T$30</definedName>
    <definedName name="OSRRefT22_1x_0" localSheetId="95">'444'!$T$35:$T$40</definedName>
    <definedName name="OSRRefT22_1x_0" localSheetId="96">'450'!$T$35:$T$40</definedName>
    <definedName name="OSRRefT22_1x_0" localSheetId="90">'455'!$T$28:$T$29</definedName>
    <definedName name="OSRRefT22_1x_0" localSheetId="77">'491'!$T$41:$T$47</definedName>
    <definedName name="OSRRefT22_1x_0" localSheetId="91">'492'!$T$37:$T$43</definedName>
    <definedName name="OSRRefT22_1x_0" localSheetId="98">'501'!$T$31:$T$35</definedName>
    <definedName name="OSRRefT22_1x_0" localSheetId="39">'Div 2'!$T$32:$T$38</definedName>
    <definedName name="OSRRefT22_1x_0" localSheetId="48">'Div 3'!$T$172:$T$178</definedName>
    <definedName name="OSRRefT22_1x_0" localSheetId="75">'Div 4'!$T$42:$T$48</definedName>
    <definedName name="OSRRefT22_1x_0" localSheetId="97">'Div 5'!$T$31:$T$35</definedName>
    <definedName name="OSRRefT22_1x_0" localSheetId="65">'Div 6'!$T$67:$T$71</definedName>
    <definedName name="OSRRefT22_1x_0" localSheetId="2">Summary!$T$203:$T$209</definedName>
    <definedName name="OSRRefT22_20x_0" localSheetId="49">'300'!$T$223:$T$229</definedName>
    <definedName name="OSRRefT22_20x_0" localSheetId="50">'300 &amp; 317'!$T$247:$T$253</definedName>
    <definedName name="OSRRefT22_20x_0" localSheetId="51">'301'!$T$86</definedName>
    <definedName name="OSRRefT22_20x_0" localSheetId="67">'310'!$T$94</definedName>
    <definedName name="OSRRefT22_20x_0" localSheetId="76">'310 &amp; 491'!$T$110</definedName>
    <definedName name="OSRRefT22_20x_0" localSheetId="59">'331'!$T$140</definedName>
    <definedName name="OSRRefT22_20x_0" localSheetId="77">'491'!$T$103</definedName>
    <definedName name="OSRRefT22_20x_0" localSheetId="48">'Div 3'!$T$228:$T$229</definedName>
    <definedName name="OSRRefT22_20x_0" localSheetId="75">'Div 4'!$T$96:$T$104</definedName>
    <definedName name="OSRRefT22_20x_0" localSheetId="2">Summary!$T$257:$T$261</definedName>
    <definedName name="OSRRefT22_21x_0" localSheetId="49">'300'!$T$231:$T$232</definedName>
    <definedName name="OSRRefT22_21x_0" localSheetId="50">'300 &amp; 317'!$T$255:$T$256</definedName>
    <definedName name="OSRRefT22_21x_0" localSheetId="51">'301'!$T$88:$T$89</definedName>
    <definedName name="OSRRefT22_21x_0" localSheetId="76">'310 &amp; 491'!$T$112</definedName>
    <definedName name="OSRRefT22_21x_0" localSheetId="77">'491'!$T$105:$T$107</definedName>
    <definedName name="OSRRefT22_21x_0" localSheetId="48">'Div 3'!$T$231:$T$237</definedName>
    <definedName name="OSRRefT22_21x_0" localSheetId="75">'Div 4'!$T$106</definedName>
    <definedName name="OSRRefT22_21x_0" localSheetId="2">Summary!$T$263:$T$264</definedName>
    <definedName name="OSRRefT22_22x_0" localSheetId="49">'300'!$T$234</definedName>
    <definedName name="OSRRefT22_22x_0" localSheetId="50">'300 &amp; 317'!$T$258</definedName>
    <definedName name="OSRRefT22_22x_0" localSheetId="51">'301'!$T$91</definedName>
    <definedName name="OSRRefT22_22x_0" localSheetId="76">'310 &amp; 491'!$T$114:$T$116</definedName>
    <definedName name="OSRRefT22_22x_0" localSheetId="77">'491'!$T$109</definedName>
    <definedName name="OSRRefT22_22x_0" localSheetId="48">'Div 3'!$T$239:$T$240</definedName>
    <definedName name="OSRRefT22_22x_0" localSheetId="75">'Div 4'!$T$108</definedName>
    <definedName name="OSRRefT22_22x_0" localSheetId="2">Summary!$T$266:$T$274</definedName>
    <definedName name="OSRRefT22_23x_0" localSheetId="49">'300'!$T$236:$T$238</definedName>
    <definedName name="OSRRefT22_23x_0" localSheetId="50">'300 &amp; 317'!$T$260:$T$262</definedName>
    <definedName name="OSRRefT22_23x_0" localSheetId="76">'310 &amp; 491'!$T$118</definedName>
    <definedName name="OSRRefT22_23x_0" localSheetId="48">'Div 3'!$T$242</definedName>
    <definedName name="OSRRefT22_23x_0" localSheetId="75">'Div 4'!$T$110:$T$112</definedName>
    <definedName name="OSRRefT22_23x_0" localSheetId="2">Summary!$T$276:$T$277</definedName>
    <definedName name="OSRRefT22_24x_0" localSheetId="49">'300'!$T$240</definedName>
    <definedName name="OSRRefT22_24x_0" localSheetId="50">'300 &amp; 317'!$T$264</definedName>
    <definedName name="OSRRefT22_24x_0" localSheetId="48">'Div 3'!$T$244:$T$246</definedName>
    <definedName name="OSRRefT22_24x_0" localSheetId="75">'Div 4'!$T$114</definedName>
    <definedName name="OSRRefT22_24x_0" localSheetId="2">Summary!$T$279</definedName>
    <definedName name="OSRRefT22_25x_0" localSheetId="48">'Div 3'!$T$248</definedName>
    <definedName name="OSRRefT22_25x_0" localSheetId="2">Summary!$T$281:$T$283</definedName>
    <definedName name="OSRRefT22_26x_0" localSheetId="2">Summary!$T$285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'203'!$T$36</definedName>
    <definedName name="OSRRefT22_2x_0" localSheetId="44">'204'!$T$36</definedName>
    <definedName name="OSRRefT22_2x_0" localSheetId="45">'205'!$T$31</definedName>
    <definedName name="OSRRefT22_2x_0" localSheetId="46">'206'!$T$33</definedName>
    <definedName name="OSRRefT22_2x_0" localSheetId="49">'300'!$T$175</definedName>
    <definedName name="OSRRefT22_2x_0" localSheetId="50">'300 &amp; 317'!$T$199</definedName>
    <definedName name="OSRRefT22_2x_0" localSheetId="51">'301'!$T$38</definedName>
    <definedName name="OSRRefT22_2x_0" localSheetId="52">'306'!$T$37</definedName>
    <definedName name="OSRRefT22_2x_0" localSheetId="54">'307'!$T$79</definedName>
    <definedName name="OSRRefT22_2x_0" localSheetId="56">'308'!$T$77</definedName>
    <definedName name="OSRRefT22_2x_0" localSheetId="68">'309'!$T$38</definedName>
    <definedName name="OSRRefT22_2x_0" localSheetId="67">'310'!$T$46</definedName>
    <definedName name="OSRRefT22_2x_0" localSheetId="76">'310 &amp; 491'!$T$55</definedName>
    <definedName name="OSRRefT22_2x_0" localSheetId="57">'311'!$T$76</definedName>
    <definedName name="OSRRefT22_2x_0" localSheetId="69">'313'!$T$42</definedName>
    <definedName name="OSRRefT22_2x_0" localSheetId="55">'314'!$T$64</definedName>
    <definedName name="OSRRefT22_2x_0" localSheetId="60">'315'!$T$88</definedName>
    <definedName name="OSRRefT22_2x_0" localSheetId="63">'316'!$T$45</definedName>
    <definedName name="OSRRefT22_2x_0" localSheetId="66">'317'!$T$73</definedName>
    <definedName name="OSRRefT22_2x_0" localSheetId="64">'320'!$T$40</definedName>
    <definedName name="OSRRefT22_2x_0" localSheetId="70">'321'!$T$39</definedName>
    <definedName name="OSRRefT22_2x_0" localSheetId="71">'322'!$T$38</definedName>
    <definedName name="OSRRefT22_2x_0" localSheetId="72">'325'!$T$39</definedName>
    <definedName name="OSRRefT22_2x_0" localSheetId="61">'326'!$T$72</definedName>
    <definedName name="OSRRefT22_2x_0" localSheetId="53">'330'!$T$88</definedName>
    <definedName name="OSRRefT22_2x_0" localSheetId="59">'331'!$T$96</definedName>
    <definedName name="OSRRefT22_2x_0" localSheetId="62">'332'!$T$54</definedName>
    <definedName name="OSRRefT22_2x_0" localSheetId="78">'405'!$T$38</definedName>
    <definedName name="OSRRefT22_2x_0" localSheetId="79">'406'!$T$39</definedName>
    <definedName name="OSRRefT22_2x_0" localSheetId="80">'411'!$T$37</definedName>
    <definedName name="OSRRefT22_2x_0" localSheetId="81">'412'!$T$39</definedName>
    <definedName name="OSRRefT22_2x_0" localSheetId="83">'413'!$T$38</definedName>
    <definedName name="OSRRefT22_2x_0" localSheetId="84">'414'!$T$37</definedName>
    <definedName name="OSRRefT22_2x_0" localSheetId="85">'415'!$T$39</definedName>
    <definedName name="OSRRefT22_2x_0" localSheetId="86">'418'!$T$40</definedName>
    <definedName name="OSRRefT22_2x_0" localSheetId="87">'423'!$T$32</definedName>
    <definedName name="OSRRefT22_2x_0" localSheetId="88">'424'!$T$30</definedName>
    <definedName name="OSRRefT22_2x_0" localSheetId="89">'425'!$T$39</definedName>
    <definedName name="OSRRefT22_2x_0" localSheetId="92">'430'!$T$31</definedName>
    <definedName name="OSRRefT22_2x_0" localSheetId="93">'433'!$T$42</definedName>
    <definedName name="OSRRefT22_2x_0" localSheetId="94">'435'!$T$32</definedName>
    <definedName name="OSRRefT22_2x_0" localSheetId="95">'444'!$T$42</definedName>
    <definedName name="OSRRefT22_2x_0" localSheetId="96">'450'!$T$42</definedName>
    <definedName name="OSRRefT22_2x_0" localSheetId="77">'491'!$T$49</definedName>
    <definedName name="OSRRefT22_2x_0" localSheetId="91">'492'!$T$45</definedName>
    <definedName name="OSRRefT22_2x_0" localSheetId="98">'501'!$T$37</definedName>
    <definedName name="OSRRefT22_2x_0" localSheetId="39">'Div 2'!$T$40</definedName>
    <definedName name="OSRRefT22_2x_0" localSheetId="48">'Div 3'!$T$180</definedName>
    <definedName name="OSRRefT22_2x_0" localSheetId="75">'Div 4'!$T$50</definedName>
    <definedName name="OSRRefT22_2x_0" localSheetId="97">'Div 5'!$T$37</definedName>
    <definedName name="OSRRefT22_2x_0" localSheetId="65">'Div 6'!$T$73</definedName>
    <definedName name="OSRRefT22_2x_0" localSheetId="2">Summary!$T$211</definedName>
    <definedName name="OSRRefT22_3x_0" localSheetId="40">'200'!$T$26:$T$27</definedName>
    <definedName name="OSRRefT22_3x_0" localSheetId="41">'201'!$T$35</definedName>
    <definedName name="OSRRefT22_3x_0" localSheetId="42">'202'!$T$36</definedName>
    <definedName name="OSRRefT22_3x_0" localSheetId="43">'203'!$T$38</definedName>
    <definedName name="OSRRefT22_3x_0" localSheetId="44">'204'!$T$38</definedName>
    <definedName name="OSRRefT22_3x_0" localSheetId="45">'205'!$T$33</definedName>
    <definedName name="OSRRefT22_3x_0" localSheetId="46">'206'!$T$35</definedName>
    <definedName name="OSRRefT22_3x_0" localSheetId="49">'300'!$T$177</definedName>
    <definedName name="OSRRefT22_3x_0" localSheetId="50">'300 &amp; 317'!$T$201</definedName>
    <definedName name="OSRRefT22_3x_0" localSheetId="51">'301'!$T$40</definedName>
    <definedName name="OSRRefT22_3x_0" localSheetId="52">'306'!$T$39</definedName>
    <definedName name="OSRRefT22_3x_0" localSheetId="54">'307'!$T$81</definedName>
    <definedName name="OSRRefT22_3x_0" localSheetId="56">'308'!$T$79:$T$80</definedName>
    <definedName name="OSRRefT22_3x_0" localSheetId="68">'309'!$T$40</definedName>
    <definedName name="OSRRefT22_3x_0" localSheetId="67">'310'!$T$48</definedName>
    <definedName name="OSRRefT22_3x_0" localSheetId="76">'310 &amp; 491'!$T$57</definedName>
    <definedName name="OSRRefT22_3x_0" localSheetId="57">'311'!$T$78:$T$79</definedName>
    <definedName name="OSRRefT22_3x_0" localSheetId="69">'313'!$T$44</definedName>
    <definedName name="OSRRefT22_3x_0" localSheetId="55">'314'!$T$66:$T$67</definedName>
    <definedName name="OSRRefT22_3x_0" localSheetId="60">'315'!$T$90:$T$91</definedName>
    <definedName name="OSRRefT22_3x_0" localSheetId="63">'316'!$T$47</definedName>
    <definedName name="OSRRefT22_3x_0" localSheetId="66">'317'!$T$75</definedName>
    <definedName name="OSRRefT22_3x_0" localSheetId="64">'320'!$T$42</definedName>
    <definedName name="OSRRefT22_3x_0" localSheetId="70">'321'!$T$41</definedName>
    <definedName name="OSRRefT22_3x_0" localSheetId="71">'322'!$T$40</definedName>
    <definedName name="OSRRefT22_3x_0" localSheetId="72">'325'!$T$41</definedName>
    <definedName name="OSRRefT22_3x_0" localSheetId="61">'326'!$T$74</definedName>
    <definedName name="OSRRefT22_3x_0" localSheetId="53">'330'!$T$90</definedName>
    <definedName name="OSRRefT22_3x_0" localSheetId="59">'331'!$T$98</definedName>
    <definedName name="OSRRefT22_3x_0" localSheetId="62">'332'!$T$56</definedName>
    <definedName name="OSRRefT22_3x_0" localSheetId="78">'405'!$T$40</definedName>
    <definedName name="OSRRefT22_3x_0" localSheetId="79">'406'!$T$41</definedName>
    <definedName name="OSRRefT22_3x_0" localSheetId="80">'411'!$T$39</definedName>
    <definedName name="OSRRefT22_3x_0" localSheetId="81">'412'!$T$41</definedName>
    <definedName name="OSRRefT22_3x_0" localSheetId="83">'413'!$T$40</definedName>
    <definedName name="OSRRefT22_3x_0" localSheetId="84">'414'!$T$39</definedName>
    <definedName name="OSRRefT22_3x_0" localSheetId="85">'415'!$T$41</definedName>
    <definedName name="OSRRefT22_3x_0" localSheetId="86">'418'!$T$42</definedName>
    <definedName name="OSRRefT22_3x_0" localSheetId="87">'423'!$T$34</definedName>
    <definedName name="OSRRefT22_3x_0" localSheetId="88">'424'!$T$32</definedName>
    <definedName name="OSRRefT22_3x_0" localSheetId="89">'425'!$T$41</definedName>
    <definedName name="OSRRefT22_3x_0" localSheetId="92">'430'!$T$33</definedName>
    <definedName name="OSRRefT22_3x_0" localSheetId="93">'433'!$T$44</definedName>
    <definedName name="OSRRefT22_3x_0" localSheetId="94">'435'!$T$34</definedName>
    <definedName name="OSRRefT22_3x_0" localSheetId="95">'444'!$T$44</definedName>
    <definedName name="OSRRefT22_3x_0" localSheetId="96">'450'!$T$44</definedName>
    <definedName name="OSRRefT22_3x_0" localSheetId="77">'491'!$T$51</definedName>
    <definedName name="OSRRefT22_3x_0" localSheetId="91">'492'!$T$47</definedName>
    <definedName name="OSRRefT22_3x_0" localSheetId="98">'501'!$T$39</definedName>
    <definedName name="OSRRefT22_3x_0" localSheetId="39">'Div 2'!$T$42</definedName>
    <definedName name="OSRRefT22_3x_0" localSheetId="48">'Div 3'!$T$182</definedName>
    <definedName name="OSRRefT22_3x_0" localSheetId="75">'Div 4'!$T$52</definedName>
    <definedName name="OSRRefT22_3x_0" localSheetId="97">'Div 5'!$T$39</definedName>
    <definedName name="OSRRefT22_3x_0" localSheetId="65">'Div 6'!$T$75</definedName>
    <definedName name="OSRRefT22_3x_0" localSheetId="2">Summary!$T$213</definedName>
    <definedName name="OSRRefT22_4x_0" localSheetId="41">'201'!$T$37</definedName>
    <definedName name="OSRRefT22_4x_0" localSheetId="42">'202'!$T$38:$T$39</definedName>
    <definedName name="OSRRefT22_4x_0" localSheetId="43">'203'!$T$40</definedName>
    <definedName name="OSRRefT22_4x_0" localSheetId="44">'204'!$T$40</definedName>
    <definedName name="OSRRefT22_4x_0" localSheetId="45">'205'!$T$35:$T$36</definedName>
    <definedName name="OSRRefT22_4x_0" localSheetId="46">'206'!$T$37</definedName>
    <definedName name="OSRRefT22_4x_0" localSheetId="49">'300'!$T$179</definedName>
    <definedName name="OSRRefT22_4x_0" localSheetId="50">'300 &amp; 317'!$T$203</definedName>
    <definedName name="OSRRefT22_4x_0" localSheetId="51">'301'!$T$42</definedName>
    <definedName name="OSRRefT22_4x_0" localSheetId="52">'306'!$T$41:$T$42</definedName>
    <definedName name="OSRRefT22_4x_0" localSheetId="54">'307'!$T$83:$T$84</definedName>
    <definedName name="OSRRefT22_4x_0" localSheetId="56">'308'!$T$82</definedName>
    <definedName name="OSRRefT22_4x_0" localSheetId="68">'309'!$T$42</definedName>
    <definedName name="OSRRefT22_4x_0" localSheetId="67">'310'!$T$50</definedName>
    <definedName name="OSRRefT22_4x_0" localSheetId="76">'310 &amp; 491'!$T$59</definedName>
    <definedName name="OSRRefT22_4x_0" localSheetId="57">'311'!$T$81</definedName>
    <definedName name="OSRRefT22_4x_0" localSheetId="69">'313'!$T$46</definedName>
    <definedName name="OSRRefT22_4x_0" localSheetId="55">'314'!$T$69</definedName>
    <definedName name="OSRRefT22_4x_0" localSheetId="60">'315'!$T$93</definedName>
    <definedName name="OSRRefT22_4x_0" localSheetId="63">'316'!$T$49</definedName>
    <definedName name="OSRRefT22_4x_0" localSheetId="66">'317'!$T$77</definedName>
    <definedName name="OSRRefT22_4x_0" localSheetId="64">'320'!$T$44:$T$45</definedName>
    <definedName name="OSRRefT22_4x_0" localSheetId="70">'321'!$T$43</definedName>
    <definedName name="OSRRefT22_4x_0" localSheetId="71">'322'!$T$42</definedName>
    <definedName name="OSRRefT22_4x_0" localSheetId="72">'325'!$T$43</definedName>
    <definedName name="OSRRefT22_4x_0" localSheetId="61">'326'!$T$76</definedName>
    <definedName name="OSRRefT22_4x_0" localSheetId="53">'330'!$T$92:$T$93</definedName>
    <definedName name="OSRRefT22_4x_0" localSheetId="59">'331'!$T$100</definedName>
    <definedName name="OSRRefT22_4x_0" localSheetId="62">'332'!$T$58</definedName>
    <definedName name="OSRRefT22_4x_0" localSheetId="78">'405'!$T$42</definedName>
    <definedName name="OSRRefT22_4x_0" localSheetId="79">'406'!$T$43</definedName>
    <definedName name="OSRRefT22_4x_0" localSheetId="80">'411'!$T$41:$T$43</definedName>
    <definedName name="OSRRefT22_4x_0" localSheetId="81">'412'!$T$43</definedName>
    <definedName name="OSRRefT22_4x_0" localSheetId="83">'413'!$T$42</definedName>
    <definedName name="OSRRefT22_4x_0" localSheetId="84">'414'!$T$41</definedName>
    <definedName name="OSRRefT22_4x_0" localSheetId="85">'415'!$T$43</definedName>
    <definedName name="OSRRefT22_4x_0" localSheetId="86">'418'!$T$44</definedName>
    <definedName name="OSRRefT22_4x_0" localSheetId="87">'423'!$T$36</definedName>
    <definedName name="OSRRefT22_4x_0" localSheetId="88">'424'!$T$34</definedName>
    <definedName name="OSRRefT22_4x_0" localSheetId="89">'425'!$T$43</definedName>
    <definedName name="OSRRefT22_4x_0" localSheetId="92">'430'!$T$35:$T$36</definedName>
    <definedName name="OSRRefT22_4x_0" localSheetId="93">'433'!$T$46</definedName>
    <definedName name="OSRRefT22_4x_0" localSheetId="94">'435'!$T$36</definedName>
    <definedName name="OSRRefT22_4x_0" localSheetId="95">'444'!$T$46</definedName>
    <definedName name="OSRRefT22_4x_0" localSheetId="96">'450'!$T$46</definedName>
    <definedName name="OSRRefT22_4x_0" localSheetId="77">'491'!$T$53</definedName>
    <definedName name="OSRRefT22_4x_0" localSheetId="91">'492'!$T$49</definedName>
    <definedName name="OSRRefT22_4x_0" localSheetId="98">'501'!$T$41</definedName>
    <definedName name="OSRRefT22_4x_0" localSheetId="39">'Div 2'!$T$44</definedName>
    <definedName name="OSRRefT22_4x_0" localSheetId="48">'Div 3'!$T$184</definedName>
    <definedName name="OSRRefT22_4x_0" localSheetId="75">'Div 4'!$T$54</definedName>
    <definedName name="OSRRefT22_4x_0" localSheetId="97">'Div 5'!$T$41</definedName>
    <definedName name="OSRRefT22_4x_0" localSheetId="65">'Div 6'!$T$77</definedName>
    <definedName name="OSRRefT22_4x_0" localSheetId="2">Summary!$T$215</definedName>
    <definedName name="OSRRefT22_5x_0" localSheetId="41">'201'!$T$39</definedName>
    <definedName name="OSRRefT22_5x_0" localSheetId="42">'202'!$T$41</definedName>
    <definedName name="OSRRefT22_5x_0" localSheetId="43">'203'!$T$42</definedName>
    <definedName name="OSRRefT22_5x_0" localSheetId="44">'204'!$T$42:$T$44</definedName>
    <definedName name="OSRRefT22_5x_0" localSheetId="45">'205'!$T$38</definedName>
    <definedName name="OSRRefT22_5x_0" localSheetId="46">'206'!$T$39:$T$40</definedName>
    <definedName name="OSRRefT22_5x_0" localSheetId="49">'300'!$T$181:$T$182</definedName>
    <definedName name="OSRRefT22_5x_0" localSheetId="50">'300 &amp; 317'!$T$205:$T$206</definedName>
    <definedName name="OSRRefT22_5x_0" localSheetId="51">'301'!$T$44:$T$45</definedName>
    <definedName name="OSRRefT22_5x_0" localSheetId="52">'306'!$T$44</definedName>
    <definedName name="OSRRefT22_5x_0" localSheetId="54">'307'!$T$86</definedName>
    <definedName name="OSRRefT22_5x_0" localSheetId="56">'308'!$T$84</definedName>
    <definedName name="OSRRefT22_5x_0" localSheetId="68">'309'!$T$44</definedName>
    <definedName name="OSRRefT22_5x_0" localSheetId="67">'310'!$T$52:$T$53</definedName>
    <definedName name="OSRRefT22_5x_0" localSheetId="76">'310 &amp; 491'!$T$61:$T$63</definedName>
    <definedName name="OSRRefT22_5x_0" localSheetId="57">'311'!$T$83</definedName>
    <definedName name="OSRRefT22_5x_0" localSheetId="69">'313'!$T$48</definedName>
    <definedName name="OSRRefT22_5x_0" localSheetId="55">'314'!$T$71</definedName>
    <definedName name="OSRRefT22_5x_0" localSheetId="60">'315'!$T$95</definedName>
    <definedName name="OSRRefT22_5x_0" localSheetId="63">'316'!$T$51:$T$52</definedName>
    <definedName name="OSRRefT22_5x_0" localSheetId="66">'317'!$T$79:$T$80</definedName>
    <definedName name="OSRRefT22_5x_0" localSheetId="64">'320'!$T$47</definedName>
    <definedName name="OSRRefT22_5x_0" localSheetId="70">'321'!$T$45</definedName>
    <definedName name="OSRRefT22_5x_0" localSheetId="71">'322'!$T$44</definedName>
    <definedName name="OSRRefT22_5x_0" localSheetId="72">'325'!$T$45:$T$46</definedName>
    <definedName name="OSRRefT22_5x_0" localSheetId="61">'326'!$T$78</definedName>
    <definedName name="OSRRefT22_5x_0" localSheetId="53">'330'!$T$95</definedName>
    <definedName name="OSRRefT22_5x_0" localSheetId="59">'331'!$T$102:$T$103</definedName>
    <definedName name="OSRRefT22_5x_0" localSheetId="62">'332'!$T$60</definedName>
    <definedName name="OSRRefT22_5x_0" localSheetId="78">'405'!$T$44:$T$45</definedName>
    <definedName name="OSRRefT22_5x_0" localSheetId="79">'406'!$T$45</definedName>
    <definedName name="OSRRefT22_5x_0" localSheetId="80">'411'!$T$45</definedName>
    <definedName name="OSRRefT22_5x_0" localSheetId="81">'412'!$T$45</definedName>
    <definedName name="OSRRefT22_5x_0" localSheetId="83">'413'!$T$44</definedName>
    <definedName name="OSRRefT22_5x_0" localSheetId="84">'414'!$T$43</definedName>
    <definedName name="OSRRefT22_5x_0" localSheetId="85">'415'!$T$45:$T$46</definedName>
    <definedName name="OSRRefT22_5x_0" localSheetId="86">'418'!$T$46:$T$47</definedName>
    <definedName name="OSRRefT22_5x_0" localSheetId="87">'423'!$T$38</definedName>
    <definedName name="OSRRefT22_5x_0" localSheetId="88">'424'!$T$36</definedName>
    <definedName name="OSRRefT22_5x_0" localSheetId="89">'425'!$T$45</definedName>
    <definedName name="OSRRefT22_5x_0" localSheetId="92">'430'!$T$38</definedName>
    <definedName name="OSRRefT22_5x_0" localSheetId="93">'433'!$T$48</definedName>
    <definedName name="OSRRefT22_5x_0" localSheetId="94">'435'!$T$38</definedName>
    <definedName name="OSRRefT22_5x_0" localSheetId="95">'444'!$T$48</definedName>
    <definedName name="OSRRefT22_5x_0" localSheetId="96">'450'!$T$48</definedName>
    <definedName name="OSRRefT22_5x_0" localSheetId="77">'491'!$T$55:$T$57</definedName>
    <definedName name="OSRRefT22_5x_0" localSheetId="91">'492'!$T$51</definedName>
    <definedName name="OSRRefT22_5x_0" localSheetId="98">'501'!$T$43:$T$44</definedName>
    <definedName name="OSRRefT22_5x_0" localSheetId="39">'Div 2'!$T$46</definedName>
    <definedName name="OSRRefT22_5x_0" localSheetId="48">'Div 3'!$T$186:$T$187</definedName>
    <definedName name="OSRRefT22_5x_0" localSheetId="75">'Div 4'!$T$56:$T$58</definedName>
    <definedName name="OSRRefT22_5x_0" localSheetId="97">'Div 5'!$T$43:$T$44</definedName>
    <definedName name="OSRRefT22_5x_0" localSheetId="65">'Div 6'!$T$79:$T$80</definedName>
    <definedName name="OSRRefT22_5x_0" localSheetId="2">Summary!$T$217:$T$219</definedName>
    <definedName name="OSRRefT22_6x_0" localSheetId="41">'201'!$T$41</definedName>
    <definedName name="OSRRefT22_6x_0" localSheetId="42">'202'!$T$43</definedName>
    <definedName name="OSRRefT22_6x_0" localSheetId="43">'203'!$T$44</definedName>
    <definedName name="OSRRefT22_6x_0" localSheetId="44">'204'!$T$46</definedName>
    <definedName name="OSRRefT22_6x_0" localSheetId="45">'205'!$T$40:$T$41</definedName>
    <definedName name="OSRRefT22_6x_0" localSheetId="46">'206'!$T$42</definedName>
    <definedName name="OSRRefT22_6x_0" localSheetId="49">'300'!$T$184:$T$185</definedName>
    <definedName name="OSRRefT22_6x_0" localSheetId="50">'300 &amp; 317'!$T$208:$T$209</definedName>
    <definedName name="OSRRefT22_6x_0" localSheetId="51">'301'!$T$47:$T$48</definedName>
    <definedName name="OSRRefT22_6x_0" localSheetId="54">'307'!$T$88</definedName>
    <definedName name="OSRRefT22_6x_0" localSheetId="56">'308'!$T$86:$T$87</definedName>
    <definedName name="OSRRefT22_6x_0" localSheetId="68">'309'!$T$46</definedName>
    <definedName name="OSRRefT22_6x_0" localSheetId="67">'310'!$T$55</definedName>
    <definedName name="OSRRefT22_6x_0" localSheetId="76">'310 &amp; 491'!$T$65</definedName>
    <definedName name="OSRRefT22_6x_0" localSheetId="57">'311'!$T$85:$T$86</definedName>
    <definedName name="OSRRefT22_6x_0" localSheetId="69">'313'!$T$50</definedName>
    <definedName name="OSRRefT22_6x_0" localSheetId="60">'315'!$T$97</definedName>
    <definedName name="OSRRefT22_6x_0" localSheetId="63">'316'!$T$54</definedName>
    <definedName name="OSRRefT22_6x_0" localSheetId="66">'317'!$T$82</definedName>
    <definedName name="OSRRefT22_6x_0" localSheetId="64">'320'!$T$49</definedName>
    <definedName name="OSRRefT22_6x_0" localSheetId="70">'321'!$T$47:$T$49</definedName>
    <definedName name="OSRRefT22_6x_0" localSheetId="71">'322'!$T$46</definedName>
    <definedName name="OSRRefT22_6x_0" localSheetId="72">'325'!$T$48</definedName>
    <definedName name="OSRRefT22_6x_0" localSheetId="61">'326'!$T$80</definedName>
    <definedName name="OSRRefT22_6x_0" localSheetId="53">'330'!$T$97</definedName>
    <definedName name="OSRRefT22_6x_0" localSheetId="59">'331'!$T$105</definedName>
    <definedName name="OSRRefT22_6x_0" localSheetId="62">'332'!$T$62:$T$63</definedName>
    <definedName name="OSRRefT22_6x_0" localSheetId="78">'405'!$T$47</definedName>
    <definedName name="OSRRefT22_6x_0" localSheetId="79">'406'!$T$47</definedName>
    <definedName name="OSRRefT22_6x_0" localSheetId="80">'411'!$T$47</definedName>
    <definedName name="OSRRefT22_6x_0" localSheetId="81">'412'!$T$47</definedName>
    <definedName name="OSRRefT22_6x_0" localSheetId="83">'413'!$T$46</definedName>
    <definedName name="OSRRefT22_6x_0" localSheetId="84">'414'!$T$45</definedName>
    <definedName name="OSRRefT22_6x_0" localSheetId="85">'415'!$T$48</definedName>
    <definedName name="OSRRefT22_6x_0" localSheetId="86">'418'!$T$49</definedName>
    <definedName name="OSRRefT22_6x_0" localSheetId="88">'424'!$T$38</definedName>
    <definedName name="OSRRefT22_6x_0" localSheetId="89">'425'!$T$47</definedName>
    <definedName name="OSRRefT22_6x_0" localSheetId="92">'430'!$T$40</definedName>
    <definedName name="OSRRefT22_6x_0" localSheetId="93">'433'!$T$50</definedName>
    <definedName name="OSRRefT22_6x_0" localSheetId="94">'435'!$T$40:$T$41</definedName>
    <definedName name="OSRRefT22_6x_0" localSheetId="95">'444'!$T$50</definedName>
    <definedName name="OSRRefT22_6x_0" localSheetId="96">'450'!$T$50</definedName>
    <definedName name="OSRRefT22_6x_0" localSheetId="77">'491'!$T$59</definedName>
    <definedName name="OSRRefT22_6x_0" localSheetId="91">'492'!$T$53</definedName>
    <definedName name="OSRRefT22_6x_0" localSheetId="98">'501'!$T$46</definedName>
    <definedName name="OSRRefT22_6x_0" localSheetId="39">'Div 2'!$T$48</definedName>
    <definedName name="OSRRefT22_6x_0" localSheetId="48">'Div 3'!$T$189:$T$190</definedName>
    <definedName name="OSRRefT22_6x_0" localSheetId="75">'Div 4'!$T$60</definedName>
    <definedName name="OSRRefT22_6x_0" localSheetId="97">'Div 5'!$T$46</definedName>
    <definedName name="OSRRefT22_6x_0" localSheetId="65">'Div 6'!$T$82</definedName>
    <definedName name="OSRRefT22_6x_0" localSheetId="2">Summary!$T$221:$T$222</definedName>
    <definedName name="OSRRefT22_7x_0" localSheetId="41">'201'!$T$43</definedName>
    <definedName name="OSRRefT22_7x_0" localSheetId="42">'202'!$T$45:$T$46</definedName>
    <definedName name="OSRRefT22_7x_0" localSheetId="43">'203'!$T$46</definedName>
    <definedName name="OSRRefT22_7x_0" localSheetId="44">'204'!$T$48:$T$49</definedName>
    <definedName name="OSRRefT22_7x_0" localSheetId="45">'205'!$T$43</definedName>
    <definedName name="OSRRefT22_7x_0" localSheetId="46">'206'!$T$44</definedName>
    <definedName name="OSRRefT22_7x_0" localSheetId="49">'300'!$T$187</definedName>
    <definedName name="OSRRefT22_7x_0" localSheetId="50">'300 &amp; 317'!$T$211</definedName>
    <definedName name="OSRRefT22_7x_0" localSheetId="51">'301'!$T$50</definedName>
    <definedName name="OSRRefT22_7x_0" localSheetId="54">'307'!$T$90:$T$91</definedName>
    <definedName name="OSRRefT22_7x_0" localSheetId="56">'308'!$T$89</definedName>
    <definedName name="OSRRefT22_7x_0" localSheetId="68">'309'!$T$48:$T$49</definedName>
    <definedName name="OSRRefT22_7x_0" localSheetId="67">'310'!$T$57</definedName>
    <definedName name="OSRRefT22_7x_0" localSheetId="76">'310 &amp; 491'!$T$67</definedName>
    <definedName name="OSRRefT22_7x_0" localSheetId="57">'311'!$T$88</definedName>
    <definedName name="OSRRefT22_7x_0" localSheetId="69">'313'!$T$52</definedName>
    <definedName name="OSRRefT22_7x_0" localSheetId="60">'315'!$T$99:$T$100</definedName>
    <definedName name="OSRRefT22_7x_0" localSheetId="63">'316'!$T$56</definedName>
    <definedName name="OSRRefT22_7x_0" localSheetId="66">'317'!$T$84</definedName>
    <definedName name="OSRRefT22_7x_0" localSheetId="64">'320'!$T$51:$T$52</definedName>
    <definedName name="OSRRefT22_7x_0" localSheetId="70">'321'!$T$51</definedName>
    <definedName name="OSRRefT22_7x_0" localSheetId="71">'322'!$T$48</definedName>
    <definedName name="OSRRefT22_7x_0" localSheetId="72">'325'!$T$50</definedName>
    <definedName name="OSRRefT22_7x_0" localSheetId="61">'326'!$T$82</definedName>
    <definedName name="OSRRefT22_7x_0" localSheetId="53">'330'!$T$99:$T$100</definedName>
    <definedName name="OSRRefT22_7x_0" localSheetId="59">'331'!$T$107</definedName>
    <definedName name="OSRRefT22_7x_0" localSheetId="62">'332'!$T$65</definedName>
    <definedName name="OSRRefT22_7x_0" localSheetId="78">'405'!$T$49</definedName>
    <definedName name="OSRRefT22_7x_0" localSheetId="79">'406'!$T$49</definedName>
    <definedName name="OSRRefT22_7x_0" localSheetId="80">'411'!$T$49</definedName>
    <definedName name="OSRRefT22_7x_0" localSheetId="81">'412'!$T$49</definedName>
    <definedName name="OSRRefT22_7x_0" localSheetId="83">'413'!$T$48:$T$50</definedName>
    <definedName name="OSRRefT22_7x_0" localSheetId="84">'414'!$T$47</definedName>
    <definedName name="OSRRefT22_7x_0" localSheetId="85">'415'!$T$50</definedName>
    <definedName name="OSRRefT22_7x_0" localSheetId="86">'418'!$T$51</definedName>
    <definedName name="OSRRefT22_7x_0" localSheetId="88">'424'!$T$40</definedName>
    <definedName name="OSRRefT22_7x_0" localSheetId="89">'425'!$T$49</definedName>
    <definedName name="OSRRefT22_7x_0" localSheetId="92">'430'!$T$42</definedName>
    <definedName name="OSRRefT22_7x_0" localSheetId="93">'433'!$T$52</definedName>
    <definedName name="OSRRefT22_7x_0" localSheetId="94">'435'!$T$43</definedName>
    <definedName name="OSRRefT22_7x_0" localSheetId="95">'444'!$T$52</definedName>
    <definedName name="OSRRefT22_7x_0" localSheetId="96">'450'!$T$52</definedName>
    <definedName name="OSRRefT22_7x_0" localSheetId="77">'491'!$T$61</definedName>
    <definedName name="OSRRefT22_7x_0" localSheetId="91">'492'!$T$55</definedName>
    <definedName name="OSRRefT22_7x_0" localSheetId="98">'501'!$T$48</definedName>
    <definedName name="OSRRefT22_7x_0" localSheetId="39">'Div 2'!$T$50</definedName>
    <definedName name="OSRRefT22_7x_0" localSheetId="48">'Div 3'!$T$192</definedName>
    <definedName name="OSRRefT22_7x_0" localSheetId="75">'Div 4'!$T$62</definedName>
    <definedName name="OSRRefT22_7x_0" localSheetId="97">'Div 5'!$T$48</definedName>
    <definedName name="OSRRefT22_7x_0" localSheetId="65">'Div 6'!$T$84</definedName>
    <definedName name="OSRRefT22_7x_0" localSheetId="2">Summary!$T$224</definedName>
    <definedName name="OSRRefT22_8x_0" localSheetId="41">'201'!$T$45</definedName>
    <definedName name="OSRRefT22_8x_0" localSheetId="42">'202'!$T$48</definedName>
    <definedName name="OSRRefT22_8x_0" localSheetId="43">'203'!$T$48</definedName>
    <definedName name="OSRRefT22_8x_0" localSheetId="44">'204'!$T$51</definedName>
    <definedName name="OSRRefT22_8x_0" localSheetId="45">'205'!$T$45</definedName>
    <definedName name="OSRRefT22_8x_0" localSheetId="49">'300'!$T$189</definedName>
    <definedName name="OSRRefT22_8x_0" localSheetId="50">'300 &amp; 317'!$T$213</definedName>
    <definedName name="OSRRefT22_8x_0" localSheetId="51">'301'!$T$52</definedName>
    <definedName name="OSRRefT22_8x_0" localSheetId="54">'307'!$T$93:$T$94</definedName>
    <definedName name="OSRRefT22_8x_0" localSheetId="56">'308'!$T$91</definedName>
    <definedName name="OSRRefT22_8x_0" localSheetId="68">'309'!$T$51:$T$52</definedName>
    <definedName name="OSRRefT22_8x_0" localSheetId="67">'310'!$T$59</definedName>
    <definedName name="OSRRefT22_8x_0" localSheetId="76">'310 &amp; 491'!$T$69</definedName>
    <definedName name="OSRRefT22_8x_0" localSheetId="57">'311'!$T$90</definedName>
    <definedName name="OSRRefT22_8x_0" localSheetId="69">'313'!$T$54:$T$56</definedName>
    <definedName name="OSRRefT22_8x_0" localSheetId="60">'315'!$T$102</definedName>
    <definedName name="OSRRefT22_8x_0" localSheetId="63">'316'!$T$58:$T$63</definedName>
    <definedName name="OSRRefT22_8x_0" localSheetId="66">'317'!$T$86</definedName>
    <definedName name="OSRRefT22_8x_0" localSheetId="64">'320'!$T$54</definedName>
    <definedName name="OSRRefT22_8x_0" localSheetId="70">'321'!$T$53:$T$55</definedName>
    <definedName name="OSRRefT22_8x_0" localSheetId="71">'322'!$T$50:$T$51</definedName>
    <definedName name="OSRRefT22_8x_0" localSheetId="72">'325'!$T$52</definedName>
    <definedName name="OSRRefT22_8x_0" localSheetId="61">'326'!$T$84</definedName>
    <definedName name="OSRRefT22_8x_0" localSheetId="53">'330'!$T$102:$T$103</definedName>
    <definedName name="OSRRefT22_8x_0" localSheetId="59">'331'!$T$109</definedName>
    <definedName name="OSRRefT22_8x_0" localSheetId="62">'332'!$T$67</definedName>
    <definedName name="OSRRefT22_8x_0" localSheetId="78">'405'!$T$51</definedName>
    <definedName name="OSRRefT22_8x_0" localSheetId="79">'406'!$T$51:$T$53</definedName>
    <definedName name="OSRRefT22_8x_0" localSheetId="80">'411'!$T$51</definedName>
    <definedName name="OSRRefT22_8x_0" localSheetId="81">'412'!$T$51:$T$52</definedName>
    <definedName name="OSRRefT22_8x_0" localSheetId="83">'413'!$T$52:$T$53</definedName>
    <definedName name="OSRRefT22_8x_0" localSheetId="84">'414'!$T$49:$T$50</definedName>
    <definedName name="OSRRefT22_8x_0" localSheetId="85">'415'!$T$52</definedName>
    <definedName name="OSRRefT22_8x_0" localSheetId="86">'418'!$T$53:$T$54</definedName>
    <definedName name="OSRRefT22_8x_0" localSheetId="88">'424'!$T$42:$T$43</definedName>
    <definedName name="OSRRefT22_8x_0" localSheetId="89">'425'!$T$51</definedName>
    <definedName name="OSRRefT22_8x_0" localSheetId="93">'433'!$T$54</definedName>
    <definedName name="OSRRefT22_8x_0" localSheetId="95">'444'!$T$54</definedName>
    <definedName name="OSRRefT22_8x_0" localSheetId="96">'450'!$T$54</definedName>
    <definedName name="OSRRefT22_8x_0" localSheetId="77">'491'!$T$63</definedName>
    <definedName name="OSRRefT22_8x_0" localSheetId="91">'492'!$T$57</definedName>
    <definedName name="OSRRefT22_8x_0" localSheetId="98">'501'!$T$50:$T$51</definedName>
    <definedName name="OSRRefT22_8x_0" localSheetId="39">'Div 2'!$T$52</definedName>
    <definedName name="OSRRefT22_8x_0" localSheetId="48">'Div 3'!$T$194</definedName>
    <definedName name="OSRRefT22_8x_0" localSheetId="75">'Div 4'!$T$64</definedName>
    <definedName name="OSRRefT22_8x_0" localSheetId="97">'Div 5'!$T$50:$T$51</definedName>
    <definedName name="OSRRefT22_8x_0" localSheetId="65">'Div 6'!$T$86</definedName>
    <definedName name="OSRRefT22_8x_0" localSheetId="2">Summary!$T$226</definedName>
    <definedName name="OSRRefT22_9x_0" localSheetId="41">'201'!$T$47:$T$49</definedName>
    <definedName name="OSRRefT22_9x_0" localSheetId="42">'202'!$T$50</definedName>
    <definedName name="OSRRefT22_9x_0" localSheetId="43">'203'!$T$50:$T$51</definedName>
    <definedName name="OSRRefT22_9x_0" localSheetId="44">'204'!$T$53:$T$54</definedName>
    <definedName name="OSRRefT22_9x_0" localSheetId="49">'300'!$T$191</definedName>
    <definedName name="OSRRefT22_9x_0" localSheetId="50">'300 &amp; 317'!$T$215</definedName>
    <definedName name="OSRRefT22_9x_0" localSheetId="51">'301'!$T$54</definedName>
    <definedName name="OSRRefT22_9x_0" localSheetId="54">'307'!$T$96:$T$98</definedName>
    <definedName name="OSRRefT22_9x_0" localSheetId="56">'308'!$T$93:$T$94</definedName>
    <definedName name="OSRRefT22_9x_0" localSheetId="68">'309'!$T$54:$T$56</definedName>
    <definedName name="OSRRefT22_9x_0" localSheetId="67">'310'!$T$61</definedName>
    <definedName name="OSRRefT22_9x_0" localSheetId="76">'310 &amp; 491'!$T$71:$T$72</definedName>
    <definedName name="OSRRefT22_9x_0" localSheetId="57">'311'!$T$92:$T$93</definedName>
    <definedName name="OSRRefT22_9x_0" localSheetId="69">'313'!$T$58</definedName>
    <definedName name="OSRRefT22_9x_0" localSheetId="60">'315'!$T$104:$T$107</definedName>
    <definedName name="OSRRefT22_9x_0" localSheetId="63">'316'!$T$65</definedName>
    <definedName name="OSRRefT22_9x_0" localSheetId="66">'317'!$T$88:$T$90</definedName>
    <definedName name="OSRRefT22_9x_0" localSheetId="70">'321'!$T$57:$T$60</definedName>
    <definedName name="OSRRefT22_9x_0" localSheetId="71">'322'!$T$53:$T$55</definedName>
    <definedName name="OSRRefT22_9x_0" localSheetId="72">'325'!$T$54</definedName>
    <definedName name="OSRRefT22_9x_0" localSheetId="61">'326'!$T$86</definedName>
    <definedName name="OSRRefT22_9x_0" localSheetId="53">'330'!$T$105</definedName>
    <definedName name="OSRRefT22_9x_0" localSheetId="59">'331'!$T$111</definedName>
    <definedName name="OSRRefT22_9x_0" localSheetId="62">'332'!$T$69</definedName>
    <definedName name="OSRRefT22_9x_0" localSheetId="78">'405'!$T$53:$T$54</definedName>
    <definedName name="OSRRefT22_9x_0" localSheetId="79">'406'!$T$55</definedName>
    <definedName name="OSRRefT22_9x_0" localSheetId="80">'411'!$T$53</definedName>
    <definedName name="OSRRefT22_9x_0" localSheetId="81">'412'!$T$54:$T$55</definedName>
    <definedName name="OSRRefT22_9x_0" localSheetId="83">'413'!$T$55:$T$58</definedName>
    <definedName name="OSRRefT22_9x_0" localSheetId="84">'414'!$T$52</definedName>
    <definedName name="OSRRefT22_9x_0" localSheetId="85">'415'!$T$54</definedName>
    <definedName name="OSRRefT22_9x_0" localSheetId="86">'418'!$T$56:$T$58</definedName>
    <definedName name="OSRRefT22_9x_0" localSheetId="88">'424'!$T$45</definedName>
    <definedName name="OSRRefT22_9x_0" localSheetId="89">'425'!$T$53:$T$55</definedName>
    <definedName name="OSRRefT22_9x_0" localSheetId="93">'433'!$T$56</definedName>
    <definedName name="OSRRefT22_9x_0" localSheetId="95">'444'!$T$56</definedName>
    <definedName name="OSRRefT22_9x_0" localSheetId="96">'450'!$T$56</definedName>
    <definedName name="OSRRefT22_9x_0" localSheetId="77">'491'!$T$65:$T$66</definedName>
    <definedName name="OSRRefT22_9x_0" localSheetId="91">'492'!$T$59</definedName>
    <definedName name="OSRRefT22_9x_0" localSheetId="98">'501'!$T$53:$T$55</definedName>
    <definedName name="OSRRefT22_9x_0" localSheetId="39">'Div 2'!$T$54:$T$55</definedName>
    <definedName name="OSRRefT22_9x_0" localSheetId="48">'Div 3'!$T$196</definedName>
    <definedName name="OSRRefT22_9x_0" localSheetId="75">'Div 4'!$T$66</definedName>
    <definedName name="OSRRefT22_9x_0" localSheetId="97">'Div 5'!$T$53:$T$55</definedName>
    <definedName name="OSRRefT22_9x_0" localSheetId="65">'Div 6'!$T$88:$T$90</definedName>
    <definedName name="OSRRefT22_9x_0" localSheetId="2">Summary!$T$228</definedName>
    <definedName name="OSRRefT22x_0" localSheetId="40">'200'!$T$20,'200'!$T$22,'200'!$T$24,'200'!$T$26:$T$27</definedName>
    <definedName name="OSRRefT22x_0" localSheetId="41">'201'!$T$20:$T$27,'201'!$T$29:$T$31,'201'!$T$33,'201'!$T$35,'201'!$T$37,'201'!$T$39,'201'!$T$41,'201'!$T$43,'201'!$T$45,'201'!$T$47:$T$49,'201'!$T$51:$T$53,'201'!$T$55,'201'!$T$57:$T$60,'201'!$T$62,'201'!$T$64</definedName>
    <definedName name="OSRRefT22x_0" localSheetId="42">'202'!$T$20:$T$27,'202'!$T$29:$T$32,'202'!$T$34,'202'!$T$36,'202'!$T$38:$T$39,'202'!$T$41,'202'!$T$43,'202'!$T$45:$T$46,'202'!$T$48,'202'!$T$50,'202'!$T$52:$T$54,'202'!$T$56,'202'!$T$58,'202'!$T$60</definedName>
    <definedName name="OSRRefT22x_0" localSheetId="43">'203'!$T$20:$T$29,'203'!$T$31:$T$34,'203'!$T$36,'203'!$T$38,'203'!$T$40,'203'!$T$42,'203'!$T$44,'203'!$T$46,'203'!$T$48,'203'!$T$50:$T$51,'203'!$T$53:$T$54,'203'!$T$56,'203'!$T$58:$T$61,'203'!$T$63,'203'!$T$65,'203'!$T$67</definedName>
    <definedName name="OSRRefT22x_0" localSheetId="44">'204'!$T$20:$T$28,'204'!$T$30:$T$34,'204'!$T$36,'204'!$T$38,'204'!$T$40,'204'!$T$42:$T$44,'204'!$T$46,'204'!$T$48:$T$49,'204'!$T$51,'204'!$T$53:$T$54</definedName>
    <definedName name="OSRRefT22x_0" localSheetId="45">'205'!$T$20:$T$27,'205'!$T$29,'205'!$T$31,'205'!$T$33,'205'!$T$35:$T$36,'205'!$T$38,'205'!$T$40:$T$41,'205'!$T$43,'205'!$T$45</definedName>
    <definedName name="OSRRefT22x_0" localSheetId="46">'206'!$T$20:$T$26,'206'!$T$28:$T$31,'206'!$T$33,'206'!$T$35,'206'!$T$37,'206'!$T$39:$T$40,'206'!$T$42,'206'!$T$44</definedName>
    <definedName name="OSRRefT22x_0" localSheetId="49">'300'!$T$156:$T$165,'300'!$T$167:$T$173,'300'!$T$175,'300'!$T$177,'300'!$T$179,'300'!$T$181:$T$182,'300'!$T$184:$T$185,'300'!$T$187,'300'!$T$189,'300'!$T$191,'300'!$T$193:$T$194,'300'!$T$196,'300'!$T$198,'300'!$T$200,'300'!$T$202,'300'!$T$204,'300'!$T$206:$T$209,'300'!$T$211:$T$213,'300'!$T$215:$T$218,'300'!$T$220:$T$221,'300'!$T$223:$T$229,'300'!$T$231:$T$232,'300'!$T$234,'300'!$T$236:$T$238,'300'!$T$240</definedName>
    <definedName name="OSRRefT22x_0" localSheetId="50">'300 &amp; 317'!$T$180:$T$189,'300 &amp; 317'!$T$191:$T$197,'300 &amp; 317'!$T$199,'300 &amp; 317'!$T$201,'300 &amp; 317'!$T$203,'300 &amp; 317'!$T$205:$T$206,'300 &amp; 317'!$T$208:$T$209,'300 &amp; 317'!$T$211,'300 &amp; 317'!$T$213,'300 &amp; 317'!$T$215,'300 &amp; 317'!$T$217:$T$218,'300 &amp; 317'!$T$220,'300 &amp; 317'!$T$222,'300 &amp; 317'!$T$224,'300 &amp; 317'!$T$226,'300 &amp; 317'!$T$228,'300 &amp; 317'!$T$230:$T$233,'300 &amp; 317'!$T$235:$T$237,'300 &amp; 317'!$T$239:$T$242,'300 &amp; 317'!$T$244:$T$245,'300 &amp; 317'!$T$247:$T$253,'300 &amp; 317'!$T$255:$T$256,'300 &amp; 317'!$T$258,'300 &amp; 317'!$T$260:$T$262,'300 &amp; 317'!$T$264</definedName>
    <definedName name="OSRRefT22x_0" localSheetId="51">'301'!$T$20:$T$28,'301'!$T$30:$T$36,'301'!$T$38,'301'!$T$40,'301'!$T$42,'301'!$T$44:$T$45,'301'!$T$47:$T$48,'301'!$T$50,'301'!$T$52,'301'!$T$54,'301'!$T$56,'301'!$T$58,'301'!$T$60,'301'!$T$62,'301'!$T$64,'301'!$T$66:$T$69,'301'!$T$71:$T$73,'301'!$T$75,'301'!$T$77:$T$82,'301'!$T$84,'301'!$T$86,'301'!$T$88:$T$89,'301'!$T$91</definedName>
    <definedName name="OSRRefT22x_0" localSheetId="52">'306'!$T$20:$T$28,'306'!$T$30:$T$35,'306'!$T$37,'306'!$T$39,'306'!$T$41:$T$42,'306'!$T$44</definedName>
    <definedName name="OSRRefT22x_0" localSheetId="54">'307'!$T$65:$T$72,'307'!$T$74:$T$77,'307'!$T$79,'307'!$T$81,'307'!$T$83:$T$84,'307'!$T$86,'307'!$T$88,'307'!$T$90:$T$91,'307'!$T$93:$T$94,'307'!$T$96:$T$98,'307'!$T$100</definedName>
    <definedName name="OSRRefT22x_0" localSheetId="56">'308'!$T$60:$T$68,'308'!$T$70:$T$75,'308'!$T$77,'308'!$T$79:$T$80,'308'!$T$82,'308'!$T$84,'308'!$T$86:$T$87,'308'!$T$89,'308'!$T$91,'308'!$T$93:$T$94,'308'!$T$96,'308'!$T$98:$T$100,'308'!$T$102:$T$103,'308'!$T$105,'308'!$T$107</definedName>
    <definedName name="OSRRefT22x_0" localSheetId="68">'309'!$T$24:$T$31,'309'!$T$33:$T$36,'309'!$T$38,'309'!$T$40,'309'!$T$42,'309'!$T$44,'309'!$T$46,'309'!$T$48:$T$49,'309'!$T$51:$T$52,'309'!$T$54:$T$56,'309'!$T$58</definedName>
    <definedName name="OSRRefT22x_0" localSheetId="67">'310'!$T$30:$T$37,'310'!$T$39:$T$44,'310'!$T$46,'310'!$T$48,'310'!$T$50,'310'!$T$52:$T$53,'310'!$T$55,'310'!$T$57,'310'!$T$59,'310'!$T$61,'310'!$T$63,'310'!$T$65,'310'!$T$67,'310'!$T$69:$T$71,'310'!$T$73,'310'!$T$75:$T$78,'310'!$T$80,'310'!$T$82:$T$88,'310'!$T$90,'310'!$T$92,'310'!$T$94</definedName>
    <definedName name="OSRRefT22x_0" localSheetId="76">'310 &amp; 491'!$T$37:$T$45,'310 &amp; 491'!$T$47:$T$53,'310 &amp; 491'!$T$55,'310 &amp; 491'!$T$57,'310 &amp; 491'!$T$59,'310 &amp; 491'!$T$61:$T$63,'310 &amp; 491'!$T$65,'310 &amp; 491'!$T$67,'310 &amp; 491'!$T$69,'310 &amp; 491'!$T$71:$T$72,'310 &amp; 491'!$T$74:$T$75,'310 &amp; 491'!$T$77,'310 &amp; 491'!$T$79,'310 &amp; 491'!$T$81,'310 &amp; 491'!$T$83,'310 &amp; 491'!$T$85:$T$87,'310 &amp; 491'!$T$89:$T$90,'310 &amp; 491'!$T$92:$T$96,'310 &amp; 491'!$T$98,'310 &amp; 491'!$T$100:$T$108,'310 &amp; 491'!$T$110,'310 &amp; 491'!$T$112,'310 &amp; 491'!$T$114:$T$116,'310 &amp; 491'!$T$118</definedName>
    <definedName name="OSRRefT22x_0" localSheetId="57">'311'!$T$59:$T$67,'311'!$T$69:$T$74,'311'!$T$76,'311'!$T$78:$T$79,'311'!$T$81,'311'!$T$83,'311'!$T$85:$T$86,'311'!$T$88,'311'!$T$90,'311'!$T$92:$T$93,'311'!$T$95,'311'!$T$97:$T$99,'311'!$T$101:$T$102,'311'!$T$104,'311'!$T$106</definedName>
    <definedName name="OSRRefT22x_0" localSheetId="69">'313'!$T$27:$T$34,'313'!$T$36:$T$40,'313'!$T$42,'313'!$T$44,'313'!$T$46,'313'!$T$48,'313'!$T$50,'313'!$T$52,'313'!$T$54:$T$56,'313'!$T$58,'313'!$T$60:$T$64,'313'!$T$66,'313'!$T$68</definedName>
    <definedName name="OSRRefT22x_0" localSheetId="55">'314'!$T$53:$T$59,'314'!$T$61:$T$62,'314'!$T$64,'314'!$T$66:$T$67,'314'!$T$69,'314'!$T$71</definedName>
    <definedName name="OSRRefT22x_0" localSheetId="60">'315'!$T$73:$T$80,'315'!$T$82:$T$86,'315'!$T$88,'315'!$T$90:$T$91,'315'!$T$93,'315'!$T$95,'315'!$T$97,'315'!$T$99:$T$100,'315'!$T$102,'315'!$T$104:$T$107,'315'!$T$109,'315'!$T$111</definedName>
    <definedName name="OSRRefT22x_0" localSheetId="63">'316'!$T$32:$T$39,'316'!$T$41:$T$43,'316'!$T$45,'316'!$T$47,'316'!$T$49,'316'!$T$51:$T$52,'316'!$T$54,'316'!$T$56,'316'!$T$58:$T$63,'316'!$T$65,'316'!$T$67,'316'!$T$69</definedName>
    <definedName name="OSRRefT22x_0" localSheetId="66">'317'!$T$57:$T$65,'317'!$T$67:$T$71,'317'!$T$73,'317'!$T$75,'317'!$T$77,'317'!$T$79:$T$80,'317'!$T$82,'317'!$T$84,'317'!$T$86,'317'!$T$88:$T$90,'317'!$T$92</definedName>
    <definedName name="OSRRefT22x_0" localSheetId="64">'320'!$T$28:$T$34,'320'!$T$36:$T$38,'320'!$T$40,'320'!$T$42,'320'!$T$44:$T$45,'320'!$T$47,'320'!$T$49,'320'!$T$51:$T$52,'320'!$T$54</definedName>
    <definedName name="OSRRefT22x_0" localSheetId="70">'321'!$T$24:$T$31,'321'!$T$33:$T$37,'321'!$T$39,'321'!$T$41,'321'!$T$43,'321'!$T$45,'321'!$T$47:$T$49,'321'!$T$51,'321'!$T$53:$T$55,'321'!$T$57:$T$60,'321'!$T$62,'321'!$T$64</definedName>
    <definedName name="OSRRefT22x_0" localSheetId="71">'322'!$T$24:$T$31,'322'!$T$33:$T$36,'322'!$T$38,'322'!$T$40,'322'!$T$42,'322'!$T$44,'322'!$T$46,'322'!$T$48,'322'!$T$50:$T$51,'322'!$T$53:$T$55,'322'!$T$57:$T$61,'322'!$T$63,'322'!$T$65</definedName>
    <definedName name="OSRRefT22x_0" localSheetId="72">'325'!$T$24:$T$31,'325'!$T$33:$T$37,'325'!$T$39,'325'!$T$41,'325'!$T$43,'325'!$T$45:$T$46,'325'!$T$48,'325'!$T$50,'325'!$T$52,'325'!$T$54,'325'!$T$56:$T$58,'325'!$T$60:$T$62,'325'!$T$64,'325'!$T$66:$T$70,'325'!$T$72,'325'!$T$74</definedName>
    <definedName name="OSRRefT22x_0" localSheetId="61">'326'!$T$57:$T$64,'326'!$T$66:$T$70,'326'!$T$72,'326'!$T$74,'326'!$T$76,'326'!$T$78,'326'!$T$80,'326'!$T$82,'326'!$T$84,'326'!$T$86,'326'!$T$88,'326'!$T$90,'326'!$T$92:$T$94,'326'!$T$96,'326'!$T$98:$T$100,'326'!$T$102,'326'!$T$104,'326'!$T$106</definedName>
    <definedName name="OSRRefT22x_0" localSheetId="73">'327'!$T$22</definedName>
    <definedName name="OSRRefT22x_0" localSheetId="53">'330'!$T$74:$T$81,'330'!$T$83:$T$86,'330'!$T$88,'330'!$T$90,'330'!$T$92:$T$93,'330'!$T$95,'330'!$T$97,'330'!$T$99:$T$100,'330'!$T$102:$T$103,'330'!$T$105,'330'!$T$107:$T$109,'330'!$T$111</definedName>
    <definedName name="OSRRefT22x_0" localSheetId="59">'331'!$T$81:$T$88,'331'!$T$90:$T$94,'331'!$T$96,'331'!$T$98,'331'!$T$100,'331'!$T$102:$T$103,'331'!$T$105,'331'!$T$107,'331'!$T$109,'331'!$T$111,'331'!$T$113,'331'!$T$115,'331'!$T$117,'331'!$T$119:$T$120,'331'!$T$122:$T$124,'331'!$T$126,'331'!$T$128:$T$132,'331'!$T$134,'331'!$T$136,'331'!$T$138,'331'!$T$140</definedName>
    <definedName name="OSRRefT22x_0" localSheetId="62">'332'!$T$40:$T$47,'332'!$T$49:$T$52,'332'!$T$54,'332'!$T$56,'332'!$T$58,'332'!$T$60,'332'!$T$62:$T$63,'332'!$T$65,'332'!$T$67,'332'!$T$69,'332'!$T$71,'332'!$T$73:$T$78,'332'!$T$80,'332'!$T$82,'332'!$T$84</definedName>
    <definedName name="OSRRefT22x_0" localSheetId="78">'405'!$T$24:$T$31,'405'!$T$33:$T$36,'405'!$T$38,'405'!$T$40,'405'!$T$42,'405'!$T$44:$T$45,'405'!$T$47,'405'!$T$49,'405'!$T$51,'405'!$T$53:$T$54,'405'!$T$56,'405'!$T$58:$T$60,'405'!$T$62,'405'!$T$64:$T$70,'405'!$T$72,'405'!$T$74,'405'!$T$76</definedName>
    <definedName name="OSRRefT22x_0" localSheetId="79">'406'!$T$24:$T$31,'406'!$T$33:$T$37,'406'!$T$39,'406'!$T$41,'406'!$T$43,'406'!$T$45,'406'!$T$47,'406'!$T$49,'406'!$T$51:$T$53,'406'!$T$55,'406'!$T$57:$T$61,'406'!$T$63,'406'!$T$65</definedName>
    <definedName name="OSRRefT22x_0" localSheetId="80">'411'!$T$20:$T$28,'411'!$T$30:$T$35,'411'!$T$37,'411'!$T$39,'411'!$T$41:$T$43,'411'!$T$45,'411'!$T$47,'411'!$T$49,'411'!$T$51,'411'!$T$53,'411'!$T$55:$T$56,'411'!$T$58:$T$62,'411'!$T$64:$T$69,'411'!$T$71,'411'!$T$73,'411'!$T$75:$T$77,'411'!$T$79</definedName>
    <definedName name="OSRRefT22x_0" localSheetId="81">'412'!$T$23:$T$30,'412'!$T$32:$T$37,'412'!$T$39,'412'!$T$41,'412'!$T$43,'412'!$T$45,'412'!$T$47,'412'!$T$49,'412'!$T$51:$T$52,'412'!$T$54:$T$55,'412'!$T$57:$T$61,'412'!$T$63,'412'!$T$65</definedName>
    <definedName name="OSRRefT22x_0" localSheetId="83">'413'!$T$24:$T$31,'413'!$T$33:$T$36,'413'!$T$38,'413'!$T$40,'413'!$T$42,'413'!$T$44,'413'!$T$46,'413'!$T$48:$T$50,'413'!$T$52:$T$53,'413'!$T$55:$T$58,'413'!$T$60</definedName>
    <definedName name="OSRRefT22x_0" localSheetId="84">'414'!$T$24:$T$30,'414'!$T$32:$T$35,'414'!$T$37,'414'!$T$39,'414'!$T$41,'414'!$T$43,'414'!$T$45,'414'!$T$47,'414'!$T$49:$T$50,'414'!$T$52,'414'!$T$54,'414'!$T$56,'414'!$T$58:$T$64,'414'!$T$66,'414'!$T$68</definedName>
    <definedName name="OSRRefT22x_0" localSheetId="85">'415'!$T$24:$T$31,'415'!$T$33:$T$37,'415'!$T$39,'415'!$T$41,'415'!$T$43,'415'!$T$45:$T$46,'415'!$T$48,'415'!$T$50,'415'!$T$52,'415'!$T$54,'415'!$T$56,'415'!$T$58:$T$60,'415'!$T$62:$T$66,'415'!$T$68,'415'!$T$70:$T$76,'415'!$T$78,'415'!$T$80,'415'!$T$82</definedName>
    <definedName name="OSRRefT22x_0" localSheetId="86">'418'!$T$24:$T$31,'418'!$T$33:$T$38,'418'!$T$40,'418'!$T$42,'418'!$T$44,'418'!$T$46:$T$47,'418'!$T$49,'418'!$T$51,'418'!$T$53:$T$54,'418'!$T$56:$T$58,'418'!$T$60:$T$62,'418'!$T$64,'418'!$T$66:$T$71,'418'!$T$73,'418'!$T$75</definedName>
    <definedName name="OSRRefT22x_0" localSheetId="82">'420'!$T$20:$T$21,'420'!$T$23</definedName>
    <definedName name="OSRRefT22x_0" localSheetId="87">'423'!$T$21:$T$28,'423'!$T$30,'423'!$T$32,'423'!$T$34,'423'!$T$36,'423'!$T$38</definedName>
    <definedName name="OSRRefT22x_0" localSheetId="88">'424'!$T$23,'424'!$T$25:$T$28,'424'!$T$30,'424'!$T$32,'424'!$T$34,'424'!$T$36,'424'!$T$38,'424'!$T$40,'424'!$T$42:$T$43,'424'!$T$45,'424'!$T$47:$T$48,'424'!$T$50</definedName>
    <definedName name="OSRRefT22x_0" localSheetId="89">'425'!$T$24:$T$31,'425'!$T$33:$T$37,'425'!$T$39,'425'!$T$41,'425'!$T$43,'425'!$T$45,'425'!$T$47,'425'!$T$49,'425'!$T$51,'425'!$T$53:$T$55,'425'!$T$57,'425'!$T$59:$T$60,'425'!$T$62:$T$66,'425'!$T$68,'425'!$T$70</definedName>
    <definedName name="OSRRefT22x_0" localSheetId="92">'430'!$T$20:$T$27,'430'!$T$29,'430'!$T$31,'430'!$T$33,'430'!$T$35:$T$36,'430'!$T$38,'430'!$T$40,'430'!$T$42</definedName>
    <definedName name="OSRRefT22x_0" localSheetId="93">'433'!$T$25:$T$33,'433'!$T$35:$T$40,'433'!$T$42,'433'!$T$44,'433'!$T$46,'433'!$T$48,'433'!$T$50,'433'!$T$52,'433'!$T$54,'433'!$T$56,'433'!$T$58,'433'!$T$60,'433'!$T$62:$T$64,'433'!$T$66:$T$72,'433'!$T$74,'433'!$T$76,'433'!$T$78</definedName>
    <definedName name="OSRRefT22x_0" localSheetId="94">'435'!$T$25:$T$27,'435'!$T$29:$T$30,'435'!$T$32,'435'!$T$34,'435'!$T$36,'435'!$T$38,'435'!$T$40:$T$41,'435'!$T$43</definedName>
    <definedName name="OSRRefT22x_0" localSheetId="95">'444'!$T$25:$T$33,'444'!$T$35:$T$40,'444'!$T$42,'444'!$T$44,'444'!$T$46,'444'!$T$48,'444'!$T$50,'444'!$T$52,'444'!$T$54,'444'!$T$56,'444'!$T$58,'444'!$T$60:$T$61,'444'!$T$63:$T$65,'444'!$T$67:$T$74,'444'!$T$76,'444'!$T$78,'444'!$T$80</definedName>
    <definedName name="OSRRefT22x_0" localSheetId="96">'450'!$T$25:$T$33,'450'!$T$35:$T$40,'450'!$T$42,'450'!$T$44,'450'!$T$46,'450'!$T$48,'450'!$T$50,'450'!$T$52,'450'!$T$54,'450'!$T$56,'450'!$T$58,'450'!$T$60,'450'!$T$62,'450'!$T$64:$T$66,'450'!$T$68:$T$73,'450'!$T$75,'450'!$T$77,'450'!$T$79</definedName>
    <definedName name="OSRRefT22x_0" localSheetId="90">'455'!$T$20:$T$26,'455'!$T$28:$T$29</definedName>
    <definedName name="OSRRefT22x_0" localSheetId="77">'491'!$T$31:$T$39,'491'!$T$41:$T$47,'491'!$T$49,'491'!$T$51,'491'!$T$53,'491'!$T$55:$T$57,'491'!$T$59,'491'!$T$61,'491'!$T$63,'491'!$T$65:$T$66,'491'!$T$68,'491'!$T$70,'491'!$T$72,'491'!$T$74,'491'!$T$76:$T$78,'491'!$T$80:$T$81,'491'!$T$83:$T$87,'491'!$T$89,'491'!$T$91:$T$99,'491'!$T$101,'491'!$T$103,'491'!$T$105:$T$107,'491'!$T$109</definedName>
    <definedName name="OSRRefT22x_0" localSheetId="91">'492'!$T$27:$T$35,'492'!$T$37:$T$43,'492'!$T$45,'492'!$T$47,'492'!$T$49,'492'!$T$51,'492'!$T$53,'492'!$T$55,'492'!$T$57,'492'!$T$59,'492'!$T$61,'492'!$T$63,'492'!$T$65:$T$67,'492'!$T$69:$T$71,'492'!$T$73:$T$80,'492'!$T$82,'492'!$T$84,'492'!$T$86</definedName>
    <definedName name="OSRRefT22x_0" localSheetId="98">'501'!$T$21:$T$29,'501'!$T$31:$T$35,'501'!$T$37,'501'!$T$39,'501'!$T$41,'501'!$T$43:$T$44,'501'!$T$46,'501'!$T$48,'501'!$T$50:$T$51,'501'!$T$53:$T$55,'501'!$T$57</definedName>
    <definedName name="OSRRefT22x_0" localSheetId="39">'Div 2'!$T$20:$T$30,'Div 2'!$T$32:$T$38,'Div 2'!$T$40,'Div 2'!$T$42,'Div 2'!$T$44,'Div 2'!$T$46,'Div 2'!$T$48,'Div 2'!$T$50,'Div 2'!$T$52,'Div 2'!$T$54:$T$55,'Div 2'!$T$57,'Div 2'!$T$59,'Div 2'!$T$61:$T$64,'Div 2'!$T$66:$T$68,'Div 2'!$T$70:$T$71,'Div 2'!$T$73,'Div 2'!$T$75:$T$79,'Div 2'!$T$81:$T$82,'Div 2'!$T$84,'Div 2'!$T$86:$T$87</definedName>
    <definedName name="OSRRefT22x_0" localSheetId="48">'Div 3'!$T$161:$T$170,'Div 3'!$T$172:$T$178,'Div 3'!$T$180,'Div 3'!$T$182,'Div 3'!$T$184,'Div 3'!$T$186:$T$187,'Div 3'!$T$189:$T$190,'Div 3'!$T$192,'Div 3'!$T$194,'Div 3'!$T$196,'Div 3'!$T$198:$T$199,'Div 3'!$T$201,'Div 3'!$T$203,'Div 3'!$T$205,'Div 3'!$T$207,'Div 3'!$T$209,'Div 3'!$T$211,'Div 3'!$T$213:$T$216,'Div 3'!$T$218:$T$220,'Div 3'!$T$222:$T$226,'Div 3'!$T$228:$T$229,'Div 3'!$T$231:$T$237,'Div 3'!$T$239:$T$240,'Div 3'!$T$242,'Div 3'!$T$244:$T$246,'Div 3'!$T$248</definedName>
    <definedName name="OSRRefT22x_0" localSheetId="75">'Div 4'!$T$32:$T$40,'Div 4'!$T$42:$T$48,'Div 4'!$T$50,'Div 4'!$T$52,'Div 4'!$T$54,'Div 4'!$T$56:$T$58,'Div 4'!$T$60,'Div 4'!$T$62,'Div 4'!$T$64,'Div 4'!$T$66,'Div 4'!$T$68:$T$69,'Div 4'!$T$71,'Div 4'!$T$73,'Div 4'!$T$75,'Div 4'!$T$77,'Div 4'!$T$79,'Div 4'!$T$81:$T$83,'Div 4'!$T$85:$T$86,'Div 4'!$T$88:$T$92,'Div 4'!$T$94,'Div 4'!$T$96:$T$104,'Div 4'!$T$106,'Div 4'!$T$108,'Div 4'!$T$110:$T$112,'Div 4'!$T$114</definedName>
    <definedName name="OSRRefT22x_0" localSheetId="97">'Div 5'!$T$21:$T$29,'Div 5'!$T$31:$T$35,'Div 5'!$T$37,'Div 5'!$T$39,'Div 5'!$T$41,'Div 5'!$T$43:$T$44,'Div 5'!$T$46,'Div 5'!$T$48,'Div 5'!$T$50:$T$51,'Div 5'!$T$53:$T$55,'Div 5'!$T$57</definedName>
    <definedName name="OSRRefT22x_0" localSheetId="65">'Div 6'!$T$57:$T$65,'Div 6'!$T$67:$T$71,'Div 6'!$T$73,'Div 6'!$T$75,'Div 6'!$T$77,'Div 6'!$T$79:$T$80,'Div 6'!$T$82,'Div 6'!$T$84,'Div 6'!$T$86,'Div 6'!$T$88:$T$90,'Div 6'!$T$92</definedName>
    <definedName name="OSRRefT22x_0" localSheetId="2">Summary!$T$192:$T$201,Summary!$T$203:$T$209,Summary!$T$211,Summary!$T$213,Summary!$T$215,Summary!$T$217:$T$219,Summary!$T$221:$T$222,Summary!$T$224,Summary!$T$226,Summary!$T$228,Summary!$T$230:$T$231,Summary!$T$233:$T$234,Summary!$T$236,Summary!$T$238,Summary!$T$240,Summary!$T$242,Summary!$T$244,Summary!$T$246,Summary!$T$248:$T$251,Summary!$T$253:$T$255,Summary!$T$257:$T$261,Summary!$T$263:$T$264,Summary!$T$266:$T$274,Summary!$T$276:$T$277,Summary!$T$279,Summary!$T$281:$T$283,Summary!$T$285</definedName>
    <definedName name="OSRRefT25x_0" localSheetId="49">'300'!$T$243:$T$250</definedName>
    <definedName name="OSRRefT25x_0" localSheetId="50">'300 &amp; 317'!$T$267:$T$276</definedName>
    <definedName name="OSRRefT25x_0" localSheetId="51">'301'!$T$94:$T$95</definedName>
    <definedName name="OSRRefT25x_0" localSheetId="56">'308'!$T$110:$T$112</definedName>
    <definedName name="OSRRefT25x_0" localSheetId="76">'310 &amp; 491'!$T$121:$T$123</definedName>
    <definedName name="OSRRefT25x_0" localSheetId="57">'311'!$T$109:$T$111</definedName>
    <definedName name="OSRRefT25x_0" localSheetId="60">'315'!$T$114:$T$115</definedName>
    <definedName name="OSRRefT25x_0" localSheetId="63">'316'!$T$72</definedName>
    <definedName name="OSRRefT25x_0" localSheetId="66">'317'!$T$95:$T$97</definedName>
    <definedName name="OSRRefT25x_0" localSheetId="64">'320'!$T$57:$T$60</definedName>
    <definedName name="OSRRefT25x_0" localSheetId="59">'331'!$T$143:$T$144</definedName>
    <definedName name="OSRRefT25x_0" localSheetId="62">'332'!$T$87:$T$91</definedName>
    <definedName name="OSRRefT25x_0" localSheetId="80">'411'!$T$82:$T$83</definedName>
    <definedName name="OSRRefT25x_0" localSheetId="83">'413'!$T$63</definedName>
    <definedName name="OSRRefT25x_0" localSheetId="86">'418'!$T$78</definedName>
    <definedName name="OSRRefT25x_0" localSheetId="87">'423'!$T$41</definedName>
    <definedName name="OSRRefT25x_0" localSheetId="88">'424'!$T$53</definedName>
    <definedName name="OSRRefT25x_0" localSheetId="89">'425'!$T$73</definedName>
    <definedName name="OSRRefT25x_0" localSheetId="90">'455'!$T$32:$T$33</definedName>
    <definedName name="OSRRefT25x_0" localSheetId="77">'491'!$T$112:$T$114</definedName>
    <definedName name="OSRRefT25x_0" localSheetId="98">'501'!$T$60</definedName>
    <definedName name="OSRRefT25x_0" localSheetId="48">'Div 3'!$T$251:$T$258</definedName>
    <definedName name="OSRRefT25x_0" localSheetId="75">'Div 4'!$T$117:$T$119</definedName>
    <definedName name="OSRRefT25x_0" localSheetId="97">'Div 5'!$T$60</definedName>
    <definedName name="OSRRefT25x_0" localSheetId="65">'Div 6'!$T$95:$T$97</definedName>
    <definedName name="OSRRefT25x_0" localSheetId="2">Summary!$T$288:$T$298</definedName>
    <definedName name="_xlnm.Print_Area" localSheetId="38">'100'!$A$1:$Z$34</definedName>
    <definedName name="_xlnm.Print_Area" localSheetId="40">'200'!$A$1:$Z$41</definedName>
    <definedName name="_xlnm.Print_Area" localSheetId="41">'201'!$A$1:$Z$78</definedName>
    <definedName name="_xlnm.Print_Area" localSheetId="42">'202'!$A$1:$Z$74</definedName>
    <definedName name="_xlnm.Print_Area" localSheetId="43">'203'!$A$1:$Z$81</definedName>
    <definedName name="_xlnm.Print_Area" localSheetId="44">'204'!$A$1:$Z$68</definedName>
    <definedName name="_xlnm.Print_Area" localSheetId="45">'205'!$A$1:$Z$59</definedName>
    <definedName name="_xlnm.Print_Area" localSheetId="46">'206'!$A$1:$Z$58</definedName>
    <definedName name="_xlnm.Print_Area" localSheetId="47">'207'!$A$1:$Z$32</definedName>
    <definedName name="_xlnm.Print_Area" localSheetId="49">'300'!$A$1:$Z$262</definedName>
    <definedName name="_xlnm.Print_Area" localSheetId="50">'300 &amp; 317'!$A$1:$Z$288</definedName>
    <definedName name="_xlnm.Print_Area" localSheetId="51">'301'!$A$1:$Z$107</definedName>
    <definedName name="_xlnm.Print_Area" localSheetId="52">'306'!$A$1:$Z$58</definedName>
    <definedName name="_xlnm.Print_Area" localSheetId="54">'307'!$A$1:$Z$114</definedName>
    <definedName name="_xlnm.Print_Area" localSheetId="56">'308'!$A$1:$Z$124</definedName>
    <definedName name="_xlnm.Print_Area" localSheetId="68">'309'!$A$1:$Z$72</definedName>
    <definedName name="_xlnm.Print_Area" localSheetId="67">'310'!$A$1:$Z$108</definedName>
    <definedName name="_xlnm.Print_Area" localSheetId="76">'310 &amp; 491'!$A$1:$Z$135</definedName>
    <definedName name="_xlnm.Print_Area" localSheetId="57">'311'!$A$1:$Z$123</definedName>
    <definedName name="_xlnm.Print_Area" localSheetId="69">'313'!$A$1:$Z$82</definedName>
    <definedName name="_xlnm.Print_Area" localSheetId="55">'314'!$A$1:$Z$85</definedName>
    <definedName name="_xlnm.Print_Area" localSheetId="60">'315'!$A$1:$Z$127</definedName>
    <definedName name="_xlnm.Print_Area" localSheetId="63">'316'!$A$1:$Z$84</definedName>
    <definedName name="_xlnm.Print_Area" localSheetId="66">'317'!$A$1:$Z$109</definedName>
    <definedName name="_xlnm.Print_Area" localSheetId="64">'320'!$A$1:$Z$72</definedName>
    <definedName name="_xlnm.Print_Area" localSheetId="70">'321'!$A$1:$Z$78</definedName>
    <definedName name="_xlnm.Print_Area" localSheetId="71">'322'!$A$1:$Z$79</definedName>
    <definedName name="_xlnm.Print_Area" localSheetId="58">'324'!$A$1:$Z$37</definedName>
    <definedName name="_xlnm.Print_Area" localSheetId="72">'325'!$A$1:$Z$88</definedName>
    <definedName name="_xlnm.Print_Area" localSheetId="61">'326'!$A$1:$Z$120</definedName>
    <definedName name="_xlnm.Print_Area" localSheetId="73">'327'!$A$1:$Z$36</definedName>
    <definedName name="_xlnm.Print_Area" localSheetId="53">'330'!$A$1:$Z$125</definedName>
    <definedName name="_xlnm.Print_Area" localSheetId="59">'331'!$A$1:$Z$156</definedName>
    <definedName name="_xlnm.Print_Area" localSheetId="62">'332'!$A$1:$Z$103</definedName>
    <definedName name="_xlnm.Print_Area" localSheetId="74">'335'!$A$1:$Z$32</definedName>
    <definedName name="_xlnm.Print_Area" localSheetId="78">'405'!$A$1:$Z$90</definedName>
    <definedName name="_xlnm.Print_Area" localSheetId="79">'406'!$A$1:$Z$79</definedName>
    <definedName name="_xlnm.Print_Area" localSheetId="80">'411'!$A$1:$Z$95</definedName>
    <definedName name="_xlnm.Print_Area" localSheetId="81">'412'!$A$1:$Z$79</definedName>
    <definedName name="_xlnm.Print_Area" localSheetId="83">'413'!$A$1:$Z$75</definedName>
    <definedName name="_xlnm.Print_Area" localSheetId="84">'414'!$A$1:$Z$82</definedName>
    <definedName name="_xlnm.Print_Area" localSheetId="85">'415'!$A$1:$Z$96</definedName>
    <definedName name="_xlnm.Print_Area" localSheetId="86">'418'!$A$1:$Z$90</definedName>
    <definedName name="_xlnm.Print_Area" localSheetId="82">'420'!$A$1:$Z$37</definedName>
    <definedName name="_xlnm.Print_Area" localSheetId="87">'423'!$A$1:$Z$53</definedName>
    <definedName name="_xlnm.Print_Area" localSheetId="88">'424'!$A$1:$Z$65</definedName>
    <definedName name="_xlnm.Print_Area" localSheetId="89">'425'!$A$1:$Z$85</definedName>
    <definedName name="_xlnm.Print_Area" localSheetId="92">'430'!$A$1:$Z$56</definedName>
    <definedName name="_xlnm.Print_Area" localSheetId="93">'433'!$A$1:$Z$92</definedName>
    <definedName name="_xlnm.Print_Area" localSheetId="94">'435'!$A$1:$Z$57</definedName>
    <definedName name="_xlnm.Print_Area" localSheetId="95">'444'!$A$1:$Z$94</definedName>
    <definedName name="_xlnm.Print_Area" localSheetId="96">'450'!$A$1:$Z$93</definedName>
    <definedName name="_xlnm.Print_Area" localSheetId="90">'455'!$A$1:$Z$45</definedName>
    <definedName name="_xlnm.Print_Area" localSheetId="77">'491'!$A$1:$Z$126</definedName>
    <definedName name="_xlnm.Print_Area" localSheetId="91">'492'!$A$1:$Z$100</definedName>
    <definedName name="_xlnm.Print_Area" localSheetId="98">'501'!$A$1:$Z$72</definedName>
    <definedName name="_xlnm.Print_Area" localSheetId="99">Dept!$A$1:$Z$39</definedName>
    <definedName name="_xlnm.Print_Area" localSheetId="5">'Div 1'!$A$1:$Z$34</definedName>
    <definedName name="_xlnm.Print_Area" localSheetId="39">'Div 2'!$A$1:$Z$101</definedName>
    <definedName name="_xlnm.Print_Area" localSheetId="48">'Div 3'!$A$1:$Z$270</definedName>
    <definedName name="_xlnm.Print_Area" localSheetId="75">'Div 4'!$A$1:$Z$131</definedName>
    <definedName name="_xlnm.Print_Area" localSheetId="97">'Div 5'!$A$1:$Z$72</definedName>
    <definedName name="_xlnm.Print_Area" localSheetId="65">'Div 6'!$A$1:$Z$109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100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101">'OSR_Summary (...56e5d78f_5JEYZH'!$A$1:$Z$39</definedName>
    <definedName name="_xlnm.Print_Area" localSheetId="3">OSR_Summary_18VAVWG!$A$1:$Z$39</definedName>
    <definedName name="_xlnm.Print_Area" localSheetId="2">Summary!$A$1:$Z$312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7">'207'!$A:$C,'207'!$1:$10</definedName>
    <definedName name="_xlnm.Print_Titles" localSheetId="49">'300'!$A:$C,'300'!$1:$10</definedName>
    <definedName name="_xlnm.Print_Titles" localSheetId="50">'300 &amp; 317'!$A:$C,'300 &amp; 317'!$1:$10</definedName>
    <definedName name="_xlnm.Print_Titles" localSheetId="51">'301'!$A:$C,'301'!$1:$10</definedName>
    <definedName name="_xlnm.Print_Titles" localSheetId="52">'306'!$A:$C,'306'!$1:$10</definedName>
    <definedName name="_xlnm.Print_Titles" localSheetId="54">'307'!$A:$C,'307'!$1:$10</definedName>
    <definedName name="_xlnm.Print_Titles" localSheetId="56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6">'310 &amp; 491'!$A:$C,'310 &amp; 491'!$1:$10</definedName>
    <definedName name="_xlnm.Print_Titles" localSheetId="57">'311'!$A:$C,'311'!$1:$10</definedName>
    <definedName name="_xlnm.Print_Titles" localSheetId="69">'313'!$A:$C,'313'!$1:$10</definedName>
    <definedName name="_xlnm.Print_Titles" localSheetId="55">'314'!$A:$C,'314'!$1:$10</definedName>
    <definedName name="_xlnm.Print_Titles" localSheetId="60">'315'!$A:$C,'315'!$1:$10</definedName>
    <definedName name="_xlnm.Print_Titles" localSheetId="63">'316'!$A:$C,'316'!$1:$10</definedName>
    <definedName name="_xlnm.Print_Titles" localSheetId="66">'317'!$A:$C,'317'!$1:$10</definedName>
    <definedName name="_xlnm.Print_Titles" localSheetId="64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8">'324'!$A:$C,'324'!$1:$10</definedName>
    <definedName name="_xlnm.Print_Titles" localSheetId="72">'325'!$A:$C,'325'!$1:$10</definedName>
    <definedName name="_xlnm.Print_Titles" localSheetId="61">'326'!$A:$C,'326'!$1:$10</definedName>
    <definedName name="_xlnm.Print_Titles" localSheetId="73">'327'!$A:$C,'327'!$1:$10</definedName>
    <definedName name="_xlnm.Print_Titles" localSheetId="53">'330'!$A:$C,'330'!$1:$10</definedName>
    <definedName name="_xlnm.Print_Titles" localSheetId="59">'331'!$A:$C,'331'!$1:$10</definedName>
    <definedName name="_xlnm.Print_Titles" localSheetId="62">'332'!$A:$C,'332'!$1:$10</definedName>
    <definedName name="_xlnm.Print_Titles" localSheetId="74">'335'!$A:$C,'335'!$1:$10</definedName>
    <definedName name="_xlnm.Print_Titles" localSheetId="78">'405'!$A:$C,'405'!$1:$10</definedName>
    <definedName name="_xlnm.Print_Titles" localSheetId="79">'406'!$A:$C,'406'!$1:$10</definedName>
    <definedName name="_xlnm.Print_Titles" localSheetId="80">'411'!$A:$C,'411'!$1:$10</definedName>
    <definedName name="_xlnm.Print_Titles" localSheetId="81">'412'!$A:$C,'412'!$1:$10</definedName>
    <definedName name="_xlnm.Print_Titles" localSheetId="83">'413'!$A:$C,'413'!$1:$10</definedName>
    <definedName name="_xlnm.Print_Titles" localSheetId="84">'414'!$A:$C,'414'!$1:$10</definedName>
    <definedName name="_xlnm.Print_Titles" localSheetId="85">'415'!$A:$C,'415'!$1:$10</definedName>
    <definedName name="_xlnm.Print_Titles" localSheetId="86">'418'!$A:$C,'418'!$1:$10</definedName>
    <definedName name="_xlnm.Print_Titles" localSheetId="82">'420'!$A:$C,'420'!$1:$10</definedName>
    <definedName name="_xlnm.Print_Titles" localSheetId="87">'423'!$A:$C,'423'!$1:$10</definedName>
    <definedName name="_xlnm.Print_Titles" localSheetId="88">'424'!$A:$C,'424'!$1:$10</definedName>
    <definedName name="_xlnm.Print_Titles" localSheetId="89">'425'!$A:$C,'425'!$1:$10</definedName>
    <definedName name="_xlnm.Print_Titles" localSheetId="92">'430'!$A:$C,'430'!$1:$10</definedName>
    <definedName name="_xlnm.Print_Titles" localSheetId="93">'433'!$A:$C,'433'!$1:$10</definedName>
    <definedName name="_xlnm.Print_Titles" localSheetId="94">'435'!$A:$C,'435'!$1:$10</definedName>
    <definedName name="_xlnm.Print_Titles" localSheetId="95">'444'!$A:$C,'444'!$1:$10</definedName>
    <definedName name="_xlnm.Print_Titles" localSheetId="96">'450'!$A:$C,'450'!$1:$10</definedName>
    <definedName name="_xlnm.Print_Titles" localSheetId="90">'455'!$A:$C,'455'!$1:$10</definedName>
    <definedName name="_xlnm.Print_Titles" localSheetId="77">'491'!$A:$C,'491'!$1:$10</definedName>
    <definedName name="_xlnm.Print_Titles" localSheetId="91">'492'!$A:$C,'492'!$1:$10</definedName>
    <definedName name="_xlnm.Print_Titles" localSheetId="98">'501'!$A:$C,'501'!$1:$10</definedName>
    <definedName name="_xlnm.Print_Titles" localSheetId="99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8">'Div 3'!$A:$C,'Div 3'!$1:$10</definedName>
    <definedName name="_xlnm.Print_Titles" localSheetId="75">'Div 4'!$A:$C,'Div 4'!$1:$10</definedName>
    <definedName name="_xlnm.Print_Titles" localSheetId="97">'Div 5'!$A:$C,'Div 5'!$1:$10</definedName>
    <definedName name="_xlnm.Print_Titles" localSheetId="65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100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101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X64" i="109" l="1"/>
  <c r="Z64" i="109" s="1"/>
  <c r="N64" i="109"/>
  <c r="L64" i="109"/>
  <c r="T60" i="109"/>
  <c r="P60" i="109"/>
  <c r="X60" i="109" s="1"/>
  <c r="H60" i="109"/>
  <c r="H59" i="109" s="1"/>
  <c r="D60" i="109"/>
  <c r="B60" i="109"/>
  <c r="T59" i="109"/>
  <c r="D59" i="109"/>
  <c r="Z57" i="109"/>
  <c r="X57" i="109"/>
  <c r="N57" i="109"/>
  <c r="L57" i="109"/>
  <c r="B57" i="109"/>
  <c r="T56" i="109"/>
  <c r="P56" i="109"/>
  <c r="X56" i="109" s="1"/>
  <c r="L56" i="109"/>
  <c r="N56" i="109" s="1"/>
  <c r="H56" i="109"/>
  <c r="D56" i="109"/>
  <c r="B56" i="109"/>
  <c r="Z55" i="109"/>
  <c r="X55" i="109"/>
  <c r="N55" i="109"/>
  <c r="L55" i="109"/>
  <c r="B55" i="109"/>
  <c r="Z54" i="109"/>
  <c r="X54" i="109"/>
  <c r="L54" i="109"/>
  <c r="N54" i="109" s="1"/>
  <c r="B54" i="109"/>
  <c r="Z53" i="109"/>
  <c r="X53" i="109"/>
  <c r="N53" i="109"/>
  <c r="L53" i="109"/>
  <c r="J53" i="109"/>
  <c r="B53" i="109"/>
  <c r="T52" i="109"/>
  <c r="P52" i="109"/>
  <c r="H52" i="109"/>
  <c r="D52" i="109"/>
  <c r="L52" i="109" s="1"/>
  <c r="B52" i="109"/>
  <c r="Z51" i="109"/>
  <c r="X51" i="109"/>
  <c r="N51" i="109"/>
  <c r="L51" i="109"/>
  <c r="B51" i="109"/>
  <c r="X50" i="109"/>
  <c r="Z50" i="109" s="1"/>
  <c r="L50" i="109"/>
  <c r="N50" i="109" s="1"/>
  <c r="B50" i="109"/>
  <c r="T49" i="109"/>
  <c r="P49" i="109"/>
  <c r="X49" i="109" s="1"/>
  <c r="H49" i="109"/>
  <c r="D49" i="109"/>
  <c r="L49" i="109" s="1"/>
  <c r="N49" i="109" s="1"/>
  <c r="B49" i="109"/>
  <c r="X48" i="109"/>
  <c r="Z48" i="109" s="1"/>
  <c r="R48" i="109"/>
  <c r="L48" i="109"/>
  <c r="N48" i="109" s="1"/>
  <c r="B48" i="109"/>
  <c r="X47" i="109"/>
  <c r="T47" i="109"/>
  <c r="Z47" i="109" s="1"/>
  <c r="P47" i="109"/>
  <c r="H47" i="109"/>
  <c r="L47" i="109" s="1"/>
  <c r="N47" i="109" s="1"/>
  <c r="D47" i="109"/>
  <c r="B47" i="109"/>
  <c r="Z46" i="109"/>
  <c r="X46" i="109"/>
  <c r="R46" i="109"/>
  <c r="L46" i="109"/>
  <c r="N46" i="109" s="1"/>
  <c r="B46" i="109"/>
  <c r="T45" i="109"/>
  <c r="P45" i="109"/>
  <c r="X45" i="109" s="1"/>
  <c r="Z45" i="109" s="1"/>
  <c r="J45" i="109"/>
  <c r="H45" i="109"/>
  <c r="D45" i="109"/>
  <c r="L45" i="109" s="1"/>
  <c r="N45" i="109" s="1"/>
  <c r="B45" i="109"/>
  <c r="Z44" i="109"/>
  <c r="X44" i="109"/>
  <c r="N44" i="109"/>
  <c r="L44" i="109"/>
  <c r="B44" i="109"/>
  <c r="Z43" i="109"/>
  <c r="X43" i="109"/>
  <c r="N43" i="109"/>
  <c r="L43" i="109"/>
  <c r="B43" i="109"/>
  <c r="Z42" i="109"/>
  <c r="X42" i="109"/>
  <c r="T42" i="109"/>
  <c r="P42" i="109"/>
  <c r="H42" i="109"/>
  <c r="N42" i="109" s="1"/>
  <c r="D42" i="109"/>
  <c r="L42" i="109" s="1"/>
  <c r="B42" i="109"/>
  <c r="Z41" i="109"/>
  <c r="X41" i="109"/>
  <c r="N41" i="109"/>
  <c r="L41" i="109"/>
  <c r="B41" i="109"/>
  <c r="T40" i="109"/>
  <c r="P40" i="109"/>
  <c r="L40" i="109"/>
  <c r="N40" i="109" s="1"/>
  <c r="H40" i="109"/>
  <c r="D40" i="109"/>
  <c r="B40" i="109"/>
  <c r="Z39" i="109"/>
  <c r="X39" i="109"/>
  <c r="L39" i="109"/>
  <c r="N39" i="109" s="1"/>
  <c r="J39" i="109"/>
  <c r="B39" i="109"/>
  <c r="T38" i="109"/>
  <c r="P38" i="109"/>
  <c r="H38" i="109"/>
  <c r="D38" i="109"/>
  <c r="B38" i="109"/>
  <c r="X37" i="109"/>
  <c r="Z37" i="109" s="1"/>
  <c r="N37" i="109"/>
  <c r="L37" i="109"/>
  <c r="B37" i="109"/>
  <c r="T36" i="109"/>
  <c r="Z36" i="109" s="1"/>
  <c r="P36" i="109"/>
  <c r="X36" i="109" s="1"/>
  <c r="N36" i="109"/>
  <c r="L36" i="109"/>
  <c r="H36" i="109"/>
  <c r="D36" i="109"/>
  <c r="B36" i="109"/>
  <c r="X35" i="109"/>
  <c r="Z35" i="109" s="1"/>
  <c r="N35" i="109"/>
  <c r="L35" i="109"/>
  <c r="J35" i="109"/>
  <c r="B35" i="109"/>
  <c r="X34" i="109"/>
  <c r="Z34" i="109" s="1"/>
  <c r="N34" i="109"/>
  <c r="L34" i="109"/>
  <c r="B34" i="109"/>
  <c r="Z33" i="109"/>
  <c r="X33" i="109"/>
  <c r="N33" i="109"/>
  <c r="L33" i="109"/>
  <c r="B33" i="109"/>
  <c r="X32" i="109"/>
  <c r="Z32" i="109" s="1"/>
  <c r="R32" i="109"/>
  <c r="L32" i="109"/>
  <c r="N32" i="109" s="1"/>
  <c r="B32" i="109"/>
  <c r="Z31" i="109"/>
  <c r="X31" i="109"/>
  <c r="N31" i="109"/>
  <c r="L31" i="109"/>
  <c r="J31" i="109"/>
  <c r="B31" i="109"/>
  <c r="X30" i="109"/>
  <c r="Z30" i="109" s="1"/>
  <c r="T30" i="109"/>
  <c r="P30" i="109"/>
  <c r="H30" i="109"/>
  <c r="D30" i="109"/>
  <c r="L30" i="109" s="1"/>
  <c r="B30" i="109"/>
  <c r="Z29" i="109"/>
  <c r="X29" i="109"/>
  <c r="L29" i="109"/>
  <c r="N29" i="109" s="1"/>
  <c r="J29" i="109"/>
  <c r="B29" i="109"/>
  <c r="X28" i="109"/>
  <c r="Z28" i="109" s="1"/>
  <c r="R28" i="109"/>
  <c r="N28" i="109"/>
  <c r="L28" i="109"/>
  <c r="B28" i="109"/>
  <c r="Z27" i="109"/>
  <c r="X27" i="109"/>
  <c r="N27" i="109"/>
  <c r="L27" i="109"/>
  <c r="J27" i="109"/>
  <c r="B27" i="109"/>
  <c r="Z26" i="109"/>
  <c r="X26" i="109"/>
  <c r="R26" i="109"/>
  <c r="N26" i="109"/>
  <c r="L26" i="109"/>
  <c r="B26" i="109"/>
  <c r="Z25" i="109"/>
  <c r="X25" i="109"/>
  <c r="L25" i="109"/>
  <c r="N25" i="109" s="1"/>
  <c r="J25" i="109"/>
  <c r="B25" i="109"/>
  <c r="X24" i="109"/>
  <c r="Z24" i="109" s="1"/>
  <c r="R24" i="109"/>
  <c r="L24" i="109"/>
  <c r="N24" i="109" s="1"/>
  <c r="B24" i="109"/>
  <c r="Z23" i="109"/>
  <c r="X23" i="109"/>
  <c r="N23" i="109"/>
  <c r="L23" i="109"/>
  <c r="J23" i="109"/>
  <c r="B23" i="109"/>
  <c r="Z22" i="109"/>
  <c r="X22" i="109"/>
  <c r="R22" i="109"/>
  <c r="L22" i="109"/>
  <c r="N22" i="109" s="1"/>
  <c r="B22" i="109"/>
  <c r="Z21" i="109"/>
  <c r="X21" i="109"/>
  <c r="L21" i="109"/>
  <c r="N21" i="109" s="1"/>
  <c r="J21" i="109"/>
  <c r="B21" i="109"/>
  <c r="T20" i="109"/>
  <c r="P20" i="109"/>
  <c r="H20" i="109"/>
  <c r="D20" i="109"/>
  <c r="L20" i="109" s="1"/>
  <c r="B20" i="109"/>
  <c r="Z19" i="109"/>
  <c r="T19" i="109"/>
  <c r="P19" i="109"/>
  <c r="X19" i="109" s="1"/>
  <c r="J19" i="109"/>
  <c r="H19" i="109"/>
  <c r="D19" i="109"/>
  <c r="L19" i="109" s="1"/>
  <c r="J17" i="109"/>
  <c r="Z15" i="109"/>
  <c r="T15" i="109"/>
  <c r="P15" i="109"/>
  <c r="X15" i="109" s="1"/>
  <c r="J15" i="109"/>
  <c r="H15" i="109"/>
  <c r="H17" i="109" s="1"/>
  <c r="D15" i="109"/>
  <c r="L15" i="109" s="1"/>
  <c r="T13" i="109"/>
  <c r="P13" i="109"/>
  <c r="L13" i="109"/>
  <c r="N13" i="109" s="1"/>
  <c r="H13" i="109"/>
  <c r="D13" i="109"/>
  <c r="D12" i="109" s="1"/>
  <c r="B13" i="109"/>
  <c r="P12" i="109"/>
  <c r="R47" i="109" s="1"/>
  <c r="H12" i="109"/>
  <c r="J64" i="109" s="1"/>
  <c r="D6" i="109"/>
  <c r="D4" i="109"/>
  <c r="V42" i="108"/>
  <c r="F42" i="108"/>
  <c r="Z37" i="108"/>
  <c r="X37" i="108"/>
  <c r="N37" i="108"/>
  <c r="L37" i="108"/>
  <c r="V33" i="108"/>
  <c r="T33" i="108"/>
  <c r="P33" i="108"/>
  <c r="X33" i="108" s="1"/>
  <c r="Z33" i="108" s="1"/>
  <c r="L33" i="108"/>
  <c r="N33" i="108" s="1"/>
  <c r="H33" i="108"/>
  <c r="D33" i="108"/>
  <c r="B33" i="108"/>
  <c r="T32" i="108"/>
  <c r="P32" i="108"/>
  <c r="X32" i="108" s="1"/>
  <c r="H32" i="108"/>
  <c r="D32" i="108"/>
  <c r="L32" i="108" s="1"/>
  <c r="N32" i="108" s="1"/>
  <c r="B32" i="108"/>
  <c r="T31" i="108"/>
  <c r="H31" i="108"/>
  <c r="Z29" i="108"/>
  <c r="X29" i="108"/>
  <c r="R29" i="108"/>
  <c r="N29" i="108"/>
  <c r="L29" i="108"/>
  <c r="B29" i="108"/>
  <c r="X28" i="108"/>
  <c r="Z28" i="108" s="1"/>
  <c r="R28" i="108"/>
  <c r="L28" i="108"/>
  <c r="N28" i="108" s="1"/>
  <c r="B28" i="108"/>
  <c r="T27" i="108"/>
  <c r="P27" i="108"/>
  <c r="H27" i="108"/>
  <c r="N27" i="108" s="1"/>
  <c r="F27" i="108"/>
  <c r="D27" i="108"/>
  <c r="L27" i="108" s="1"/>
  <c r="B27" i="108"/>
  <c r="X26" i="108"/>
  <c r="Z26" i="108" s="1"/>
  <c r="L26" i="108"/>
  <c r="N26" i="108" s="1"/>
  <c r="B26" i="108"/>
  <c r="Z25" i="108"/>
  <c r="X25" i="108"/>
  <c r="R25" i="108"/>
  <c r="L25" i="108"/>
  <c r="N25" i="108" s="1"/>
  <c r="B25" i="108"/>
  <c r="X24" i="108"/>
  <c r="Z24" i="108" s="1"/>
  <c r="L24" i="108"/>
  <c r="N24" i="108" s="1"/>
  <c r="B24" i="108"/>
  <c r="Z23" i="108"/>
  <c r="X23" i="108"/>
  <c r="V23" i="108"/>
  <c r="L23" i="108"/>
  <c r="N23" i="108" s="1"/>
  <c r="B23" i="108"/>
  <c r="X22" i="108"/>
  <c r="Z22" i="108" s="1"/>
  <c r="L22" i="108"/>
  <c r="N22" i="108" s="1"/>
  <c r="B22" i="108"/>
  <c r="Z21" i="108"/>
  <c r="X21" i="108"/>
  <c r="V21" i="108"/>
  <c r="L21" i="108"/>
  <c r="N21" i="108" s="1"/>
  <c r="B21" i="108"/>
  <c r="X20" i="108"/>
  <c r="Z20" i="108" s="1"/>
  <c r="V20" i="108"/>
  <c r="N20" i="108"/>
  <c r="L20" i="108"/>
  <c r="J20" i="108"/>
  <c r="B20" i="108"/>
  <c r="T19" i="108"/>
  <c r="P19" i="108"/>
  <c r="X19" i="108" s="1"/>
  <c r="Z19" i="108" s="1"/>
  <c r="N19" i="108"/>
  <c r="J19" i="108"/>
  <c r="H19" i="108"/>
  <c r="L19" i="108" s="1"/>
  <c r="F19" i="108"/>
  <c r="D19" i="108"/>
  <c r="B19" i="108"/>
  <c r="T18" i="108"/>
  <c r="Z18" i="108" s="1"/>
  <c r="P18" i="108"/>
  <c r="X18" i="108" s="1"/>
  <c r="J18" i="108"/>
  <c r="H18" i="108"/>
  <c r="D18" i="108"/>
  <c r="P16" i="108"/>
  <c r="J16" i="108"/>
  <c r="T14" i="108"/>
  <c r="Z14" i="108" s="1"/>
  <c r="P14" i="108"/>
  <c r="X14" i="108" s="1"/>
  <c r="J14" i="108"/>
  <c r="H14" i="108"/>
  <c r="D14" i="108"/>
  <c r="T12" i="108"/>
  <c r="V22" i="108" s="1"/>
  <c r="P12" i="108"/>
  <c r="R22" i="108" s="1"/>
  <c r="L12" i="108"/>
  <c r="H12" i="108"/>
  <c r="J28" i="108" s="1"/>
  <c r="D12" i="108"/>
  <c r="F32" i="108" s="1"/>
  <c r="D6" i="108"/>
  <c r="D4" i="108"/>
  <c r="X85" i="107"/>
  <c r="Z85" i="107" s="1"/>
  <c r="L85" i="107"/>
  <c r="N85" i="107" s="1"/>
  <c r="F85" i="107"/>
  <c r="T81" i="107"/>
  <c r="P81" i="107"/>
  <c r="H81" i="107"/>
  <c r="N81" i="107" s="1"/>
  <c r="D81" i="107"/>
  <c r="L81" i="107" s="1"/>
  <c r="X79" i="107"/>
  <c r="Z79" i="107" s="1"/>
  <c r="N79" i="107"/>
  <c r="L79" i="107"/>
  <c r="B79" i="107"/>
  <c r="V78" i="107"/>
  <c r="T78" i="107"/>
  <c r="P78" i="107"/>
  <c r="X78" i="107" s="1"/>
  <c r="Z78" i="107" s="1"/>
  <c r="N78" i="107"/>
  <c r="H78" i="107"/>
  <c r="D78" i="107"/>
  <c r="L78" i="107" s="1"/>
  <c r="B78" i="107"/>
  <c r="X77" i="107"/>
  <c r="Z77" i="107" s="1"/>
  <c r="N77" i="107"/>
  <c r="L77" i="107"/>
  <c r="B77" i="107"/>
  <c r="T76" i="107"/>
  <c r="P76" i="107"/>
  <c r="X76" i="107" s="1"/>
  <c r="Z76" i="107" s="1"/>
  <c r="N76" i="107"/>
  <c r="L76" i="107"/>
  <c r="H76" i="107"/>
  <c r="D76" i="107"/>
  <c r="B76" i="107"/>
  <c r="X75" i="107"/>
  <c r="Z75" i="107" s="1"/>
  <c r="L75" i="107"/>
  <c r="N75" i="107" s="1"/>
  <c r="B75" i="107"/>
  <c r="T74" i="107"/>
  <c r="P74" i="107"/>
  <c r="N74" i="107"/>
  <c r="H74" i="107"/>
  <c r="L74" i="107" s="1"/>
  <c r="D74" i="107"/>
  <c r="B74" i="107"/>
  <c r="X73" i="107"/>
  <c r="Z73" i="107" s="1"/>
  <c r="N73" i="107"/>
  <c r="L73" i="107"/>
  <c r="B73" i="107"/>
  <c r="Z72" i="107"/>
  <c r="X72" i="107"/>
  <c r="N72" i="107"/>
  <c r="L72" i="107"/>
  <c r="B72" i="107"/>
  <c r="X71" i="107"/>
  <c r="Z71" i="107" s="1"/>
  <c r="L71" i="107"/>
  <c r="N71" i="107" s="1"/>
  <c r="B71" i="107"/>
  <c r="Z70" i="107"/>
  <c r="X70" i="107"/>
  <c r="L70" i="107"/>
  <c r="N70" i="107" s="1"/>
  <c r="B70" i="107"/>
  <c r="X69" i="107"/>
  <c r="Z69" i="107" s="1"/>
  <c r="L69" i="107"/>
  <c r="N69" i="107" s="1"/>
  <c r="B69" i="107"/>
  <c r="Z68" i="107"/>
  <c r="X68" i="107"/>
  <c r="L68" i="107"/>
  <c r="N68" i="107" s="1"/>
  <c r="B68" i="107"/>
  <c r="T67" i="107"/>
  <c r="P67" i="107"/>
  <c r="H67" i="107"/>
  <c r="N67" i="107" s="1"/>
  <c r="D67" i="107"/>
  <c r="L67" i="107" s="1"/>
  <c r="B67" i="107"/>
  <c r="X66" i="107"/>
  <c r="Z66" i="107" s="1"/>
  <c r="N66" i="107"/>
  <c r="L66" i="107"/>
  <c r="B66" i="107"/>
  <c r="X65" i="107"/>
  <c r="Z65" i="107" s="1"/>
  <c r="L65" i="107"/>
  <c r="N65" i="107" s="1"/>
  <c r="B65" i="107"/>
  <c r="Z64" i="107"/>
  <c r="X64" i="107"/>
  <c r="N64" i="107"/>
  <c r="L64" i="107"/>
  <c r="B64" i="107"/>
  <c r="T63" i="107"/>
  <c r="Z63" i="107" s="1"/>
  <c r="P63" i="107"/>
  <c r="X63" i="107" s="1"/>
  <c r="L63" i="107"/>
  <c r="H63" i="107"/>
  <c r="D63" i="107"/>
  <c r="B63" i="107"/>
  <c r="Z62" i="107"/>
  <c r="X62" i="107"/>
  <c r="N62" i="107"/>
  <c r="L62" i="107"/>
  <c r="B62" i="107"/>
  <c r="Z61" i="107"/>
  <c r="X61" i="107"/>
  <c r="T61" i="107"/>
  <c r="P61" i="107"/>
  <c r="H61" i="107"/>
  <c r="D61" i="107"/>
  <c r="B61" i="107"/>
  <c r="Z60" i="107"/>
  <c r="X60" i="107"/>
  <c r="N60" i="107"/>
  <c r="L60" i="107"/>
  <c r="B60" i="107"/>
  <c r="T59" i="107"/>
  <c r="P59" i="107"/>
  <c r="H59" i="107"/>
  <c r="N59" i="107" s="1"/>
  <c r="D59" i="107"/>
  <c r="L59" i="107" s="1"/>
  <c r="B59" i="107"/>
  <c r="X58" i="107"/>
  <c r="Z58" i="107" s="1"/>
  <c r="N58" i="107"/>
  <c r="L58" i="107"/>
  <c r="B58" i="107"/>
  <c r="T57" i="107"/>
  <c r="P57" i="107"/>
  <c r="X57" i="107" s="1"/>
  <c r="H57" i="107"/>
  <c r="D57" i="107"/>
  <c r="L57" i="107" s="1"/>
  <c r="B57" i="107"/>
  <c r="Z56" i="107"/>
  <c r="X56" i="107"/>
  <c r="N56" i="107"/>
  <c r="L56" i="107"/>
  <c r="B56" i="107"/>
  <c r="T55" i="107"/>
  <c r="P55" i="107"/>
  <c r="N55" i="107"/>
  <c r="L55" i="107"/>
  <c r="H55" i="107"/>
  <c r="D55" i="107"/>
  <c r="B55" i="107"/>
  <c r="Z54" i="107"/>
  <c r="X54" i="107"/>
  <c r="L54" i="107"/>
  <c r="N54" i="107" s="1"/>
  <c r="B54" i="107"/>
  <c r="T53" i="107"/>
  <c r="P53" i="107"/>
  <c r="X53" i="107" s="1"/>
  <c r="H53" i="107"/>
  <c r="D53" i="107"/>
  <c r="B53" i="107"/>
  <c r="Z52" i="107"/>
  <c r="X52" i="107"/>
  <c r="N52" i="107"/>
  <c r="L52" i="107"/>
  <c r="B52" i="107"/>
  <c r="T51" i="107"/>
  <c r="Z51" i="107" s="1"/>
  <c r="P51" i="107"/>
  <c r="X51" i="107" s="1"/>
  <c r="H51" i="107"/>
  <c r="D51" i="107"/>
  <c r="L51" i="107" s="1"/>
  <c r="B51" i="107"/>
  <c r="Z50" i="107"/>
  <c r="X50" i="107"/>
  <c r="N50" i="107"/>
  <c r="L50" i="107"/>
  <c r="B50" i="107"/>
  <c r="X49" i="107"/>
  <c r="Z49" i="107" s="1"/>
  <c r="T49" i="107"/>
  <c r="P49" i="107"/>
  <c r="H49" i="107"/>
  <c r="D49" i="107"/>
  <c r="B49" i="107"/>
  <c r="Z48" i="107"/>
  <c r="X48" i="107"/>
  <c r="N48" i="107"/>
  <c r="L48" i="107"/>
  <c r="B48" i="107"/>
  <c r="T47" i="107"/>
  <c r="P47" i="107"/>
  <c r="H47" i="107"/>
  <c r="N47" i="107" s="1"/>
  <c r="D47" i="107"/>
  <c r="L47" i="107" s="1"/>
  <c r="B47" i="107"/>
  <c r="X46" i="107"/>
  <c r="Z46" i="107" s="1"/>
  <c r="N46" i="107"/>
  <c r="L46" i="107"/>
  <c r="B46" i="107"/>
  <c r="T45" i="107"/>
  <c r="P45" i="107"/>
  <c r="X45" i="107" s="1"/>
  <c r="H45" i="107"/>
  <c r="N45" i="107" s="1"/>
  <c r="D45" i="107"/>
  <c r="L45" i="107" s="1"/>
  <c r="B45" i="107"/>
  <c r="Z44" i="107"/>
  <c r="X44" i="107"/>
  <c r="N44" i="107"/>
  <c r="L44" i="107"/>
  <c r="B44" i="107"/>
  <c r="T43" i="107"/>
  <c r="P43" i="107"/>
  <c r="L43" i="107"/>
  <c r="N43" i="107" s="1"/>
  <c r="H43" i="107"/>
  <c r="D43" i="107"/>
  <c r="B43" i="107"/>
  <c r="Z42" i="107"/>
  <c r="X42" i="107"/>
  <c r="N42" i="107"/>
  <c r="L42" i="107"/>
  <c r="B42" i="107"/>
  <c r="T41" i="107"/>
  <c r="P41" i="107"/>
  <c r="X41" i="107" s="1"/>
  <c r="H41" i="107"/>
  <c r="D41" i="107"/>
  <c r="B41" i="107"/>
  <c r="Z40" i="107"/>
  <c r="X40" i="107"/>
  <c r="N40" i="107"/>
  <c r="L40" i="107"/>
  <c r="B40" i="107"/>
  <c r="X39" i="107"/>
  <c r="Z39" i="107" s="1"/>
  <c r="L39" i="107"/>
  <c r="N39" i="107" s="1"/>
  <c r="B39" i="107"/>
  <c r="X38" i="107"/>
  <c r="Z38" i="107" s="1"/>
  <c r="N38" i="107"/>
  <c r="L38" i="107"/>
  <c r="B38" i="107"/>
  <c r="X37" i="107"/>
  <c r="Z37" i="107" s="1"/>
  <c r="L37" i="107"/>
  <c r="N37" i="107" s="1"/>
  <c r="B37" i="107"/>
  <c r="Z36" i="107"/>
  <c r="X36" i="107"/>
  <c r="N36" i="107"/>
  <c r="L36" i="107"/>
  <c r="B36" i="107"/>
  <c r="X35" i="107"/>
  <c r="Z35" i="107" s="1"/>
  <c r="L35" i="107"/>
  <c r="N35" i="107" s="1"/>
  <c r="B35" i="107"/>
  <c r="X34" i="107"/>
  <c r="Z34" i="107" s="1"/>
  <c r="T34" i="107"/>
  <c r="P34" i="107"/>
  <c r="H34" i="107"/>
  <c r="D34" i="107"/>
  <c r="L34" i="107" s="1"/>
  <c r="N34" i="107" s="1"/>
  <c r="B34" i="107"/>
  <c r="X33" i="107"/>
  <c r="Z33" i="107" s="1"/>
  <c r="L33" i="107"/>
  <c r="N33" i="107" s="1"/>
  <c r="B33" i="107"/>
  <c r="Z32" i="107"/>
  <c r="X32" i="107"/>
  <c r="N32" i="107"/>
  <c r="L32" i="107"/>
  <c r="B32" i="107"/>
  <c r="X31" i="107"/>
  <c r="Z31" i="107" s="1"/>
  <c r="L31" i="107"/>
  <c r="N31" i="107" s="1"/>
  <c r="B31" i="107"/>
  <c r="Z30" i="107"/>
  <c r="X30" i="107"/>
  <c r="N30" i="107"/>
  <c r="L30" i="107"/>
  <c r="B30" i="107"/>
  <c r="X29" i="107"/>
  <c r="Z29" i="107" s="1"/>
  <c r="L29" i="107"/>
  <c r="N29" i="107" s="1"/>
  <c r="B29" i="107"/>
  <c r="Z28" i="107"/>
  <c r="X28" i="107"/>
  <c r="N28" i="107"/>
  <c r="L28" i="107"/>
  <c r="B28" i="107"/>
  <c r="X27" i="107"/>
  <c r="Z27" i="107" s="1"/>
  <c r="L27" i="107"/>
  <c r="N27" i="107" s="1"/>
  <c r="B27" i="107"/>
  <c r="Z26" i="107"/>
  <c r="X26" i="107"/>
  <c r="N26" i="107"/>
  <c r="L26" i="107"/>
  <c r="B26" i="107"/>
  <c r="X25" i="107"/>
  <c r="Z25" i="107" s="1"/>
  <c r="L25" i="107"/>
  <c r="N25" i="107" s="1"/>
  <c r="B25" i="107"/>
  <c r="T24" i="107"/>
  <c r="X24" i="107" s="1"/>
  <c r="Z24" i="107" s="1"/>
  <c r="P24" i="107"/>
  <c r="H24" i="107"/>
  <c r="D24" i="107"/>
  <c r="L24" i="107" s="1"/>
  <c r="N24" i="107" s="1"/>
  <c r="B24" i="107"/>
  <c r="T23" i="107"/>
  <c r="P23" i="107"/>
  <c r="H23" i="107"/>
  <c r="D23" i="107"/>
  <c r="L23" i="107" s="1"/>
  <c r="X19" i="107"/>
  <c r="Z19" i="107" s="1"/>
  <c r="L19" i="107"/>
  <c r="N19" i="107" s="1"/>
  <c r="B19" i="107"/>
  <c r="Z18" i="107"/>
  <c r="X18" i="107"/>
  <c r="L18" i="107"/>
  <c r="N18" i="107" s="1"/>
  <c r="B18" i="107"/>
  <c r="T17" i="107"/>
  <c r="P17" i="107"/>
  <c r="X17" i="107" s="1"/>
  <c r="H17" i="107"/>
  <c r="D17" i="107"/>
  <c r="T15" i="107"/>
  <c r="P15" i="107"/>
  <c r="X15" i="107" s="1"/>
  <c r="Z15" i="107" s="1"/>
  <c r="L15" i="107"/>
  <c r="H15" i="107"/>
  <c r="N15" i="107" s="1"/>
  <c r="D15" i="107"/>
  <c r="B15" i="107"/>
  <c r="T14" i="107"/>
  <c r="X14" i="107" s="1"/>
  <c r="Z14" i="107" s="1"/>
  <c r="P14" i="107"/>
  <c r="H14" i="107"/>
  <c r="D14" i="107"/>
  <c r="B14" i="107"/>
  <c r="T13" i="107"/>
  <c r="P13" i="107"/>
  <c r="L13" i="107"/>
  <c r="N13" i="107" s="1"/>
  <c r="H13" i="107"/>
  <c r="D13" i="107"/>
  <c r="D12" i="107" s="1"/>
  <c r="F35" i="107" s="1"/>
  <c r="B13" i="107"/>
  <c r="T12" i="107"/>
  <c r="D6" i="107"/>
  <c r="D4" i="107"/>
  <c r="X86" i="105"/>
  <c r="Z86" i="105" s="1"/>
  <c r="N86" i="105"/>
  <c r="L86" i="105"/>
  <c r="Z82" i="105"/>
  <c r="T82" i="105"/>
  <c r="P82" i="105"/>
  <c r="X82" i="105" s="1"/>
  <c r="N82" i="105"/>
  <c r="H82" i="105"/>
  <c r="D82" i="105"/>
  <c r="L82" i="105" s="1"/>
  <c r="Z80" i="105"/>
  <c r="X80" i="105"/>
  <c r="N80" i="105"/>
  <c r="L80" i="105"/>
  <c r="B80" i="105"/>
  <c r="T79" i="105"/>
  <c r="P79" i="105"/>
  <c r="X79" i="105" s="1"/>
  <c r="H79" i="105"/>
  <c r="N79" i="105" s="1"/>
  <c r="D79" i="105"/>
  <c r="L79" i="105" s="1"/>
  <c r="B79" i="105"/>
  <c r="Z78" i="105"/>
  <c r="X78" i="105"/>
  <c r="N78" i="105"/>
  <c r="L78" i="105"/>
  <c r="B78" i="105"/>
  <c r="T77" i="105"/>
  <c r="P77" i="105"/>
  <c r="X77" i="105" s="1"/>
  <c r="H77" i="105"/>
  <c r="D77" i="105"/>
  <c r="L77" i="105" s="1"/>
  <c r="B77" i="105"/>
  <c r="Z76" i="105"/>
  <c r="X76" i="105"/>
  <c r="N76" i="105"/>
  <c r="L76" i="105"/>
  <c r="B76" i="105"/>
  <c r="T75" i="105"/>
  <c r="P75" i="105"/>
  <c r="X75" i="105" s="1"/>
  <c r="H75" i="105"/>
  <c r="D75" i="105"/>
  <c r="B75" i="105"/>
  <c r="Z74" i="105"/>
  <c r="X74" i="105"/>
  <c r="N74" i="105"/>
  <c r="L74" i="105"/>
  <c r="B74" i="105"/>
  <c r="X73" i="105"/>
  <c r="Z73" i="105" s="1"/>
  <c r="N73" i="105"/>
  <c r="L73" i="105"/>
  <c r="B73" i="105"/>
  <c r="Z72" i="105"/>
  <c r="X72" i="105"/>
  <c r="N72" i="105"/>
  <c r="L72" i="105"/>
  <c r="B72" i="105"/>
  <c r="X71" i="105"/>
  <c r="Z71" i="105" s="1"/>
  <c r="R71" i="105"/>
  <c r="L71" i="105"/>
  <c r="N71" i="105" s="1"/>
  <c r="B71" i="105"/>
  <c r="Z70" i="105"/>
  <c r="X70" i="105"/>
  <c r="N70" i="105"/>
  <c r="L70" i="105"/>
  <c r="B70" i="105"/>
  <c r="X69" i="105"/>
  <c r="Z69" i="105" s="1"/>
  <c r="R69" i="105"/>
  <c r="L69" i="105"/>
  <c r="N69" i="105" s="1"/>
  <c r="B69" i="105"/>
  <c r="Z68" i="105"/>
  <c r="X68" i="105"/>
  <c r="L68" i="105"/>
  <c r="N68" i="105" s="1"/>
  <c r="B68" i="105"/>
  <c r="Z67" i="105"/>
  <c r="X67" i="105"/>
  <c r="R67" i="105"/>
  <c r="N67" i="105"/>
  <c r="L67" i="105"/>
  <c r="B67" i="105"/>
  <c r="Z66" i="105"/>
  <c r="T66" i="105"/>
  <c r="P66" i="105"/>
  <c r="X66" i="105" s="1"/>
  <c r="N66" i="105"/>
  <c r="H66" i="105"/>
  <c r="D66" i="105"/>
  <c r="L66" i="105" s="1"/>
  <c r="B66" i="105"/>
  <c r="X65" i="105"/>
  <c r="Z65" i="105" s="1"/>
  <c r="L65" i="105"/>
  <c r="N65" i="105" s="1"/>
  <c r="B65" i="105"/>
  <c r="X64" i="105"/>
  <c r="Z64" i="105" s="1"/>
  <c r="N64" i="105"/>
  <c r="L64" i="105"/>
  <c r="B64" i="105"/>
  <c r="X63" i="105"/>
  <c r="Z63" i="105" s="1"/>
  <c r="L63" i="105"/>
  <c r="N63" i="105" s="1"/>
  <c r="B63" i="105"/>
  <c r="T62" i="105"/>
  <c r="R62" i="105"/>
  <c r="P62" i="105"/>
  <c r="X62" i="105" s="1"/>
  <c r="Z62" i="105" s="1"/>
  <c r="L62" i="105"/>
  <c r="N62" i="105" s="1"/>
  <c r="H62" i="105"/>
  <c r="D62" i="105"/>
  <c r="B62" i="105"/>
  <c r="X61" i="105"/>
  <c r="Z61" i="105" s="1"/>
  <c r="L61" i="105"/>
  <c r="N61" i="105" s="1"/>
  <c r="B61" i="105"/>
  <c r="Z60" i="105"/>
  <c r="X60" i="105"/>
  <c r="N60" i="105"/>
  <c r="L60" i="105"/>
  <c r="B60" i="105"/>
  <c r="T59" i="105"/>
  <c r="P59" i="105"/>
  <c r="X59" i="105" s="1"/>
  <c r="H59" i="105"/>
  <c r="D59" i="105"/>
  <c r="L59" i="105" s="1"/>
  <c r="B59" i="105"/>
  <c r="Z58" i="105"/>
  <c r="X58" i="105"/>
  <c r="N58" i="105"/>
  <c r="L58" i="105"/>
  <c r="B58" i="105"/>
  <c r="X57" i="105"/>
  <c r="T57" i="105"/>
  <c r="P57" i="105"/>
  <c r="H57" i="105"/>
  <c r="D57" i="105"/>
  <c r="L57" i="105" s="1"/>
  <c r="B57" i="105"/>
  <c r="Z56" i="105"/>
  <c r="X56" i="105"/>
  <c r="N56" i="105"/>
  <c r="L56" i="105"/>
  <c r="B56" i="105"/>
  <c r="X55" i="105"/>
  <c r="T55" i="105"/>
  <c r="P55" i="105"/>
  <c r="H55" i="105"/>
  <c r="D55" i="105"/>
  <c r="L55" i="105" s="1"/>
  <c r="B55" i="105"/>
  <c r="X54" i="105"/>
  <c r="Z54" i="105" s="1"/>
  <c r="N54" i="105"/>
  <c r="L54" i="105"/>
  <c r="B54" i="105"/>
  <c r="T53" i="105"/>
  <c r="P53" i="105"/>
  <c r="X53" i="105" s="1"/>
  <c r="L53" i="105"/>
  <c r="N53" i="105" s="1"/>
  <c r="H53" i="105"/>
  <c r="D53" i="105"/>
  <c r="B53" i="105"/>
  <c r="Z52" i="105"/>
  <c r="X52" i="105"/>
  <c r="N52" i="105"/>
  <c r="L52" i="105"/>
  <c r="B52" i="105"/>
  <c r="T51" i="105"/>
  <c r="P51" i="105"/>
  <c r="X51" i="105" s="1"/>
  <c r="Z51" i="105" s="1"/>
  <c r="H51" i="105"/>
  <c r="D51" i="105"/>
  <c r="L51" i="105" s="1"/>
  <c r="B51" i="105"/>
  <c r="Z50" i="105"/>
  <c r="X50" i="105"/>
  <c r="L50" i="105"/>
  <c r="N50" i="105" s="1"/>
  <c r="B50" i="105"/>
  <c r="T49" i="105"/>
  <c r="P49" i="105"/>
  <c r="H49" i="105"/>
  <c r="D49" i="105"/>
  <c r="B49" i="105"/>
  <c r="Z48" i="105"/>
  <c r="X48" i="105"/>
  <c r="N48" i="105"/>
  <c r="L48" i="105"/>
  <c r="B48" i="105"/>
  <c r="Z47" i="105"/>
  <c r="T47" i="105"/>
  <c r="P47" i="105"/>
  <c r="X47" i="105" s="1"/>
  <c r="H47" i="105"/>
  <c r="N47" i="105" s="1"/>
  <c r="D47" i="105"/>
  <c r="L47" i="105" s="1"/>
  <c r="B47" i="105"/>
  <c r="Z46" i="105"/>
  <c r="X46" i="105"/>
  <c r="N46" i="105"/>
  <c r="L46" i="105"/>
  <c r="B46" i="105"/>
  <c r="T45" i="105"/>
  <c r="X45" i="105" s="1"/>
  <c r="R45" i="105"/>
  <c r="P45" i="105"/>
  <c r="L45" i="105"/>
  <c r="N45" i="105" s="1"/>
  <c r="H45" i="105"/>
  <c r="D45" i="105"/>
  <c r="B45" i="105"/>
  <c r="X44" i="105"/>
  <c r="Z44" i="105" s="1"/>
  <c r="R44" i="105"/>
  <c r="L44" i="105"/>
  <c r="N44" i="105" s="1"/>
  <c r="B44" i="105"/>
  <c r="T43" i="105"/>
  <c r="P43" i="105"/>
  <c r="X43" i="105" s="1"/>
  <c r="H43" i="105"/>
  <c r="D43" i="105"/>
  <c r="L43" i="105" s="1"/>
  <c r="N43" i="105" s="1"/>
  <c r="B43" i="105"/>
  <c r="X42" i="105"/>
  <c r="Z42" i="105" s="1"/>
  <c r="L42" i="105"/>
  <c r="N42" i="105" s="1"/>
  <c r="B42" i="105"/>
  <c r="T41" i="105"/>
  <c r="R41" i="105"/>
  <c r="P41" i="105"/>
  <c r="X41" i="105" s="1"/>
  <c r="L41" i="105"/>
  <c r="N41" i="105" s="1"/>
  <c r="H41" i="105"/>
  <c r="D41" i="105"/>
  <c r="B41" i="105"/>
  <c r="X40" i="105"/>
  <c r="Z40" i="105" s="1"/>
  <c r="R40" i="105"/>
  <c r="L40" i="105"/>
  <c r="N40" i="105" s="1"/>
  <c r="B40" i="105"/>
  <c r="X39" i="105"/>
  <c r="Z39" i="105" s="1"/>
  <c r="N39" i="105"/>
  <c r="L39" i="105"/>
  <c r="B39" i="105"/>
  <c r="Z38" i="105"/>
  <c r="X38" i="105"/>
  <c r="N38" i="105"/>
  <c r="L38" i="105"/>
  <c r="B38" i="105"/>
  <c r="Z37" i="105"/>
  <c r="X37" i="105"/>
  <c r="R37" i="105"/>
  <c r="N37" i="105"/>
  <c r="L37" i="105"/>
  <c r="B37" i="105"/>
  <c r="X36" i="105"/>
  <c r="Z36" i="105" s="1"/>
  <c r="R36" i="105"/>
  <c r="L36" i="105"/>
  <c r="N36" i="105" s="1"/>
  <c r="B36" i="105"/>
  <c r="X35" i="105"/>
  <c r="Z35" i="105" s="1"/>
  <c r="L35" i="105"/>
  <c r="N35" i="105" s="1"/>
  <c r="B35" i="105"/>
  <c r="X34" i="105"/>
  <c r="Z34" i="105" s="1"/>
  <c r="T34" i="105"/>
  <c r="P34" i="105"/>
  <c r="H34" i="105"/>
  <c r="D34" i="105"/>
  <c r="B34" i="105"/>
  <c r="Z33" i="105"/>
  <c r="X33" i="105"/>
  <c r="L33" i="105"/>
  <c r="N33" i="105" s="1"/>
  <c r="B33" i="105"/>
  <c r="X32" i="105"/>
  <c r="Z32" i="105" s="1"/>
  <c r="R32" i="105"/>
  <c r="L32" i="105"/>
  <c r="N32" i="105" s="1"/>
  <c r="B32" i="105"/>
  <c r="X31" i="105"/>
  <c r="Z31" i="105" s="1"/>
  <c r="L31" i="105"/>
  <c r="N31" i="105" s="1"/>
  <c r="B31" i="105"/>
  <c r="Z30" i="105"/>
  <c r="X30" i="105"/>
  <c r="L30" i="105"/>
  <c r="N30" i="105" s="1"/>
  <c r="B30" i="105"/>
  <c r="Z29" i="105"/>
  <c r="X29" i="105"/>
  <c r="L29" i="105"/>
  <c r="N29" i="105" s="1"/>
  <c r="B29" i="105"/>
  <c r="X28" i="105"/>
  <c r="Z28" i="105" s="1"/>
  <c r="R28" i="105"/>
  <c r="L28" i="105"/>
  <c r="N28" i="105" s="1"/>
  <c r="B28" i="105"/>
  <c r="X27" i="105"/>
  <c r="Z27" i="105" s="1"/>
  <c r="L27" i="105"/>
  <c r="N27" i="105" s="1"/>
  <c r="B27" i="105"/>
  <c r="Z26" i="105"/>
  <c r="X26" i="105"/>
  <c r="L26" i="105"/>
  <c r="N26" i="105" s="1"/>
  <c r="B26" i="105"/>
  <c r="Z25" i="105"/>
  <c r="X25" i="105"/>
  <c r="L25" i="105"/>
  <c r="N25" i="105" s="1"/>
  <c r="B25" i="105"/>
  <c r="T24" i="105"/>
  <c r="P24" i="105"/>
  <c r="H24" i="105"/>
  <c r="D24" i="105"/>
  <c r="L24" i="105" s="1"/>
  <c r="N24" i="105" s="1"/>
  <c r="B24" i="105"/>
  <c r="X23" i="105"/>
  <c r="Z23" i="105" s="1"/>
  <c r="T23" i="105"/>
  <c r="P23" i="105"/>
  <c r="H23" i="105"/>
  <c r="D23" i="105"/>
  <c r="L23" i="105" s="1"/>
  <c r="P21" i="105"/>
  <c r="P84" i="105" s="1"/>
  <c r="X19" i="105"/>
  <c r="Z19" i="105" s="1"/>
  <c r="L19" i="105"/>
  <c r="N19" i="105" s="1"/>
  <c r="B19" i="105"/>
  <c r="X18" i="105"/>
  <c r="Z18" i="105" s="1"/>
  <c r="N18" i="105"/>
  <c r="L18" i="105"/>
  <c r="B18" i="105"/>
  <c r="T17" i="105"/>
  <c r="R17" i="105"/>
  <c r="P17" i="105"/>
  <c r="X17" i="105" s="1"/>
  <c r="L17" i="105"/>
  <c r="N17" i="105" s="1"/>
  <c r="H17" i="105"/>
  <c r="D17" i="105"/>
  <c r="T15" i="105"/>
  <c r="P15" i="105"/>
  <c r="X15" i="105" s="1"/>
  <c r="H15" i="105"/>
  <c r="D15" i="105"/>
  <c r="L15" i="105" s="1"/>
  <c r="N15" i="105" s="1"/>
  <c r="B15" i="105"/>
  <c r="T14" i="105"/>
  <c r="P14" i="105"/>
  <c r="H14" i="105"/>
  <c r="H12" i="105" s="1"/>
  <c r="J64" i="105" s="1"/>
  <c r="D14" i="105"/>
  <c r="B14" i="105"/>
  <c r="X13" i="105"/>
  <c r="T13" i="105"/>
  <c r="P13" i="105"/>
  <c r="L13" i="105"/>
  <c r="N13" i="105" s="1"/>
  <c r="H13" i="105"/>
  <c r="D13" i="105"/>
  <c r="B13" i="105"/>
  <c r="P12" i="105"/>
  <c r="D6" i="105"/>
  <c r="D4" i="105"/>
  <c r="X49" i="104"/>
  <c r="Z49" i="104" s="1"/>
  <c r="L49" i="104"/>
  <c r="N49" i="104" s="1"/>
  <c r="Z45" i="104"/>
  <c r="X45" i="104"/>
  <c r="T45" i="104"/>
  <c r="P45" i="104"/>
  <c r="L45" i="104"/>
  <c r="H45" i="104"/>
  <c r="N45" i="104" s="1"/>
  <c r="F45" i="104"/>
  <c r="D45" i="104"/>
  <c r="Z43" i="104"/>
  <c r="X43" i="104"/>
  <c r="N43" i="104"/>
  <c r="L43" i="104"/>
  <c r="B43" i="104"/>
  <c r="X42" i="104"/>
  <c r="Z42" i="104" s="1"/>
  <c r="T42" i="104"/>
  <c r="P42" i="104"/>
  <c r="H42" i="104"/>
  <c r="N42" i="104" s="1"/>
  <c r="D42" i="104"/>
  <c r="L42" i="104" s="1"/>
  <c r="B42" i="104"/>
  <c r="X41" i="104"/>
  <c r="Z41" i="104" s="1"/>
  <c r="N41" i="104"/>
  <c r="L41" i="104"/>
  <c r="B41" i="104"/>
  <c r="Z40" i="104"/>
  <c r="X40" i="104"/>
  <c r="N40" i="104"/>
  <c r="L40" i="104"/>
  <c r="B40" i="104"/>
  <c r="T39" i="104"/>
  <c r="P39" i="104"/>
  <c r="L39" i="104"/>
  <c r="N39" i="104" s="1"/>
  <c r="H39" i="104"/>
  <c r="D39" i="104"/>
  <c r="B39" i="104"/>
  <c r="X38" i="104"/>
  <c r="Z38" i="104" s="1"/>
  <c r="V38" i="104"/>
  <c r="L38" i="104"/>
  <c r="N38" i="104" s="1"/>
  <c r="B38" i="104"/>
  <c r="T37" i="104"/>
  <c r="P37" i="104"/>
  <c r="X37" i="104" s="1"/>
  <c r="Z37" i="104" s="1"/>
  <c r="H37" i="104"/>
  <c r="D37" i="104"/>
  <c r="B37" i="104"/>
  <c r="Z36" i="104"/>
  <c r="X36" i="104"/>
  <c r="N36" i="104"/>
  <c r="L36" i="104"/>
  <c r="B36" i="104"/>
  <c r="X35" i="104"/>
  <c r="Z35" i="104" s="1"/>
  <c r="T35" i="104"/>
  <c r="P35" i="104"/>
  <c r="H35" i="104"/>
  <c r="F35" i="104"/>
  <c r="D35" i="104"/>
  <c r="L35" i="104" s="1"/>
  <c r="B35" i="104"/>
  <c r="X34" i="104"/>
  <c r="Z34" i="104" s="1"/>
  <c r="L34" i="104"/>
  <c r="N34" i="104" s="1"/>
  <c r="B34" i="104"/>
  <c r="Z33" i="104"/>
  <c r="X33" i="104"/>
  <c r="T33" i="104"/>
  <c r="P33" i="104"/>
  <c r="H33" i="104"/>
  <c r="D33" i="104"/>
  <c r="L33" i="104" s="1"/>
  <c r="B33" i="104"/>
  <c r="Z32" i="104"/>
  <c r="X32" i="104"/>
  <c r="N32" i="104"/>
  <c r="L32" i="104"/>
  <c r="B32" i="104"/>
  <c r="T31" i="104"/>
  <c r="P31" i="104"/>
  <c r="H31" i="104"/>
  <c r="D31" i="104"/>
  <c r="L31" i="104" s="1"/>
  <c r="N31" i="104" s="1"/>
  <c r="B31" i="104"/>
  <c r="X30" i="104"/>
  <c r="Z30" i="104" s="1"/>
  <c r="L30" i="104"/>
  <c r="N30" i="104" s="1"/>
  <c r="B30" i="104"/>
  <c r="X29" i="104"/>
  <c r="Z29" i="104" s="1"/>
  <c r="L29" i="104"/>
  <c r="N29" i="104" s="1"/>
  <c r="B29" i="104"/>
  <c r="T28" i="104"/>
  <c r="P28" i="104"/>
  <c r="X28" i="104" s="1"/>
  <c r="L28" i="104"/>
  <c r="N28" i="104" s="1"/>
  <c r="H28" i="104"/>
  <c r="D28" i="104"/>
  <c r="B28" i="104"/>
  <c r="X27" i="104"/>
  <c r="Z27" i="104" s="1"/>
  <c r="L27" i="104"/>
  <c r="N27" i="104" s="1"/>
  <c r="B27" i="104"/>
  <c r="X26" i="104"/>
  <c r="Z26" i="104" s="1"/>
  <c r="L26" i="104"/>
  <c r="N26" i="104" s="1"/>
  <c r="B26" i="104"/>
  <c r="Z25" i="104"/>
  <c r="X25" i="104"/>
  <c r="N25" i="104"/>
  <c r="L25" i="104"/>
  <c r="B25" i="104"/>
  <c r="T24" i="104"/>
  <c r="X24" i="104" s="1"/>
  <c r="P24" i="104"/>
  <c r="L24" i="104"/>
  <c r="N24" i="104" s="1"/>
  <c r="H24" i="104"/>
  <c r="D24" i="104"/>
  <c r="B24" i="104"/>
  <c r="V23" i="104"/>
  <c r="T23" i="104"/>
  <c r="P23" i="104"/>
  <c r="N23" i="104"/>
  <c r="H23" i="104"/>
  <c r="D23" i="104"/>
  <c r="L23" i="104" s="1"/>
  <c r="X19" i="104"/>
  <c r="Z19" i="104" s="1"/>
  <c r="V19" i="104"/>
  <c r="L19" i="104"/>
  <c r="N19" i="104" s="1"/>
  <c r="B19" i="104"/>
  <c r="Z18" i="104"/>
  <c r="X18" i="104"/>
  <c r="L18" i="104"/>
  <c r="N18" i="104" s="1"/>
  <c r="B18" i="104"/>
  <c r="T17" i="104"/>
  <c r="P17" i="104"/>
  <c r="X17" i="104" s="1"/>
  <c r="Z17" i="104" s="1"/>
  <c r="H17" i="104"/>
  <c r="D17" i="104"/>
  <c r="T15" i="104"/>
  <c r="P15" i="104"/>
  <c r="X15" i="104" s="1"/>
  <c r="Z15" i="104" s="1"/>
  <c r="L15" i="104"/>
  <c r="H15" i="104"/>
  <c r="N15" i="104" s="1"/>
  <c r="D15" i="104"/>
  <c r="D12" i="104" s="1"/>
  <c r="B15" i="104"/>
  <c r="Z14" i="104"/>
  <c r="T14" i="104"/>
  <c r="P14" i="104"/>
  <c r="X14" i="104" s="1"/>
  <c r="H14" i="104"/>
  <c r="D14" i="104"/>
  <c r="L14" i="104" s="1"/>
  <c r="B14" i="104"/>
  <c r="T13" i="104"/>
  <c r="P13" i="104"/>
  <c r="H13" i="104"/>
  <c r="D13" i="104"/>
  <c r="B13" i="104"/>
  <c r="T12" i="104"/>
  <c r="H12" i="104"/>
  <c r="D6" i="104"/>
  <c r="D4" i="104"/>
  <c r="X84" i="103"/>
  <c r="Z84" i="103" s="1"/>
  <c r="N84" i="103"/>
  <c r="L84" i="103"/>
  <c r="T80" i="103"/>
  <c r="P80" i="103"/>
  <c r="H80" i="103"/>
  <c r="N80" i="103" s="1"/>
  <c r="D80" i="103"/>
  <c r="L80" i="103" s="1"/>
  <c r="Z78" i="103"/>
  <c r="X78" i="103"/>
  <c r="N78" i="103"/>
  <c r="L78" i="103"/>
  <c r="B78" i="103"/>
  <c r="T77" i="103"/>
  <c r="P77" i="103"/>
  <c r="N77" i="103"/>
  <c r="H77" i="103"/>
  <c r="D77" i="103"/>
  <c r="L77" i="103" s="1"/>
  <c r="B77" i="103"/>
  <c r="X76" i="103"/>
  <c r="Z76" i="103" s="1"/>
  <c r="L76" i="103"/>
  <c r="N76" i="103" s="1"/>
  <c r="B76" i="103"/>
  <c r="T75" i="103"/>
  <c r="R75" i="103"/>
  <c r="P75" i="103"/>
  <c r="X75" i="103" s="1"/>
  <c r="L75" i="103"/>
  <c r="N75" i="103" s="1"/>
  <c r="J75" i="103"/>
  <c r="H75" i="103"/>
  <c r="D75" i="103"/>
  <c r="B75" i="103"/>
  <c r="Z74" i="103"/>
  <c r="X74" i="103"/>
  <c r="N74" i="103"/>
  <c r="L74" i="103"/>
  <c r="B74" i="103"/>
  <c r="T73" i="103"/>
  <c r="P73" i="103"/>
  <c r="N73" i="103"/>
  <c r="L73" i="103"/>
  <c r="H73" i="103"/>
  <c r="D73" i="103"/>
  <c r="B73" i="103"/>
  <c r="Z72" i="103"/>
  <c r="X72" i="103"/>
  <c r="N72" i="103"/>
  <c r="L72" i="103"/>
  <c r="B72" i="103"/>
  <c r="Z71" i="103"/>
  <c r="X71" i="103"/>
  <c r="N71" i="103"/>
  <c r="L71" i="103"/>
  <c r="B71" i="103"/>
  <c r="Z70" i="103"/>
  <c r="X70" i="103"/>
  <c r="N70" i="103"/>
  <c r="L70" i="103"/>
  <c r="B70" i="103"/>
  <c r="X69" i="103"/>
  <c r="Z69" i="103" s="1"/>
  <c r="L69" i="103"/>
  <c r="N69" i="103" s="1"/>
  <c r="B69" i="103"/>
  <c r="Z68" i="103"/>
  <c r="X68" i="103"/>
  <c r="N68" i="103"/>
  <c r="L68" i="103"/>
  <c r="B68" i="103"/>
  <c r="Z67" i="103"/>
  <c r="X67" i="103"/>
  <c r="L67" i="103"/>
  <c r="N67" i="103" s="1"/>
  <c r="B67" i="103"/>
  <c r="Z66" i="103"/>
  <c r="X66" i="103"/>
  <c r="R66" i="103"/>
  <c r="N66" i="103"/>
  <c r="L66" i="103"/>
  <c r="B66" i="103"/>
  <c r="T65" i="103"/>
  <c r="P65" i="103"/>
  <c r="X65" i="103" s="1"/>
  <c r="N65" i="103"/>
  <c r="H65" i="103"/>
  <c r="D65" i="103"/>
  <c r="L65" i="103" s="1"/>
  <c r="B65" i="103"/>
  <c r="Z64" i="103"/>
  <c r="X64" i="103"/>
  <c r="N64" i="103"/>
  <c r="L64" i="103"/>
  <c r="B64" i="103"/>
  <c r="X63" i="103"/>
  <c r="Z63" i="103" s="1"/>
  <c r="N63" i="103"/>
  <c r="L63" i="103"/>
  <c r="B63" i="103"/>
  <c r="X62" i="103"/>
  <c r="Z62" i="103" s="1"/>
  <c r="N62" i="103"/>
  <c r="L62" i="103"/>
  <c r="B62" i="103"/>
  <c r="X61" i="103"/>
  <c r="T61" i="103"/>
  <c r="Z61" i="103" s="1"/>
  <c r="P61" i="103"/>
  <c r="H61" i="103"/>
  <c r="D61" i="103"/>
  <c r="B61" i="103"/>
  <c r="Z60" i="103"/>
  <c r="X60" i="103"/>
  <c r="N60" i="103"/>
  <c r="L60" i="103"/>
  <c r="B60" i="103"/>
  <c r="T59" i="103"/>
  <c r="R59" i="103"/>
  <c r="P59" i="103"/>
  <c r="H59" i="103"/>
  <c r="N59" i="103" s="1"/>
  <c r="D59" i="103"/>
  <c r="L59" i="103" s="1"/>
  <c r="B59" i="103"/>
  <c r="Z58" i="103"/>
  <c r="X58" i="103"/>
  <c r="N58" i="103"/>
  <c r="L58" i="103"/>
  <c r="B58" i="103"/>
  <c r="X57" i="103"/>
  <c r="T57" i="103"/>
  <c r="P57" i="103"/>
  <c r="H57" i="103"/>
  <c r="D57" i="103"/>
  <c r="L57" i="103" s="1"/>
  <c r="N57" i="103" s="1"/>
  <c r="B57" i="103"/>
  <c r="Z56" i="103"/>
  <c r="X56" i="103"/>
  <c r="N56" i="103"/>
  <c r="L56" i="103"/>
  <c r="B56" i="103"/>
  <c r="T55" i="103"/>
  <c r="P55" i="103"/>
  <c r="X55" i="103" s="1"/>
  <c r="L55" i="103"/>
  <c r="H55" i="103"/>
  <c r="N55" i="103" s="1"/>
  <c r="D55" i="103"/>
  <c r="B55" i="103"/>
  <c r="Z54" i="103"/>
  <c r="X54" i="103"/>
  <c r="N54" i="103"/>
  <c r="L54" i="103"/>
  <c r="B54" i="103"/>
  <c r="T53" i="103"/>
  <c r="P53" i="103"/>
  <c r="L53" i="103"/>
  <c r="H53" i="103"/>
  <c r="D53" i="103"/>
  <c r="B53" i="103"/>
  <c r="Z52" i="103"/>
  <c r="X52" i="103"/>
  <c r="L52" i="103"/>
  <c r="N52" i="103" s="1"/>
  <c r="B52" i="103"/>
  <c r="Z51" i="103"/>
  <c r="T51" i="103"/>
  <c r="P51" i="103"/>
  <c r="X51" i="103" s="1"/>
  <c r="H51" i="103"/>
  <c r="D51" i="103"/>
  <c r="L51" i="103" s="1"/>
  <c r="B51" i="103"/>
  <c r="X50" i="103"/>
  <c r="Z50" i="103" s="1"/>
  <c r="N50" i="103"/>
  <c r="L50" i="103"/>
  <c r="B50" i="103"/>
  <c r="X49" i="103"/>
  <c r="T49" i="103"/>
  <c r="Z49" i="103" s="1"/>
  <c r="P49" i="103"/>
  <c r="H49" i="103"/>
  <c r="D49" i="103"/>
  <c r="L49" i="103" s="1"/>
  <c r="B49" i="103"/>
  <c r="Z48" i="103"/>
  <c r="X48" i="103"/>
  <c r="N48" i="103"/>
  <c r="L48" i="103"/>
  <c r="B48" i="103"/>
  <c r="X47" i="103"/>
  <c r="T47" i="103"/>
  <c r="Z47" i="103" s="1"/>
  <c r="P47" i="103"/>
  <c r="H47" i="103"/>
  <c r="N47" i="103" s="1"/>
  <c r="D47" i="103"/>
  <c r="B47" i="103"/>
  <c r="Z46" i="103"/>
  <c r="X46" i="103"/>
  <c r="N46" i="103"/>
  <c r="L46" i="103"/>
  <c r="B46" i="103"/>
  <c r="T45" i="103"/>
  <c r="P45" i="103"/>
  <c r="L45" i="103"/>
  <c r="H45" i="103"/>
  <c r="N45" i="103" s="1"/>
  <c r="D45" i="103"/>
  <c r="B45" i="103"/>
  <c r="Z44" i="103"/>
  <c r="X44" i="103"/>
  <c r="L44" i="103"/>
  <c r="N44" i="103" s="1"/>
  <c r="B44" i="103"/>
  <c r="T43" i="103"/>
  <c r="P43" i="103"/>
  <c r="H43" i="103"/>
  <c r="D43" i="103"/>
  <c r="L43" i="103" s="1"/>
  <c r="B43" i="103"/>
  <c r="X42" i="103"/>
  <c r="Z42" i="103" s="1"/>
  <c r="N42" i="103"/>
  <c r="L42" i="103"/>
  <c r="B42" i="103"/>
  <c r="X41" i="103"/>
  <c r="Z41" i="103" s="1"/>
  <c r="T41" i="103"/>
  <c r="P41" i="103"/>
  <c r="L41" i="103"/>
  <c r="N41" i="103" s="1"/>
  <c r="H41" i="103"/>
  <c r="F41" i="103"/>
  <c r="D41" i="103"/>
  <c r="B41" i="103"/>
  <c r="Z40" i="103"/>
  <c r="X40" i="103"/>
  <c r="N40" i="103"/>
  <c r="L40" i="103"/>
  <c r="B40" i="103"/>
  <c r="Z39" i="103"/>
  <c r="X39" i="103"/>
  <c r="R39" i="103"/>
  <c r="N39" i="103"/>
  <c r="L39" i="103"/>
  <c r="B39" i="103"/>
  <c r="Z38" i="103"/>
  <c r="X38" i="103"/>
  <c r="L38" i="103"/>
  <c r="N38" i="103" s="1"/>
  <c r="J38" i="103"/>
  <c r="B38" i="103"/>
  <c r="X37" i="103"/>
  <c r="Z37" i="103" s="1"/>
  <c r="N37" i="103"/>
  <c r="L37" i="103"/>
  <c r="J37" i="103"/>
  <c r="B37" i="103"/>
  <c r="Z36" i="103"/>
  <c r="X36" i="103"/>
  <c r="N36" i="103"/>
  <c r="L36" i="103"/>
  <c r="B36" i="103"/>
  <c r="Z35" i="103"/>
  <c r="X35" i="103"/>
  <c r="R35" i="103"/>
  <c r="N35" i="103"/>
  <c r="L35" i="103"/>
  <c r="B35" i="103"/>
  <c r="T34" i="103"/>
  <c r="P34" i="103"/>
  <c r="L34" i="103"/>
  <c r="N34" i="103" s="1"/>
  <c r="H34" i="103"/>
  <c r="D34" i="103"/>
  <c r="B34" i="103"/>
  <c r="Z33" i="103"/>
  <c r="X33" i="103"/>
  <c r="L33" i="103"/>
  <c r="N33" i="103" s="1"/>
  <c r="J33" i="103"/>
  <c r="B33" i="103"/>
  <c r="Z32" i="103"/>
  <c r="X32" i="103"/>
  <c r="L32" i="103"/>
  <c r="N32" i="103" s="1"/>
  <c r="B32" i="103"/>
  <c r="Z31" i="103"/>
  <c r="X31" i="103"/>
  <c r="L31" i="103"/>
  <c r="N31" i="103" s="1"/>
  <c r="B31" i="103"/>
  <c r="X30" i="103"/>
  <c r="Z30" i="103" s="1"/>
  <c r="R30" i="103"/>
  <c r="N30" i="103"/>
  <c r="L30" i="103"/>
  <c r="B30" i="103"/>
  <c r="Z29" i="103"/>
  <c r="X29" i="103"/>
  <c r="L29" i="103"/>
  <c r="N29" i="103" s="1"/>
  <c r="B29" i="103"/>
  <c r="Z28" i="103"/>
  <c r="X28" i="103"/>
  <c r="L28" i="103"/>
  <c r="N28" i="103" s="1"/>
  <c r="B28" i="103"/>
  <c r="Z27" i="103"/>
  <c r="X27" i="103"/>
  <c r="L27" i="103"/>
  <c r="N27" i="103" s="1"/>
  <c r="B27" i="103"/>
  <c r="X26" i="103"/>
  <c r="Z26" i="103" s="1"/>
  <c r="L26" i="103"/>
  <c r="N26" i="103" s="1"/>
  <c r="B26" i="103"/>
  <c r="Z25" i="103"/>
  <c r="X25" i="103"/>
  <c r="L25" i="103"/>
  <c r="N25" i="103" s="1"/>
  <c r="B25" i="103"/>
  <c r="T24" i="103"/>
  <c r="P24" i="103"/>
  <c r="X24" i="103" s="1"/>
  <c r="Z24" i="103" s="1"/>
  <c r="J24" i="103"/>
  <c r="H24" i="103"/>
  <c r="D24" i="103"/>
  <c r="B24" i="103"/>
  <c r="T23" i="103"/>
  <c r="R23" i="103"/>
  <c r="P23" i="103"/>
  <c r="X23" i="103" s="1"/>
  <c r="L23" i="103"/>
  <c r="N23" i="103" s="1"/>
  <c r="H23" i="103"/>
  <c r="D23" i="103"/>
  <c r="X19" i="103"/>
  <c r="Z19" i="103" s="1"/>
  <c r="N19" i="103"/>
  <c r="L19" i="103"/>
  <c r="F19" i="103"/>
  <c r="B19" i="103"/>
  <c r="Z18" i="103"/>
  <c r="X18" i="103"/>
  <c r="N18" i="103"/>
  <c r="L18" i="103"/>
  <c r="B18" i="103"/>
  <c r="X17" i="103"/>
  <c r="Z17" i="103" s="1"/>
  <c r="T17" i="103"/>
  <c r="P17" i="103"/>
  <c r="H17" i="103"/>
  <c r="N17" i="103" s="1"/>
  <c r="F17" i="103"/>
  <c r="D17" i="103"/>
  <c r="L17" i="103" s="1"/>
  <c r="T15" i="103"/>
  <c r="P15" i="103"/>
  <c r="L15" i="103"/>
  <c r="N15" i="103" s="1"/>
  <c r="H15" i="103"/>
  <c r="D15" i="103"/>
  <c r="B15" i="103"/>
  <c r="X14" i="103"/>
  <c r="T14" i="103"/>
  <c r="Z14" i="103" s="1"/>
  <c r="P14" i="103"/>
  <c r="N14" i="103"/>
  <c r="L14" i="103"/>
  <c r="H14" i="103"/>
  <c r="D14" i="103"/>
  <c r="B14" i="103"/>
  <c r="X13" i="103"/>
  <c r="T13" i="103"/>
  <c r="Z13" i="103" s="1"/>
  <c r="P13" i="103"/>
  <c r="P12" i="103" s="1"/>
  <c r="N13" i="103"/>
  <c r="H13" i="103"/>
  <c r="H12" i="103" s="1"/>
  <c r="D13" i="103"/>
  <c r="L13" i="103" s="1"/>
  <c r="B13" i="103"/>
  <c r="D12" i="103"/>
  <c r="D6" i="103"/>
  <c r="D4" i="103"/>
  <c r="R53" i="102"/>
  <c r="R50" i="102"/>
  <c r="Z48" i="102"/>
  <c r="X48" i="102"/>
  <c r="N48" i="102"/>
  <c r="L48" i="102"/>
  <c r="R46" i="102"/>
  <c r="J46" i="102"/>
  <c r="T44" i="102"/>
  <c r="Z44" i="102" s="1"/>
  <c r="R44" i="102"/>
  <c r="P44" i="102"/>
  <c r="X44" i="102" s="1"/>
  <c r="N44" i="102"/>
  <c r="L44" i="102"/>
  <c r="J44" i="102"/>
  <c r="H44" i="102"/>
  <c r="D44" i="102"/>
  <c r="X42" i="102"/>
  <c r="Z42" i="102" s="1"/>
  <c r="N42" i="102"/>
  <c r="L42" i="102"/>
  <c r="B42" i="102"/>
  <c r="T41" i="102"/>
  <c r="Z41" i="102" s="1"/>
  <c r="R41" i="102"/>
  <c r="P41" i="102"/>
  <c r="X41" i="102" s="1"/>
  <c r="N41" i="102"/>
  <c r="L41" i="102"/>
  <c r="J41" i="102"/>
  <c r="H41" i="102"/>
  <c r="D41" i="102"/>
  <c r="B41" i="102"/>
  <c r="Z40" i="102"/>
  <c r="X40" i="102"/>
  <c r="R40" i="102"/>
  <c r="N40" i="102"/>
  <c r="L40" i="102"/>
  <c r="J40" i="102"/>
  <c r="F40" i="102"/>
  <c r="B40" i="102"/>
  <c r="X39" i="102"/>
  <c r="T39" i="102"/>
  <c r="P39" i="102"/>
  <c r="H39" i="102"/>
  <c r="L39" i="102" s="1"/>
  <c r="F39" i="102"/>
  <c r="D39" i="102"/>
  <c r="B39" i="102"/>
  <c r="Z38" i="102"/>
  <c r="X38" i="102"/>
  <c r="L38" i="102"/>
  <c r="N38" i="102" s="1"/>
  <c r="B38" i="102"/>
  <c r="Z37" i="102"/>
  <c r="T37" i="102"/>
  <c r="P37" i="102"/>
  <c r="X37" i="102" s="1"/>
  <c r="J37" i="102"/>
  <c r="H37" i="102"/>
  <c r="N37" i="102" s="1"/>
  <c r="D37" i="102"/>
  <c r="L37" i="102" s="1"/>
  <c r="B37" i="102"/>
  <c r="Z36" i="102"/>
  <c r="X36" i="102"/>
  <c r="V36" i="102"/>
  <c r="N36" i="102"/>
  <c r="L36" i="102"/>
  <c r="F36" i="102"/>
  <c r="B36" i="102"/>
  <c r="Z35" i="102"/>
  <c r="X35" i="102"/>
  <c r="V35" i="102"/>
  <c r="N35" i="102"/>
  <c r="L35" i="102"/>
  <c r="B35" i="102"/>
  <c r="T34" i="102"/>
  <c r="R34" i="102"/>
  <c r="P34" i="102"/>
  <c r="X34" i="102" s="1"/>
  <c r="N34" i="102"/>
  <c r="L34" i="102"/>
  <c r="J34" i="102"/>
  <c r="H34" i="102"/>
  <c r="D34" i="102"/>
  <c r="B34" i="102"/>
  <c r="Z33" i="102"/>
  <c r="X33" i="102"/>
  <c r="R33" i="102"/>
  <c r="N33" i="102"/>
  <c r="L33" i="102"/>
  <c r="F33" i="102"/>
  <c r="B33" i="102"/>
  <c r="T32" i="102"/>
  <c r="R32" i="102"/>
  <c r="P32" i="102"/>
  <c r="X32" i="102" s="1"/>
  <c r="N32" i="102"/>
  <c r="L32" i="102"/>
  <c r="H32" i="102"/>
  <c r="F32" i="102"/>
  <c r="D32" i="102"/>
  <c r="B32" i="102"/>
  <c r="X31" i="102"/>
  <c r="Z31" i="102" s="1"/>
  <c r="V31" i="102"/>
  <c r="R31" i="102"/>
  <c r="N31" i="102"/>
  <c r="L31" i="102"/>
  <c r="J31" i="102"/>
  <c r="B31" i="102"/>
  <c r="T30" i="102"/>
  <c r="P30" i="102"/>
  <c r="X30" i="102" s="1"/>
  <c r="Z30" i="102" s="1"/>
  <c r="J30" i="102"/>
  <c r="H30" i="102"/>
  <c r="D30" i="102"/>
  <c r="B30" i="102"/>
  <c r="X29" i="102"/>
  <c r="Z29" i="102" s="1"/>
  <c r="N29" i="102"/>
  <c r="L29" i="102"/>
  <c r="F29" i="102"/>
  <c r="B29" i="102"/>
  <c r="X28" i="102"/>
  <c r="Z28" i="102" s="1"/>
  <c r="V28" i="102"/>
  <c r="T28" i="102"/>
  <c r="P28" i="102"/>
  <c r="L28" i="102"/>
  <c r="H28" i="102"/>
  <c r="N28" i="102" s="1"/>
  <c r="F28" i="102"/>
  <c r="D28" i="102"/>
  <c r="B28" i="102"/>
  <c r="X27" i="102"/>
  <c r="Z27" i="102" s="1"/>
  <c r="L27" i="102"/>
  <c r="N27" i="102" s="1"/>
  <c r="J27" i="102"/>
  <c r="B27" i="102"/>
  <c r="X26" i="102"/>
  <c r="Z26" i="102" s="1"/>
  <c r="N26" i="102"/>
  <c r="L26" i="102"/>
  <c r="B26" i="102"/>
  <c r="Z25" i="102"/>
  <c r="X25" i="102"/>
  <c r="V25" i="102"/>
  <c r="R25" i="102"/>
  <c r="N25" i="102"/>
  <c r="L25" i="102"/>
  <c r="F25" i="102"/>
  <c r="B25" i="102"/>
  <c r="Z24" i="102"/>
  <c r="X24" i="102"/>
  <c r="R24" i="102"/>
  <c r="L24" i="102"/>
  <c r="N24" i="102" s="1"/>
  <c r="J24" i="102"/>
  <c r="F24" i="102"/>
  <c r="B24" i="102"/>
  <c r="X23" i="102"/>
  <c r="Z23" i="102" s="1"/>
  <c r="R23" i="102"/>
  <c r="L23" i="102"/>
  <c r="N23" i="102" s="1"/>
  <c r="J23" i="102"/>
  <c r="B23" i="102"/>
  <c r="Z22" i="102"/>
  <c r="X22" i="102"/>
  <c r="N22" i="102"/>
  <c r="L22" i="102"/>
  <c r="B22" i="102"/>
  <c r="Z21" i="102"/>
  <c r="X21" i="102"/>
  <c r="V21" i="102"/>
  <c r="R21" i="102"/>
  <c r="N21" i="102"/>
  <c r="L21" i="102"/>
  <c r="F21" i="102"/>
  <c r="B21" i="102"/>
  <c r="Z20" i="102"/>
  <c r="X20" i="102"/>
  <c r="R20" i="102"/>
  <c r="L20" i="102"/>
  <c r="N20" i="102" s="1"/>
  <c r="J20" i="102"/>
  <c r="F20" i="102"/>
  <c r="B20" i="102"/>
  <c r="X19" i="102"/>
  <c r="T19" i="102"/>
  <c r="Z19" i="102" s="1"/>
  <c r="P19" i="102"/>
  <c r="J19" i="102"/>
  <c r="H19" i="102"/>
  <c r="L19" i="102" s="1"/>
  <c r="F19" i="102"/>
  <c r="D19" i="102"/>
  <c r="B19" i="102"/>
  <c r="T18" i="102"/>
  <c r="P18" i="102"/>
  <c r="X18" i="102" s="1"/>
  <c r="Z18" i="102" s="1"/>
  <c r="J18" i="102"/>
  <c r="H18" i="102"/>
  <c r="D18" i="102"/>
  <c r="P16" i="102"/>
  <c r="J16" i="102"/>
  <c r="Z14" i="102"/>
  <c r="T14" i="102"/>
  <c r="P14" i="102"/>
  <c r="X14" i="102" s="1"/>
  <c r="J14" i="102"/>
  <c r="H14" i="102"/>
  <c r="H16" i="102" s="1"/>
  <c r="D14" i="102"/>
  <c r="Z12" i="102"/>
  <c r="T12" i="102"/>
  <c r="V53" i="102" s="1"/>
  <c r="P12" i="102"/>
  <c r="R35" i="102" s="1"/>
  <c r="L12" i="102"/>
  <c r="H12" i="102"/>
  <c r="J42" i="102" s="1"/>
  <c r="D12" i="102"/>
  <c r="F31" i="102" s="1"/>
  <c r="D6" i="102"/>
  <c r="D4" i="102"/>
  <c r="X77" i="101"/>
  <c r="Z77" i="101" s="1"/>
  <c r="N77" i="101"/>
  <c r="L77" i="101"/>
  <c r="T73" i="101"/>
  <c r="P73" i="101"/>
  <c r="N73" i="101"/>
  <c r="H73" i="101"/>
  <c r="H72" i="101" s="1"/>
  <c r="N72" i="101" s="1"/>
  <c r="D73" i="101"/>
  <c r="B73" i="101"/>
  <c r="P72" i="101"/>
  <c r="X70" i="101"/>
  <c r="Z70" i="101" s="1"/>
  <c r="N70" i="101"/>
  <c r="L70" i="101"/>
  <c r="B70" i="101"/>
  <c r="X69" i="101"/>
  <c r="T69" i="101"/>
  <c r="Z69" i="101" s="1"/>
  <c r="P69" i="101"/>
  <c r="N69" i="101"/>
  <c r="L69" i="101"/>
  <c r="H69" i="101"/>
  <c r="D69" i="101"/>
  <c r="B69" i="101"/>
  <c r="Z68" i="101"/>
  <c r="X68" i="101"/>
  <c r="N68" i="101"/>
  <c r="L68" i="101"/>
  <c r="B68" i="101"/>
  <c r="T67" i="101"/>
  <c r="P67" i="101"/>
  <c r="N67" i="101"/>
  <c r="L67" i="101"/>
  <c r="H67" i="101"/>
  <c r="D67" i="101"/>
  <c r="B67" i="101"/>
  <c r="Z66" i="101"/>
  <c r="X66" i="101"/>
  <c r="L66" i="101"/>
  <c r="N66" i="101" s="1"/>
  <c r="B66" i="101"/>
  <c r="Z65" i="101"/>
  <c r="X65" i="101"/>
  <c r="L65" i="101"/>
  <c r="N65" i="101" s="1"/>
  <c r="B65" i="101"/>
  <c r="Z64" i="101"/>
  <c r="X64" i="101"/>
  <c r="L64" i="101"/>
  <c r="N64" i="101" s="1"/>
  <c r="B64" i="101"/>
  <c r="X63" i="101"/>
  <c r="Z63" i="101" s="1"/>
  <c r="L63" i="101"/>
  <c r="N63" i="101" s="1"/>
  <c r="B63" i="101"/>
  <c r="X62" i="101"/>
  <c r="Z62" i="101" s="1"/>
  <c r="L62" i="101"/>
  <c r="N62" i="101" s="1"/>
  <c r="B62" i="101"/>
  <c r="T61" i="101"/>
  <c r="P61" i="101"/>
  <c r="X61" i="101" s="1"/>
  <c r="Z61" i="101" s="1"/>
  <c r="H61" i="101"/>
  <c r="D61" i="101"/>
  <c r="B61" i="101"/>
  <c r="X60" i="101"/>
  <c r="Z60" i="101" s="1"/>
  <c r="N60" i="101"/>
  <c r="L60" i="101"/>
  <c r="B60" i="101"/>
  <c r="X59" i="101"/>
  <c r="Z59" i="101" s="1"/>
  <c r="N59" i="101"/>
  <c r="L59" i="101"/>
  <c r="B59" i="101"/>
  <c r="V58" i="101"/>
  <c r="T58" i="101"/>
  <c r="P58" i="101"/>
  <c r="X58" i="101" s="1"/>
  <c r="Z58" i="101" s="1"/>
  <c r="L58" i="101"/>
  <c r="N58" i="101" s="1"/>
  <c r="H58" i="101"/>
  <c r="D58" i="101"/>
  <c r="B58" i="101"/>
  <c r="X57" i="101"/>
  <c r="Z57" i="101" s="1"/>
  <c r="N57" i="101"/>
  <c r="L57" i="101"/>
  <c r="B57" i="101"/>
  <c r="T56" i="101"/>
  <c r="X56" i="101" s="1"/>
  <c r="P56" i="101"/>
  <c r="L56" i="101"/>
  <c r="N56" i="101" s="1"/>
  <c r="H56" i="101"/>
  <c r="D56" i="101"/>
  <c r="B56" i="101"/>
  <c r="X55" i="101"/>
  <c r="Z55" i="101" s="1"/>
  <c r="L55" i="101"/>
  <c r="N55" i="101" s="1"/>
  <c r="B55" i="101"/>
  <c r="Z54" i="101"/>
  <c r="X54" i="101"/>
  <c r="N54" i="101"/>
  <c r="L54" i="101"/>
  <c r="B54" i="101"/>
  <c r="Z53" i="101"/>
  <c r="X53" i="101"/>
  <c r="L53" i="101"/>
  <c r="N53" i="101" s="1"/>
  <c r="B53" i="101"/>
  <c r="T52" i="101"/>
  <c r="P52" i="101"/>
  <c r="H52" i="101"/>
  <c r="N52" i="101" s="1"/>
  <c r="D52" i="101"/>
  <c r="L52" i="101" s="1"/>
  <c r="B52" i="101"/>
  <c r="X51" i="101"/>
  <c r="Z51" i="101" s="1"/>
  <c r="N51" i="101"/>
  <c r="L51" i="101"/>
  <c r="B51" i="101"/>
  <c r="X50" i="101"/>
  <c r="Z50" i="101" s="1"/>
  <c r="T50" i="101"/>
  <c r="P50" i="101"/>
  <c r="L50" i="101"/>
  <c r="H50" i="101"/>
  <c r="D50" i="101"/>
  <c r="B50" i="101"/>
  <c r="X49" i="101"/>
  <c r="Z49" i="101" s="1"/>
  <c r="N49" i="101"/>
  <c r="L49" i="101"/>
  <c r="B49" i="101"/>
  <c r="Z48" i="101"/>
  <c r="T48" i="101"/>
  <c r="X48" i="101" s="1"/>
  <c r="P48" i="101"/>
  <c r="H48" i="101"/>
  <c r="N48" i="101" s="1"/>
  <c r="D48" i="101"/>
  <c r="B48" i="101"/>
  <c r="X47" i="101"/>
  <c r="Z47" i="101" s="1"/>
  <c r="N47" i="101"/>
  <c r="L47" i="101"/>
  <c r="B47" i="101"/>
  <c r="T46" i="101"/>
  <c r="Z46" i="101" s="1"/>
  <c r="P46" i="101"/>
  <c r="X46" i="101" s="1"/>
  <c r="H46" i="101"/>
  <c r="N46" i="101" s="1"/>
  <c r="D46" i="101"/>
  <c r="L46" i="101" s="1"/>
  <c r="B46" i="101"/>
  <c r="X45" i="101"/>
  <c r="Z45" i="101" s="1"/>
  <c r="N45" i="101"/>
  <c r="L45" i="101"/>
  <c r="B45" i="101"/>
  <c r="X44" i="101"/>
  <c r="T44" i="101"/>
  <c r="P44" i="101"/>
  <c r="N44" i="101"/>
  <c r="L44" i="101"/>
  <c r="H44" i="101"/>
  <c r="D44" i="101"/>
  <c r="B44" i="101"/>
  <c r="Z43" i="101"/>
  <c r="X43" i="101"/>
  <c r="N43" i="101"/>
  <c r="L43" i="101"/>
  <c r="B43" i="101"/>
  <c r="Z42" i="101"/>
  <c r="X42" i="101"/>
  <c r="T42" i="101"/>
  <c r="P42" i="101"/>
  <c r="H42" i="101"/>
  <c r="L42" i="101" s="1"/>
  <c r="N42" i="101" s="1"/>
  <c r="D42" i="101"/>
  <c r="B42" i="101"/>
  <c r="Z41" i="101"/>
  <c r="X41" i="101"/>
  <c r="L41" i="101"/>
  <c r="N41" i="101" s="1"/>
  <c r="B41" i="101"/>
  <c r="T40" i="101"/>
  <c r="Z40" i="101" s="1"/>
  <c r="P40" i="101"/>
  <c r="X40" i="101" s="1"/>
  <c r="H40" i="101"/>
  <c r="D40" i="101"/>
  <c r="L40" i="101" s="1"/>
  <c r="B40" i="101"/>
  <c r="X39" i="101"/>
  <c r="Z39" i="101" s="1"/>
  <c r="V39" i="101"/>
  <c r="N39" i="101"/>
  <c r="L39" i="101"/>
  <c r="B39" i="101"/>
  <c r="Z38" i="101"/>
  <c r="X38" i="101"/>
  <c r="T38" i="101"/>
  <c r="P38" i="101"/>
  <c r="L38" i="101"/>
  <c r="H38" i="101"/>
  <c r="N38" i="101" s="1"/>
  <c r="D38" i="101"/>
  <c r="B38" i="101"/>
  <c r="X37" i="101"/>
  <c r="Z37" i="101" s="1"/>
  <c r="N37" i="101"/>
  <c r="L37" i="101"/>
  <c r="B37" i="101"/>
  <c r="X36" i="101"/>
  <c r="Z36" i="101" s="1"/>
  <c r="N36" i="101"/>
  <c r="L36" i="101"/>
  <c r="B36" i="101"/>
  <c r="Z35" i="101"/>
  <c r="X35" i="101"/>
  <c r="N35" i="101"/>
  <c r="L35" i="101"/>
  <c r="B35" i="101"/>
  <c r="X34" i="101"/>
  <c r="Z34" i="101" s="1"/>
  <c r="L34" i="101"/>
  <c r="N34" i="101" s="1"/>
  <c r="B34" i="101"/>
  <c r="Z33" i="101"/>
  <c r="X33" i="101"/>
  <c r="N33" i="101"/>
  <c r="L33" i="101"/>
  <c r="B33" i="101"/>
  <c r="T32" i="101"/>
  <c r="P32" i="101"/>
  <c r="X32" i="101" s="1"/>
  <c r="H32" i="101"/>
  <c r="D32" i="101"/>
  <c r="L32" i="101" s="1"/>
  <c r="B32" i="101"/>
  <c r="Z31" i="101"/>
  <c r="X31" i="101"/>
  <c r="V31" i="101"/>
  <c r="L31" i="101"/>
  <c r="N31" i="101" s="1"/>
  <c r="B31" i="101"/>
  <c r="X30" i="101"/>
  <c r="Z30" i="101" s="1"/>
  <c r="N30" i="101"/>
  <c r="L30" i="101"/>
  <c r="B30" i="101"/>
  <c r="X29" i="101"/>
  <c r="Z29" i="101" s="1"/>
  <c r="L29" i="101"/>
  <c r="N29" i="101" s="1"/>
  <c r="B29" i="101"/>
  <c r="X28" i="101"/>
  <c r="Z28" i="101" s="1"/>
  <c r="L28" i="101"/>
  <c r="N28" i="101" s="1"/>
  <c r="B28" i="101"/>
  <c r="Z27" i="101"/>
  <c r="X27" i="101"/>
  <c r="L27" i="101"/>
  <c r="N27" i="101" s="1"/>
  <c r="B27" i="101"/>
  <c r="X26" i="101"/>
  <c r="Z26" i="101" s="1"/>
  <c r="N26" i="101"/>
  <c r="L26" i="101"/>
  <c r="B26" i="101"/>
  <c r="Z25" i="101"/>
  <c r="X25" i="101"/>
  <c r="L25" i="101"/>
  <c r="N25" i="101" s="1"/>
  <c r="B25" i="101"/>
  <c r="X24" i="101"/>
  <c r="Z24" i="101" s="1"/>
  <c r="N24" i="101"/>
  <c r="L24" i="101"/>
  <c r="B24" i="101"/>
  <c r="Z23" i="101"/>
  <c r="T23" i="101"/>
  <c r="P23" i="101"/>
  <c r="X23" i="101" s="1"/>
  <c r="H23" i="101"/>
  <c r="D23" i="101"/>
  <c r="L23" i="101" s="1"/>
  <c r="N23" i="101" s="1"/>
  <c r="B23" i="101"/>
  <c r="T22" i="101"/>
  <c r="P22" i="101"/>
  <c r="X22" i="101" s="1"/>
  <c r="H22" i="101"/>
  <c r="D22" i="101"/>
  <c r="L22" i="101" s="1"/>
  <c r="Z18" i="101"/>
  <c r="X18" i="101"/>
  <c r="N18" i="101"/>
  <c r="L18" i="101"/>
  <c r="B18" i="101"/>
  <c r="X17" i="101"/>
  <c r="Z17" i="101" s="1"/>
  <c r="V17" i="101"/>
  <c r="L17" i="101"/>
  <c r="N17" i="101" s="1"/>
  <c r="B17" i="101"/>
  <c r="T16" i="101"/>
  <c r="P16" i="101"/>
  <c r="X16" i="101" s="1"/>
  <c r="H16" i="101"/>
  <c r="N16" i="101" s="1"/>
  <c r="D16" i="101"/>
  <c r="L16" i="101" s="1"/>
  <c r="X14" i="101"/>
  <c r="T14" i="101"/>
  <c r="P14" i="101"/>
  <c r="P12" i="101" s="1"/>
  <c r="N14" i="101"/>
  <c r="L14" i="101"/>
  <c r="H14" i="101"/>
  <c r="D14" i="101"/>
  <c r="B14" i="101"/>
  <c r="X13" i="101"/>
  <c r="T13" i="101"/>
  <c r="Z13" i="101" s="1"/>
  <c r="P13" i="101"/>
  <c r="H13" i="101"/>
  <c r="H12" i="101" s="1"/>
  <c r="D13" i="101"/>
  <c r="L13" i="101" s="1"/>
  <c r="N13" i="101" s="1"/>
  <c r="B13" i="101"/>
  <c r="T12" i="101"/>
  <c r="V47" i="101" s="1"/>
  <c r="D12" i="101"/>
  <c r="D6" i="101"/>
  <c r="D4" i="101"/>
  <c r="X57" i="100"/>
  <c r="Z57" i="100" s="1"/>
  <c r="N57" i="100"/>
  <c r="L57" i="100"/>
  <c r="T53" i="100"/>
  <c r="P53" i="100"/>
  <c r="P52" i="100" s="1"/>
  <c r="H53" i="100"/>
  <c r="N53" i="100" s="1"/>
  <c r="D53" i="100"/>
  <c r="L53" i="100" s="1"/>
  <c r="B53" i="100"/>
  <c r="T52" i="100"/>
  <c r="H52" i="100"/>
  <c r="Z50" i="100"/>
  <c r="X50" i="100"/>
  <c r="N50" i="100"/>
  <c r="L50" i="100"/>
  <c r="B50" i="100"/>
  <c r="T49" i="100"/>
  <c r="P49" i="100"/>
  <c r="X49" i="100" s="1"/>
  <c r="L49" i="100"/>
  <c r="N49" i="100" s="1"/>
  <c r="H49" i="100"/>
  <c r="D49" i="100"/>
  <c r="B49" i="100"/>
  <c r="Z48" i="100"/>
  <c r="X48" i="100"/>
  <c r="V48" i="100"/>
  <c r="L48" i="100"/>
  <c r="N48" i="100" s="1"/>
  <c r="J48" i="100"/>
  <c r="B48" i="100"/>
  <c r="Z47" i="100"/>
  <c r="X47" i="100"/>
  <c r="L47" i="100"/>
  <c r="N47" i="100" s="1"/>
  <c r="B47" i="100"/>
  <c r="Z46" i="100"/>
  <c r="T46" i="100"/>
  <c r="P46" i="100"/>
  <c r="X46" i="100" s="1"/>
  <c r="H46" i="100"/>
  <c r="D46" i="100"/>
  <c r="L46" i="100" s="1"/>
  <c r="N46" i="100" s="1"/>
  <c r="B46" i="100"/>
  <c r="X45" i="100"/>
  <c r="Z45" i="100" s="1"/>
  <c r="N45" i="100"/>
  <c r="L45" i="100"/>
  <c r="F45" i="100"/>
  <c r="B45" i="100"/>
  <c r="X44" i="100"/>
  <c r="Z44" i="100" s="1"/>
  <c r="V44" i="100"/>
  <c r="T44" i="100"/>
  <c r="P44" i="100"/>
  <c r="L44" i="100"/>
  <c r="N44" i="100" s="1"/>
  <c r="H44" i="100"/>
  <c r="F44" i="100"/>
  <c r="D44" i="100"/>
  <c r="B44" i="100"/>
  <c r="X43" i="100"/>
  <c r="Z43" i="100" s="1"/>
  <c r="N43" i="100"/>
  <c r="L43" i="100"/>
  <c r="B43" i="100"/>
  <c r="Z42" i="100"/>
  <c r="X42" i="100"/>
  <c r="N42" i="100"/>
  <c r="L42" i="100"/>
  <c r="B42" i="100"/>
  <c r="T41" i="100"/>
  <c r="P41" i="100"/>
  <c r="X41" i="100" s="1"/>
  <c r="N41" i="100"/>
  <c r="L41" i="100"/>
  <c r="H41" i="100"/>
  <c r="D41" i="100"/>
  <c r="B41" i="100"/>
  <c r="Z40" i="100"/>
  <c r="X40" i="100"/>
  <c r="V40" i="100"/>
  <c r="L40" i="100"/>
  <c r="N40" i="100" s="1"/>
  <c r="B40" i="100"/>
  <c r="T39" i="100"/>
  <c r="P39" i="100"/>
  <c r="X39" i="100" s="1"/>
  <c r="Z39" i="100" s="1"/>
  <c r="H39" i="100"/>
  <c r="D39" i="100"/>
  <c r="B39" i="100"/>
  <c r="X38" i="100"/>
  <c r="Z38" i="100" s="1"/>
  <c r="N38" i="100"/>
  <c r="L38" i="100"/>
  <c r="F38" i="100"/>
  <c r="B38" i="100"/>
  <c r="T37" i="100"/>
  <c r="P37" i="100"/>
  <c r="X37" i="100" s="1"/>
  <c r="L37" i="100"/>
  <c r="H37" i="100"/>
  <c r="N37" i="100" s="1"/>
  <c r="F37" i="100"/>
  <c r="D37" i="100"/>
  <c r="B37" i="100"/>
  <c r="Z36" i="100"/>
  <c r="X36" i="100"/>
  <c r="N36" i="100"/>
  <c r="L36" i="100"/>
  <c r="B36" i="100"/>
  <c r="Z35" i="100"/>
  <c r="X35" i="100"/>
  <c r="T35" i="100"/>
  <c r="P35" i="100"/>
  <c r="H35" i="100"/>
  <c r="N35" i="100" s="1"/>
  <c r="D35" i="100"/>
  <c r="B35" i="100"/>
  <c r="Z34" i="100"/>
  <c r="X34" i="100"/>
  <c r="N34" i="100"/>
  <c r="L34" i="100"/>
  <c r="B34" i="100"/>
  <c r="T33" i="100"/>
  <c r="P33" i="100"/>
  <c r="N33" i="100"/>
  <c r="H33" i="100"/>
  <c r="D33" i="100"/>
  <c r="L33" i="100" s="1"/>
  <c r="B33" i="100"/>
  <c r="X32" i="100"/>
  <c r="Z32" i="100" s="1"/>
  <c r="V32" i="100"/>
  <c r="N32" i="100"/>
  <c r="L32" i="100"/>
  <c r="B32" i="100"/>
  <c r="X31" i="100"/>
  <c r="T31" i="100"/>
  <c r="Z31" i="100" s="1"/>
  <c r="P31" i="100"/>
  <c r="H31" i="100"/>
  <c r="N31" i="100" s="1"/>
  <c r="D31" i="100"/>
  <c r="L31" i="100" s="1"/>
  <c r="B31" i="100"/>
  <c r="Z30" i="100"/>
  <c r="X30" i="100"/>
  <c r="R30" i="100"/>
  <c r="N30" i="100"/>
  <c r="L30" i="100"/>
  <c r="B30" i="100"/>
  <c r="T29" i="100"/>
  <c r="P29" i="100"/>
  <c r="N29" i="100"/>
  <c r="L29" i="100"/>
  <c r="H29" i="100"/>
  <c r="D29" i="100"/>
  <c r="B29" i="100"/>
  <c r="Z28" i="100"/>
  <c r="X28" i="100"/>
  <c r="V28" i="100"/>
  <c r="N28" i="100"/>
  <c r="L28" i="100"/>
  <c r="J28" i="100"/>
  <c r="B28" i="100"/>
  <c r="Z27" i="100"/>
  <c r="X27" i="100"/>
  <c r="V27" i="100"/>
  <c r="N27" i="100"/>
  <c r="L27" i="100"/>
  <c r="B27" i="100"/>
  <c r="Z26" i="100"/>
  <c r="X26" i="100"/>
  <c r="N26" i="100"/>
  <c r="L26" i="100"/>
  <c r="B26" i="100"/>
  <c r="X25" i="100"/>
  <c r="Z25" i="100" s="1"/>
  <c r="V25" i="100"/>
  <c r="N25" i="100"/>
  <c r="L25" i="100"/>
  <c r="B25" i="100"/>
  <c r="V24" i="100"/>
  <c r="T24" i="100"/>
  <c r="P24" i="100"/>
  <c r="X24" i="100" s="1"/>
  <c r="Z24" i="100" s="1"/>
  <c r="N24" i="100"/>
  <c r="H24" i="100"/>
  <c r="D24" i="100"/>
  <c r="L24" i="100" s="1"/>
  <c r="B24" i="100"/>
  <c r="X23" i="100"/>
  <c r="Z23" i="100" s="1"/>
  <c r="N23" i="100"/>
  <c r="L23" i="100"/>
  <c r="B23" i="100"/>
  <c r="X22" i="100"/>
  <c r="Z22" i="100" s="1"/>
  <c r="T22" i="100"/>
  <c r="R22" i="100"/>
  <c r="P22" i="100"/>
  <c r="N22" i="100"/>
  <c r="L22" i="100"/>
  <c r="J22" i="100"/>
  <c r="H22" i="100"/>
  <c r="D22" i="100"/>
  <c r="B22" i="100"/>
  <c r="T21" i="100"/>
  <c r="P21" i="100"/>
  <c r="X21" i="100" s="1"/>
  <c r="N21" i="100"/>
  <c r="L21" i="100"/>
  <c r="H21" i="100"/>
  <c r="D21" i="100"/>
  <c r="T19" i="100"/>
  <c r="Z17" i="100"/>
  <c r="X17" i="100"/>
  <c r="N17" i="100"/>
  <c r="L17" i="100"/>
  <c r="F17" i="100"/>
  <c r="B17" i="100"/>
  <c r="X16" i="100"/>
  <c r="Z16" i="100" s="1"/>
  <c r="N16" i="100"/>
  <c r="L16" i="100"/>
  <c r="J16" i="100"/>
  <c r="B16" i="100"/>
  <c r="X15" i="100"/>
  <c r="Z15" i="100" s="1"/>
  <c r="T15" i="100"/>
  <c r="P15" i="100"/>
  <c r="H15" i="100"/>
  <c r="N15" i="100" s="1"/>
  <c r="D15" i="100"/>
  <c r="Z13" i="100"/>
  <c r="X13" i="100"/>
  <c r="T13" i="100"/>
  <c r="P13" i="100"/>
  <c r="H13" i="100"/>
  <c r="H12" i="100" s="1"/>
  <c r="D13" i="100"/>
  <c r="B13" i="100"/>
  <c r="T12" i="100"/>
  <c r="P12" i="100"/>
  <c r="R53" i="100" s="1"/>
  <c r="D12" i="100"/>
  <c r="F48" i="100" s="1"/>
  <c r="D6" i="100"/>
  <c r="D4" i="100"/>
  <c r="Z45" i="99"/>
  <c r="X45" i="99"/>
  <c r="N45" i="99"/>
  <c r="L45" i="99"/>
  <c r="J45" i="99"/>
  <c r="J43" i="99"/>
  <c r="X41" i="99"/>
  <c r="T41" i="99"/>
  <c r="P41" i="99"/>
  <c r="N41" i="99"/>
  <c r="J41" i="99"/>
  <c r="H41" i="99"/>
  <c r="L41" i="99" s="1"/>
  <c r="D41" i="99"/>
  <c r="B41" i="99"/>
  <c r="P40" i="99"/>
  <c r="J40" i="99"/>
  <c r="H40" i="99"/>
  <c r="D40" i="99"/>
  <c r="Z38" i="99"/>
  <c r="X38" i="99"/>
  <c r="L38" i="99"/>
  <c r="N38" i="99" s="1"/>
  <c r="B38" i="99"/>
  <c r="T37" i="99"/>
  <c r="Z37" i="99" s="1"/>
  <c r="P37" i="99"/>
  <c r="X37" i="99" s="1"/>
  <c r="J37" i="99"/>
  <c r="H37" i="99"/>
  <c r="D37" i="99"/>
  <c r="L37" i="99" s="1"/>
  <c r="N37" i="99" s="1"/>
  <c r="B37" i="99"/>
  <c r="X36" i="99"/>
  <c r="Z36" i="99" s="1"/>
  <c r="V36" i="99"/>
  <c r="N36" i="99"/>
  <c r="L36" i="99"/>
  <c r="B36" i="99"/>
  <c r="T35" i="99"/>
  <c r="P35" i="99"/>
  <c r="X35" i="99" s="1"/>
  <c r="Z35" i="99" s="1"/>
  <c r="L35" i="99"/>
  <c r="N35" i="99" s="1"/>
  <c r="H35" i="99"/>
  <c r="F35" i="99"/>
  <c r="D35" i="99"/>
  <c r="B35" i="99"/>
  <c r="X34" i="99"/>
  <c r="Z34" i="99" s="1"/>
  <c r="N34" i="99"/>
  <c r="L34" i="99"/>
  <c r="J34" i="99"/>
  <c r="B34" i="99"/>
  <c r="Z33" i="99"/>
  <c r="T33" i="99"/>
  <c r="X33" i="99" s="1"/>
  <c r="R33" i="99"/>
  <c r="P33" i="99"/>
  <c r="L33" i="99"/>
  <c r="J33" i="99"/>
  <c r="H33" i="99"/>
  <c r="N33" i="99" s="1"/>
  <c r="D33" i="99"/>
  <c r="B33" i="99"/>
  <c r="X32" i="99"/>
  <c r="Z32" i="99" s="1"/>
  <c r="R32" i="99"/>
  <c r="N32" i="99"/>
  <c r="L32" i="99"/>
  <c r="J32" i="99"/>
  <c r="B32" i="99"/>
  <c r="V31" i="99"/>
  <c r="T31" i="99"/>
  <c r="R31" i="99"/>
  <c r="P31" i="99"/>
  <c r="X31" i="99" s="1"/>
  <c r="Z31" i="99" s="1"/>
  <c r="H31" i="99"/>
  <c r="N31" i="99" s="1"/>
  <c r="D31" i="99"/>
  <c r="L31" i="99" s="1"/>
  <c r="B31" i="99"/>
  <c r="X30" i="99"/>
  <c r="Z30" i="99" s="1"/>
  <c r="R30" i="99"/>
  <c r="L30" i="99"/>
  <c r="N30" i="99" s="1"/>
  <c r="B30" i="99"/>
  <c r="X29" i="99"/>
  <c r="Z29" i="99" s="1"/>
  <c r="T29" i="99"/>
  <c r="R29" i="99"/>
  <c r="P29" i="99"/>
  <c r="J29" i="99"/>
  <c r="H29" i="99"/>
  <c r="D29" i="99"/>
  <c r="L29" i="99" s="1"/>
  <c r="N29" i="99" s="1"/>
  <c r="B29" i="99"/>
  <c r="Z28" i="99"/>
  <c r="X28" i="99"/>
  <c r="R28" i="99"/>
  <c r="L28" i="99"/>
  <c r="N28" i="99" s="1"/>
  <c r="J28" i="99"/>
  <c r="B28" i="99"/>
  <c r="X27" i="99"/>
  <c r="Z27" i="99" s="1"/>
  <c r="R27" i="99"/>
  <c r="N27" i="99"/>
  <c r="L27" i="99"/>
  <c r="J27" i="99"/>
  <c r="B27" i="99"/>
  <c r="Z26" i="99"/>
  <c r="X26" i="99"/>
  <c r="N26" i="99"/>
  <c r="L26" i="99"/>
  <c r="J26" i="99"/>
  <c r="B26" i="99"/>
  <c r="Z25" i="99"/>
  <c r="X25" i="99"/>
  <c r="R25" i="99"/>
  <c r="N25" i="99"/>
  <c r="L25" i="99"/>
  <c r="B25" i="99"/>
  <c r="Z24" i="99"/>
  <c r="X24" i="99"/>
  <c r="R24" i="99"/>
  <c r="L24" i="99"/>
  <c r="N24" i="99" s="1"/>
  <c r="J24" i="99"/>
  <c r="B24" i="99"/>
  <c r="X23" i="99"/>
  <c r="Z23" i="99" s="1"/>
  <c r="R23" i="99"/>
  <c r="N23" i="99"/>
  <c r="L23" i="99"/>
  <c r="J23" i="99"/>
  <c r="B23" i="99"/>
  <c r="X22" i="99"/>
  <c r="Z22" i="99" s="1"/>
  <c r="N22" i="99"/>
  <c r="L22" i="99"/>
  <c r="J22" i="99"/>
  <c r="B22" i="99"/>
  <c r="Z21" i="99"/>
  <c r="X21" i="99"/>
  <c r="R21" i="99"/>
  <c r="N21" i="99"/>
  <c r="L21" i="99"/>
  <c r="B21" i="99"/>
  <c r="T20" i="99"/>
  <c r="P20" i="99"/>
  <c r="L20" i="99"/>
  <c r="N20" i="99" s="1"/>
  <c r="H20" i="99"/>
  <c r="F20" i="99"/>
  <c r="D20" i="99"/>
  <c r="B20" i="99"/>
  <c r="T19" i="99"/>
  <c r="R19" i="99"/>
  <c r="P19" i="99"/>
  <c r="X19" i="99" s="1"/>
  <c r="Z19" i="99" s="1"/>
  <c r="J19" i="99"/>
  <c r="H19" i="99"/>
  <c r="N19" i="99" s="1"/>
  <c r="D19" i="99"/>
  <c r="L19" i="99" s="1"/>
  <c r="R17" i="99"/>
  <c r="P17" i="99"/>
  <c r="J17" i="99"/>
  <c r="H17" i="99"/>
  <c r="Z15" i="99"/>
  <c r="X15" i="99"/>
  <c r="N15" i="99"/>
  <c r="L15" i="99"/>
  <c r="J15" i="99"/>
  <c r="B15" i="99"/>
  <c r="X14" i="99"/>
  <c r="Z14" i="99" s="1"/>
  <c r="V14" i="99"/>
  <c r="T14" i="99"/>
  <c r="P14" i="99"/>
  <c r="L14" i="99"/>
  <c r="J14" i="99"/>
  <c r="H14" i="99"/>
  <c r="N14" i="99" s="1"/>
  <c r="D14" i="99"/>
  <c r="T12" i="99"/>
  <c r="P12" i="99"/>
  <c r="R35" i="99" s="1"/>
  <c r="H12" i="99"/>
  <c r="J30" i="99" s="1"/>
  <c r="D12" i="99"/>
  <c r="D6" i="99"/>
  <c r="D4" i="99"/>
  <c r="F34" i="98"/>
  <c r="R31" i="98"/>
  <c r="F31" i="98"/>
  <c r="Z29" i="98"/>
  <c r="X29" i="98"/>
  <c r="R29" i="98"/>
  <c r="N29" i="98"/>
  <c r="L29" i="98"/>
  <c r="F29" i="98"/>
  <c r="T25" i="98"/>
  <c r="Z25" i="98" s="1"/>
  <c r="P25" i="98"/>
  <c r="N25" i="98"/>
  <c r="L25" i="98"/>
  <c r="H25" i="98"/>
  <c r="D25" i="98"/>
  <c r="X23" i="98"/>
  <c r="Z23" i="98" s="1"/>
  <c r="R23" i="98"/>
  <c r="L23" i="98"/>
  <c r="N23" i="98" s="1"/>
  <c r="J23" i="98"/>
  <c r="F23" i="98"/>
  <c r="B23" i="98"/>
  <c r="V22" i="98"/>
  <c r="T22" i="98"/>
  <c r="P22" i="98"/>
  <c r="X22" i="98" s="1"/>
  <c r="Z22" i="98" s="1"/>
  <c r="H22" i="98"/>
  <c r="F22" i="98"/>
  <c r="D22" i="98"/>
  <c r="L22" i="98" s="1"/>
  <c r="N22" i="98" s="1"/>
  <c r="B22" i="98"/>
  <c r="X21" i="98"/>
  <c r="Z21" i="98" s="1"/>
  <c r="L21" i="98"/>
  <c r="N21" i="98" s="1"/>
  <c r="F21" i="98"/>
  <c r="B21" i="98"/>
  <c r="X20" i="98"/>
  <c r="Z20" i="98" s="1"/>
  <c r="N20" i="98"/>
  <c r="L20" i="98"/>
  <c r="F20" i="98"/>
  <c r="B20" i="98"/>
  <c r="T19" i="98"/>
  <c r="R19" i="98"/>
  <c r="P19" i="98"/>
  <c r="H19" i="98"/>
  <c r="F19" i="98"/>
  <c r="D19" i="98"/>
  <c r="L19" i="98" s="1"/>
  <c r="B19" i="98"/>
  <c r="T18" i="98"/>
  <c r="P18" i="98"/>
  <c r="J18" i="98"/>
  <c r="H18" i="98"/>
  <c r="F18" i="98"/>
  <c r="D18" i="98"/>
  <c r="H16" i="98"/>
  <c r="F16" i="98"/>
  <c r="T14" i="98"/>
  <c r="P14" i="98"/>
  <c r="N14" i="98"/>
  <c r="H14" i="98"/>
  <c r="F14" i="98"/>
  <c r="D14" i="98"/>
  <c r="D16" i="98" s="1"/>
  <c r="T12" i="98"/>
  <c r="P12" i="98"/>
  <c r="H12" i="98"/>
  <c r="D12" i="98"/>
  <c r="F27" i="98" s="1"/>
  <c r="D6" i="98"/>
  <c r="D4" i="98"/>
  <c r="Z82" i="97"/>
  <c r="X82" i="97"/>
  <c r="L82" i="97"/>
  <c r="N82" i="97" s="1"/>
  <c r="T78" i="97"/>
  <c r="Z78" i="97" s="1"/>
  <c r="P78" i="97"/>
  <c r="X78" i="97" s="1"/>
  <c r="H78" i="97"/>
  <c r="D78" i="97"/>
  <c r="B78" i="97"/>
  <c r="P77" i="97"/>
  <c r="D77" i="97"/>
  <c r="X75" i="97"/>
  <c r="Z75" i="97" s="1"/>
  <c r="N75" i="97"/>
  <c r="L75" i="97"/>
  <c r="B75" i="97"/>
  <c r="T74" i="97"/>
  <c r="P74" i="97"/>
  <c r="X74" i="97" s="1"/>
  <c r="N74" i="97"/>
  <c r="L74" i="97"/>
  <c r="H74" i="97"/>
  <c r="D74" i="97"/>
  <c r="B74" i="97"/>
  <c r="X73" i="97"/>
  <c r="Z73" i="97" s="1"/>
  <c r="L73" i="97"/>
  <c r="N73" i="97" s="1"/>
  <c r="B73" i="97"/>
  <c r="T72" i="97"/>
  <c r="P72" i="97"/>
  <c r="X72" i="97" s="1"/>
  <c r="Z72" i="97" s="1"/>
  <c r="H72" i="97"/>
  <c r="D72" i="97"/>
  <c r="L72" i="97" s="1"/>
  <c r="N72" i="97" s="1"/>
  <c r="B72" i="97"/>
  <c r="X71" i="97"/>
  <c r="Z71" i="97" s="1"/>
  <c r="N71" i="97"/>
  <c r="L71" i="97"/>
  <c r="F71" i="97"/>
  <c r="B71" i="97"/>
  <c r="X70" i="97"/>
  <c r="Z70" i="97" s="1"/>
  <c r="N70" i="97"/>
  <c r="L70" i="97"/>
  <c r="B70" i="97"/>
  <c r="X69" i="97"/>
  <c r="Z69" i="97" s="1"/>
  <c r="N69" i="97"/>
  <c r="L69" i="97"/>
  <c r="B69" i="97"/>
  <c r="X68" i="97"/>
  <c r="Z68" i="97" s="1"/>
  <c r="N68" i="97"/>
  <c r="L68" i="97"/>
  <c r="B68" i="97"/>
  <c r="X67" i="97"/>
  <c r="Z67" i="97" s="1"/>
  <c r="N67" i="97"/>
  <c r="L67" i="97"/>
  <c r="B67" i="97"/>
  <c r="X66" i="97"/>
  <c r="Z66" i="97" s="1"/>
  <c r="L66" i="97"/>
  <c r="N66" i="97" s="1"/>
  <c r="B66" i="97"/>
  <c r="T65" i="97"/>
  <c r="P65" i="97"/>
  <c r="X65" i="97" s="1"/>
  <c r="H65" i="97"/>
  <c r="D65" i="97"/>
  <c r="L65" i="97" s="1"/>
  <c r="B65" i="97"/>
  <c r="Z64" i="97"/>
  <c r="X64" i="97"/>
  <c r="N64" i="97"/>
  <c r="L64" i="97"/>
  <c r="B64" i="97"/>
  <c r="T63" i="97"/>
  <c r="P63" i="97"/>
  <c r="X63" i="97" s="1"/>
  <c r="N63" i="97"/>
  <c r="L63" i="97"/>
  <c r="H63" i="97"/>
  <c r="D63" i="97"/>
  <c r="B63" i="97"/>
  <c r="Z62" i="97"/>
  <c r="X62" i="97"/>
  <c r="N62" i="97"/>
  <c r="L62" i="97"/>
  <c r="B62" i="97"/>
  <c r="Z61" i="97"/>
  <c r="X61" i="97"/>
  <c r="N61" i="97"/>
  <c r="L61" i="97"/>
  <c r="B61" i="97"/>
  <c r="Z60" i="97"/>
  <c r="X60" i="97"/>
  <c r="L60" i="97"/>
  <c r="N60" i="97" s="1"/>
  <c r="B60" i="97"/>
  <c r="T59" i="97"/>
  <c r="P59" i="97"/>
  <c r="H59" i="97"/>
  <c r="N59" i="97" s="1"/>
  <c r="D59" i="97"/>
  <c r="L59" i="97" s="1"/>
  <c r="B59" i="97"/>
  <c r="X58" i="97"/>
  <c r="Z58" i="97" s="1"/>
  <c r="V58" i="97"/>
  <c r="L58" i="97"/>
  <c r="N58" i="97" s="1"/>
  <c r="B58" i="97"/>
  <c r="Z57" i="97"/>
  <c r="X57" i="97"/>
  <c r="N57" i="97"/>
  <c r="L57" i="97"/>
  <c r="B57" i="97"/>
  <c r="X56" i="97"/>
  <c r="Z56" i="97" s="1"/>
  <c r="N56" i="97"/>
  <c r="L56" i="97"/>
  <c r="B56" i="97"/>
  <c r="T55" i="97"/>
  <c r="Z55" i="97" s="1"/>
  <c r="P55" i="97"/>
  <c r="X55" i="97" s="1"/>
  <c r="L55" i="97"/>
  <c r="H55" i="97"/>
  <c r="N55" i="97" s="1"/>
  <c r="D55" i="97"/>
  <c r="B55" i="97"/>
  <c r="X54" i="97"/>
  <c r="Z54" i="97" s="1"/>
  <c r="N54" i="97"/>
  <c r="L54" i="97"/>
  <c r="B54" i="97"/>
  <c r="Z53" i="97"/>
  <c r="X53" i="97"/>
  <c r="N53" i="97"/>
  <c r="L53" i="97"/>
  <c r="B53" i="97"/>
  <c r="T52" i="97"/>
  <c r="X52" i="97" s="1"/>
  <c r="P52" i="97"/>
  <c r="H52" i="97"/>
  <c r="D52" i="97"/>
  <c r="B52" i="97"/>
  <c r="X51" i="97"/>
  <c r="Z51" i="97" s="1"/>
  <c r="L51" i="97"/>
  <c r="N51" i="97" s="1"/>
  <c r="B51" i="97"/>
  <c r="T50" i="97"/>
  <c r="P50" i="97"/>
  <c r="X50" i="97" s="1"/>
  <c r="Z50" i="97" s="1"/>
  <c r="N50" i="97"/>
  <c r="H50" i="97"/>
  <c r="D50" i="97"/>
  <c r="L50" i="97" s="1"/>
  <c r="B50" i="97"/>
  <c r="X49" i="97"/>
  <c r="Z49" i="97" s="1"/>
  <c r="N49" i="97"/>
  <c r="L49" i="97"/>
  <c r="B49" i="97"/>
  <c r="X48" i="97"/>
  <c r="Z48" i="97" s="1"/>
  <c r="T48" i="97"/>
  <c r="P48" i="97"/>
  <c r="N48" i="97"/>
  <c r="L48" i="97"/>
  <c r="H48" i="97"/>
  <c r="D48" i="97"/>
  <c r="B48" i="97"/>
  <c r="Z47" i="97"/>
  <c r="X47" i="97"/>
  <c r="L47" i="97"/>
  <c r="N47" i="97" s="1"/>
  <c r="B47" i="97"/>
  <c r="X46" i="97"/>
  <c r="Z46" i="97" s="1"/>
  <c r="N46" i="97"/>
  <c r="L46" i="97"/>
  <c r="B46" i="97"/>
  <c r="X45" i="97"/>
  <c r="Z45" i="97" s="1"/>
  <c r="T45" i="97"/>
  <c r="P45" i="97"/>
  <c r="H45" i="97"/>
  <c r="D45" i="97"/>
  <c r="B45" i="97"/>
  <c r="Z44" i="97"/>
  <c r="X44" i="97"/>
  <c r="L44" i="97"/>
  <c r="N44" i="97" s="1"/>
  <c r="B44" i="97"/>
  <c r="T43" i="97"/>
  <c r="P43" i="97"/>
  <c r="H43" i="97"/>
  <c r="D43" i="97"/>
  <c r="L43" i="97" s="1"/>
  <c r="B43" i="97"/>
  <c r="Z42" i="97"/>
  <c r="X42" i="97"/>
  <c r="L42" i="97"/>
  <c r="N42" i="97" s="1"/>
  <c r="B42" i="97"/>
  <c r="T41" i="97"/>
  <c r="P41" i="97"/>
  <c r="X41" i="97" s="1"/>
  <c r="H41" i="97"/>
  <c r="D41" i="97"/>
  <c r="L41" i="97" s="1"/>
  <c r="B41" i="97"/>
  <c r="Z40" i="97"/>
  <c r="X40" i="97"/>
  <c r="N40" i="97"/>
  <c r="L40" i="97"/>
  <c r="B40" i="97"/>
  <c r="T39" i="97"/>
  <c r="P39" i="97"/>
  <c r="X39" i="97" s="1"/>
  <c r="L39" i="97"/>
  <c r="N39" i="97" s="1"/>
  <c r="H39" i="97"/>
  <c r="D39" i="97"/>
  <c r="B39" i="97"/>
  <c r="Z38" i="97"/>
  <c r="X38" i="97"/>
  <c r="V38" i="97"/>
  <c r="N38" i="97"/>
  <c r="L38" i="97"/>
  <c r="J38" i="97"/>
  <c r="B38" i="97"/>
  <c r="Z37" i="97"/>
  <c r="X37" i="97"/>
  <c r="L37" i="97"/>
  <c r="N37" i="97" s="1"/>
  <c r="B37" i="97"/>
  <c r="Z36" i="97"/>
  <c r="X36" i="97"/>
  <c r="L36" i="97"/>
  <c r="N36" i="97" s="1"/>
  <c r="B36" i="97"/>
  <c r="X35" i="97"/>
  <c r="Z35" i="97" s="1"/>
  <c r="L35" i="97"/>
  <c r="N35" i="97" s="1"/>
  <c r="B35" i="97"/>
  <c r="Z34" i="97"/>
  <c r="X34" i="97"/>
  <c r="N34" i="97"/>
  <c r="L34" i="97"/>
  <c r="J34" i="97"/>
  <c r="B34" i="97"/>
  <c r="Z33" i="97"/>
  <c r="X33" i="97"/>
  <c r="L33" i="97"/>
  <c r="N33" i="97" s="1"/>
  <c r="B33" i="97"/>
  <c r="Z32" i="97"/>
  <c r="T32" i="97"/>
  <c r="P32" i="97"/>
  <c r="X32" i="97" s="1"/>
  <c r="J32" i="97"/>
  <c r="H32" i="97"/>
  <c r="F32" i="97"/>
  <c r="D32" i="97"/>
  <c r="L32" i="97" s="1"/>
  <c r="N32" i="97" s="1"/>
  <c r="B32" i="97"/>
  <c r="X31" i="97"/>
  <c r="Z31" i="97" s="1"/>
  <c r="N31" i="97"/>
  <c r="L31" i="97"/>
  <c r="B31" i="97"/>
  <c r="X30" i="97"/>
  <c r="Z30" i="97" s="1"/>
  <c r="V30" i="97"/>
  <c r="L30" i="97"/>
  <c r="N30" i="97" s="1"/>
  <c r="B30" i="97"/>
  <c r="X29" i="97"/>
  <c r="Z29" i="97" s="1"/>
  <c r="L29" i="97"/>
  <c r="N29" i="97" s="1"/>
  <c r="B29" i="97"/>
  <c r="X28" i="97"/>
  <c r="Z28" i="97" s="1"/>
  <c r="N28" i="97"/>
  <c r="L28" i="97"/>
  <c r="F28" i="97"/>
  <c r="B28" i="97"/>
  <c r="X27" i="97"/>
  <c r="Z27" i="97" s="1"/>
  <c r="N27" i="97"/>
  <c r="L27" i="97"/>
  <c r="F27" i="97"/>
  <c r="B27" i="97"/>
  <c r="X26" i="97"/>
  <c r="Z26" i="97" s="1"/>
  <c r="L26" i="97"/>
  <c r="N26" i="97" s="1"/>
  <c r="B26" i="97"/>
  <c r="X25" i="97"/>
  <c r="Z25" i="97" s="1"/>
  <c r="N25" i="97"/>
  <c r="L25" i="97"/>
  <c r="B25" i="97"/>
  <c r="X24" i="97"/>
  <c r="Z24" i="97" s="1"/>
  <c r="N24" i="97"/>
  <c r="L24" i="97"/>
  <c r="B24" i="97"/>
  <c r="T23" i="97"/>
  <c r="P23" i="97"/>
  <c r="X23" i="97" s="1"/>
  <c r="H23" i="97"/>
  <c r="D23" i="97"/>
  <c r="L23" i="97" s="1"/>
  <c r="B23" i="97"/>
  <c r="T22" i="97"/>
  <c r="P22" i="97"/>
  <c r="H22" i="97"/>
  <c r="L22" i="97" s="1"/>
  <c r="D22" i="97"/>
  <c r="J20" i="97"/>
  <c r="H20" i="97"/>
  <c r="X18" i="97"/>
  <c r="Z18" i="97" s="1"/>
  <c r="N18" i="97"/>
  <c r="L18" i="97"/>
  <c r="B18" i="97"/>
  <c r="Z17" i="97"/>
  <c r="X17" i="97"/>
  <c r="N17" i="97"/>
  <c r="L17" i="97"/>
  <c r="B17" i="97"/>
  <c r="T16" i="97"/>
  <c r="X16" i="97" s="1"/>
  <c r="P16" i="97"/>
  <c r="H16" i="97"/>
  <c r="D16" i="97"/>
  <c r="T14" i="97"/>
  <c r="P14" i="97"/>
  <c r="X14" i="97" s="1"/>
  <c r="Z14" i="97" s="1"/>
  <c r="H14" i="97"/>
  <c r="D14" i="97"/>
  <c r="L14" i="97" s="1"/>
  <c r="N14" i="97" s="1"/>
  <c r="B14" i="97"/>
  <c r="T13" i="97"/>
  <c r="T12" i="97" s="1"/>
  <c r="P13" i="97"/>
  <c r="H13" i="97"/>
  <c r="D13" i="97"/>
  <c r="D12" i="97" s="1"/>
  <c r="F47" i="97" s="1"/>
  <c r="B13" i="97"/>
  <c r="H12" i="97"/>
  <c r="J74" i="97" s="1"/>
  <c r="D6" i="97"/>
  <c r="D4" i="97"/>
  <c r="Z88" i="95"/>
  <c r="X88" i="95"/>
  <c r="N88" i="95"/>
  <c r="L88" i="95"/>
  <c r="T84" i="95"/>
  <c r="P84" i="95"/>
  <c r="H84" i="95"/>
  <c r="L84" i="95" s="1"/>
  <c r="D84" i="95"/>
  <c r="X82" i="95"/>
  <c r="Z82" i="95" s="1"/>
  <c r="N82" i="95"/>
  <c r="L82" i="95"/>
  <c r="B82" i="95"/>
  <c r="X81" i="95"/>
  <c r="Z81" i="95" s="1"/>
  <c r="T81" i="95"/>
  <c r="P81" i="95"/>
  <c r="H81" i="95"/>
  <c r="D81" i="95"/>
  <c r="B81" i="95"/>
  <c r="Z80" i="95"/>
  <c r="X80" i="95"/>
  <c r="L80" i="95"/>
  <c r="N80" i="95" s="1"/>
  <c r="B80" i="95"/>
  <c r="T79" i="95"/>
  <c r="P79" i="95"/>
  <c r="H79" i="95"/>
  <c r="N79" i="95" s="1"/>
  <c r="D79" i="95"/>
  <c r="L79" i="95" s="1"/>
  <c r="B79" i="95"/>
  <c r="Z78" i="95"/>
  <c r="X78" i="95"/>
  <c r="L78" i="95"/>
  <c r="N78" i="95" s="1"/>
  <c r="B78" i="95"/>
  <c r="T77" i="95"/>
  <c r="P77" i="95"/>
  <c r="X77" i="95" s="1"/>
  <c r="H77" i="95"/>
  <c r="D77" i="95"/>
  <c r="L77" i="95" s="1"/>
  <c r="B77" i="95"/>
  <c r="Z76" i="95"/>
  <c r="X76" i="95"/>
  <c r="N76" i="95"/>
  <c r="L76" i="95"/>
  <c r="B76" i="95"/>
  <c r="Z75" i="95"/>
  <c r="X75" i="95"/>
  <c r="L75" i="95"/>
  <c r="N75" i="95" s="1"/>
  <c r="B75" i="95"/>
  <c r="X74" i="95"/>
  <c r="Z74" i="95" s="1"/>
  <c r="N74" i="95"/>
  <c r="L74" i="95"/>
  <c r="B74" i="95"/>
  <c r="X73" i="95"/>
  <c r="Z73" i="95" s="1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X69" i="95"/>
  <c r="Z69" i="95" s="1"/>
  <c r="T69" i="95"/>
  <c r="P69" i="95"/>
  <c r="H69" i="95"/>
  <c r="D69" i="95"/>
  <c r="B69" i="95"/>
  <c r="Z68" i="95"/>
  <c r="X68" i="95"/>
  <c r="L68" i="95"/>
  <c r="N68" i="95" s="1"/>
  <c r="B68" i="95"/>
  <c r="X67" i="95"/>
  <c r="T67" i="95"/>
  <c r="P67" i="95"/>
  <c r="H67" i="95"/>
  <c r="N67" i="95" s="1"/>
  <c r="D67" i="95"/>
  <c r="L67" i="95" s="1"/>
  <c r="B67" i="95"/>
  <c r="X66" i="95"/>
  <c r="Z66" i="95" s="1"/>
  <c r="N66" i="95"/>
  <c r="L66" i="95"/>
  <c r="B66" i="95"/>
  <c r="X65" i="95"/>
  <c r="Z65" i="95" s="1"/>
  <c r="N65" i="95"/>
  <c r="L65" i="95"/>
  <c r="B65" i="95"/>
  <c r="X64" i="95"/>
  <c r="Z64" i="95" s="1"/>
  <c r="N64" i="95"/>
  <c r="L64" i="95"/>
  <c r="B64" i="95"/>
  <c r="X63" i="95"/>
  <c r="Z63" i="95" s="1"/>
  <c r="N63" i="95"/>
  <c r="L63" i="95"/>
  <c r="B63" i="95"/>
  <c r="Z62" i="95"/>
  <c r="X62" i="95"/>
  <c r="L62" i="95"/>
  <c r="N62" i="95" s="1"/>
  <c r="B62" i="95"/>
  <c r="X61" i="95"/>
  <c r="T61" i="95"/>
  <c r="P61" i="95"/>
  <c r="H61" i="95"/>
  <c r="D61" i="95"/>
  <c r="L61" i="95" s="1"/>
  <c r="B61" i="95"/>
  <c r="Z60" i="95"/>
  <c r="X60" i="95"/>
  <c r="N60" i="95"/>
  <c r="L60" i="95"/>
  <c r="B60" i="95"/>
  <c r="Z59" i="95"/>
  <c r="X59" i="95"/>
  <c r="N59" i="95"/>
  <c r="L59" i="95"/>
  <c r="J59" i="95"/>
  <c r="B59" i="95"/>
  <c r="X58" i="95"/>
  <c r="Z58" i="95" s="1"/>
  <c r="N58" i="95"/>
  <c r="L58" i="95"/>
  <c r="B58" i="95"/>
  <c r="X57" i="95"/>
  <c r="Z57" i="95" s="1"/>
  <c r="T57" i="95"/>
  <c r="P57" i="95"/>
  <c r="H57" i="95"/>
  <c r="D57" i="95"/>
  <c r="L57" i="95" s="1"/>
  <c r="B57" i="95"/>
  <c r="Z56" i="95"/>
  <c r="X56" i="95"/>
  <c r="L56" i="95"/>
  <c r="N56" i="95" s="1"/>
  <c r="B56" i="95"/>
  <c r="T55" i="95"/>
  <c r="P55" i="95"/>
  <c r="H55" i="95"/>
  <c r="D55" i="95"/>
  <c r="B55" i="95"/>
  <c r="X54" i="95"/>
  <c r="Z54" i="95" s="1"/>
  <c r="N54" i="95"/>
  <c r="L54" i="95"/>
  <c r="B54" i="95"/>
  <c r="T53" i="95"/>
  <c r="P53" i="95"/>
  <c r="H53" i="95"/>
  <c r="D53" i="95"/>
  <c r="L53" i="95" s="1"/>
  <c r="B53" i="95"/>
  <c r="Z52" i="95"/>
  <c r="X52" i="95"/>
  <c r="V52" i="95"/>
  <c r="N52" i="95"/>
  <c r="L52" i="95"/>
  <c r="B52" i="95"/>
  <c r="T51" i="95"/>
  <c r="Z51" i="95" s="1"/>
  <c r="P51" i="95"/>
  <c r="X51" i="95" s="1"/>
  <c r="N51" i="95"/>
  <c r="L51" i="95"/>
  <c r="H51" i="95"/>
  <c r="D51" i="95"/>
  <c r="B51" i="95"/>
  <c r="Z50" i="95"/>
  <c r="X50" i="95"/>
  <c r="L50" i="95"/>
  <c r="N50" i="95" s="1"/>
  <c r="B50" i="95"/>
  <c r="T49" i="95"/>
  <c r="P49" i="95"/>
  <c r="L49" i="95"/>
  <c r="H49" i="95"/>
  <c r="D49" i="95"/>
  <c r="B49" i="95"/>
  <c r="X48" i="95"/>
  <c r="Z48" i="95" s="1"/>
  <c r="N48" i="95"/>
  <c r="L48" i="95"/>
  <c r="B48" i="95"/>
  <c r="T47" i="95"/>
  <c r="P47" i="95"/>
  <c r="H47" i="95"/>
  <c r="N47" i="95" s="1"/>
  <c r="D47" i="95"/>
  <c r="B47" i="95"/>
  <c r="X46" i="95"/>
  <c r="Z46" i="95" s="1"/>
  <c r="N46" i="95"/>
  <c r="L46" i="95"/>
  <c r="B46" i="95"/>
  <c r="Z45" i="95"/>
  <c r="X45" i="95"/>
  <c r="L45" i="95"/>
  <c r="N45" i="95" s="1"/>
  <c r="B45" i="95"/>
  <c r="Z44" i="95"/>
  <c r="T44" i="95"/>
  <c r="X44" i="95" s="1"/>
  <c r="P44" i="95"/>
  <c r="H44" i="95"/>
  <c r="D44" i="95"/>
  <c r="L44" i="95" s="1"/>
  <c r="N44" i="95" s="1"/>
  <c r="B44" i="95"/>
  <c r="X43" i="95"/>
  <c r="Z43" i="95" s="1"/>
  <c r="L43" i="95"/>
  <c r="N43" i="95" s="1"/>
  <c r="B43" i="95"/>
  <c r="X42" i="95"/>
  <c r="Z42" i="95" s="1"/>
  <c r="T42" i="95"/>
  <c r="P42" i="95"/>
  <c r="H42" i="95"/>
  <c r="D42" i="95"/>
  <c r="L42" i="95" s="1"/>
  <c r="N42" i="95" s="1"/>
  <c r="B42" i="95"/>
  <c r="X41" i="95"/>
  <c r="Z41" i="95" s="1"/>
  <c r="L41" i="95"/>
  <c r="N41" i="95" s="1"/>
  <c r="B41" i="95"/>
  <c r="T40" i="95"/>
  <c r="X40" i="95" s="1"/>
  <c r="Z40" i="95" s="1"/>
  <c r="P40" i="95"/>
  <c r="L40" i="95"/>
  <c r="N40" i="95" s="1"/>
  <c r="H40" i="95"/>
  <c r="D40" i="95"/>
  <c r="B40" i="95"/>
  <c r="Z39" i="95"/>
  <c r="X39" i="95"/>
  <c r="L39" i="95"/>
  <c r="N39" i="95" s="1"/>
  <c r="B39" i="95"/>
  <c r="T38" i="95"/>
  <c r="P38" i="95"/>
  <c r="X38" i="95" s="1"/>
  <c r="Z38" i="95" s="1"/>
  <c r="N38" i="95"/>
  <c r="H38" i="95"/>
  <c r="D38" i="95"/>
  <c r="L38" i="95" s="1"/>
  <c r="B38" i="95"/>
  <c r="X37" i="95"/>
  <c r="Z37" i="95" s="1"/>
  <c r="L37" i="95"/>
  <c r="N37" i="95" s="1"/>
  <c r="B37" i="95"/>
  <c r="Z36" i="95"/>
  <c r="X36" i="95"/>
  <c r="N36" i="95"/>
  <c r="L36" i="95"/>
  <c r="B36" i="95"/>
  <c r="X35" i="95"/>
  <c r="Z35" i="95" s="1"/>
  <c r="L35" i="95"/>
  <c r="N35" i="95" s="1"/>
  <c r="B35" i="95"/>
  <c r="X34" i="95"/>
  <c r="Z34" i="95" s="1"/>
  <c r="L34" i="95"/>
  <c r="N34" i="95" s="1"/>
  <c r="B34" i="95"/>
  <c r="X33" i="95"/>
  <c r="Z33" i="95" s="1"/>
  <c r="L33" i="95"/>
  <c r="N33" i="95" s="1"/>
  <c r="B33" i="95"/>
  <c r="T32" i="95"/>
  <c r="P32" i="95"/>
  <c r="X32" i="95" s="1"/>
  <c r="Z32" i="95" s="1"/>
  <c r="H32" i="95"/>
  <c r="D32" i="95"/>
  <c r="L32" i="95" s="1"/>
  <c r="N32" i="95" s="1"/>
  <c r="B32" i="95"/>
  <c r="X31" i="95"/>
  <c r="Z31" i="95" s="1"/>
  <c r="N31" i="95"/>
  <c r="L31" i="95"/>
  <c r="F31" i="95"/>
  <c r="B31" i="95"/>
  <c r="X30" i="95"/>
  <c r="Z30" i="95" s="1"/>
  <c r="N30" i="95"/>
  <c r="L30" i="95"/>
  <c r="J30" i="95"/>
  <c r="B30" i="95"/>
  <c r="X29" i="95"/>
  <c r="Z29" i="95" s="1"/>
  <c r="N29" i="95"/>
  <c r="L29" i="95"/>
  <c r="B29" i="95"/>
  <c r="Z28" i="95"/>
  <c r="X28" i="95"/>
  <c r="N28" i="95"/>
  <c r="L28" i="95"/>
  <c r="B28" i="95"/>
  <c r="X27" i="95"/>
  <c r="Z27" i="95" s="1"/>
  <c r="N27" i="95"/>
  <c r="L27" i="95"/>
  <c r="F27" i="95"/>
  <c r="B27" i="95"/>
  <c r="X26" i="95"/>
  <c r="Z26" i="95" s="1"/>
  <c r="N26" i="95"/>
  <c r="L26" i="95"/>
  <c r="J26" i="95"/>
  <c r="B26" i="95"/>
  <c r="X25" i="95"/>
  <c r="Z25" i="95" s="1"/>
  <c r="N25" i="95"/>
  <c r="L25" i="95"/>
  <c r="B25" i="95"/>
  <c r="Z24" i="95"/>
  <c r="X24" i="95"/>
  <c r="N24" i="95"/>
  <c r="L24" i="95"/>
  <c r="B24" i="95"/>
  <c r="T23" i="95"/>
  <c r="P23" i="95"/>
  <c r="L23" i="95"/>
  <c r="N23" i="95" s="1"/>
  <c r="H23" i="95"/>
  <c r="D23" i="95"/>
  <c r="B23" i="95"/>
  <c r="T22" i="95"/>
  <c r="P22" i="95"/>
  <c r="X22" i="95" s="1"/>
  <c r="Z22" i="95" s="1"/>
  <c r="H22" i="95"/>
  <c r="D22" i="95"/>
  <c r="L22" i="95" s="1"/>
  <c r="N22" i="95" s="1"/>
  <c r="Z18" i="95"/>
  <c r="X18" i="95"/>
  <c r="L18" i="95"/>
  <c r="N18" i="95" s="1"/>
  <c r="B18" i="95"/>
  <c r="Z17" i="95"/>
  <c r="X17" i="95"/>
  <c r="L17" i="95"/>
  <c r="N17" i="95" s="1"/>
  <c r="B17" i="95"/>
  <c r="Z16" i="95"/>
  <c r="T16" i="95"/>
  <c r="P16" i="95"/>
  <c r="X16" i="95" s="1"/>
  <c r="H16" i="95"/>
  <c r="D16" i="95"/>
  <c r="L16" i="95" s="1"/>
  <c r="N16" i="95" s="1"/>
  <c r="T14" i="95"/>
  <c r="P14" i="95"/>
  <c r="X14" i="95" s="1"/>
  <c r="Z14" i="95" s="1"/>
  <c r="H14" i="95"/>
  <c r="D14" i="95"/>
  <c r="B14" i="95"/>
  <c r="T13" i="95"/>
  <c r="P13" i="95"/>
  <c r="H13" i="95"/>
  <c r="D13" i="95"/>
  <c r="D12" i="95" s="1"/>
  <c r="F42" i="95" s="1"/>
  <c r="B13" i="95"/>
  <c r="T12" i="95"/>
  <c r="V22" i="95" s="1"/>
  <c r="H12" i="95"/>
  <c r="D6" i="95"/>
  <c r="D4" i="95"/>
  <c r="Z74" i="94"/>
  <c r="X74" i="94"/>
  <c r="N74" i="94"/>
  <c r="L74" i="94"/>
  <c r="T70" i="94"/>
  <c r="Z70" i="94" s="1"/>
  <c r="P70" i="94"/>
  <c r="X70" i="94" s="1"/>
  <c r="N70" i="94"/>
  <c r="H70" i="94"/>
  <c r="D70" i="94"/>
  <c r="L70" i="94" s="1"/>
  <c r="Z68" i="94"/>
  <c r="X68" i="94"/>
  <c r="N68" i="94"/>
  <c r="L68" i="94"/>
  <c r="B68" i="94"/>
  <c r="T67" i="94"/>
  <c r="P67" i="94"/>
  <c r="N67" i="94"/>
  <c r="H67" i="94"/>
  <c r="D67" i="94"/>
  <c r="L67" i="94" s="1"/>
  <c r="B67" i="94"/>
  <c r="X66" i="94"/>
  <c r="Z66" i="94" s="1"/>
  <c r="L66" i="94"/>
  <c r="N66" i="94" s="1"/>
  <c r="B66" i="94"/>
  <c r="T65" i="94"/>
  <c r="P65" i="94"/>
  <c r="X65" i="94" s="1"/>
  <c r="H65" i="94"/>
  <c r="D65" i="94"/>
  <c r="L65" i="94" s="1"/>
  <c r="B65" i="94"/>
  <c r="Z64" i="94"/>
  <c r="X64" i="94"/>
  <c r="N64" i="94"/>
  <c r="L64" i="94"/>
  <c r="B64" i="94"/>
  <c r="X63" i="94"/>
  <c r="Z63" i="94" s="1"/>
  <c r="N63" i="94"/>
  <c r="L63" i="94"/>
  <c r="B63" i="94"/>
  <c r="X62" i="94"/>
  <c r="Z62" i="94" s="1"/>
  <c r="N62" i="94"/>
  <c r="L62" i="94"/>
  <c r="B62" i="94"/>
  <c r="X61" i="94"/>
  <c r="Z61" i="94" s="1"/>
  <c r="N61" i="94"/>
  <c r="L61" i="94"/>
  <c r="B61" i="94"/>
  <c r="Z60" i="94"/>
  <c r="X60" i="94"/>
  <c r="N60" i="94"/>
  <c r="L60" i="94"/>
  <c r="B60" i="94"/>
  <c r="X59" i="94"/>
  <c r="Z59" i="94" s="1"/>
  <c r="N59" i="94"/>
  <c r="L59" i="94"/>
  <c r="B59" i="94"/>
  <c r="X58" i="94"/>
  <c r="Z58" i="94" s="1"/>
  <c r="N58" i="94"/>
  <c r="L58" i="94"/>
  <c r="B58" i="94"/>
  <c r="X57" i="94"/>
  <c r="Z57" i="94" s="1"/>
  <c r="T57" i="94"/>
  <c r="P57" i="94"/>
  <c r="H57" i="94"/>
  <c r="D57" i="94"/>
  <c r="B57" i="94"/>
  <c r="Z56" i="94"/>
  <c r="X56" i="94"/>
  <c r="N56" i="94"/>
  <c r="L56" i="94"/>
  <c r="B56" i="94"/>
  <c r="T55" i="94"/>
  <c r="P55" i="94"/>
  <c r="H55" i="94"/>
  <c r="D55" i="94"/>
  <c r="B55" i="94"/>
  <c r="X54" i="94"/>
  <c r="Z54" i="94" s="1"/>
  <c r="N54" i="94"/>
  <c r="L54" i="94"/>
  <c r="B54" i="94"/>
  <c r="T53" i="94"/>
  <c r="P53" i="94"/>
  <c r="X53" i="94" s="1"/>
  <c r="H53" i="94"/>
  <c r="N53" i="94" s="1"/>
  <c r="D53" i="94"/>
  <c r="L53" i="94" s="1"/>
  <c r="B53" i="94"/>
  <c r="X52" i="94"/>
  <c r="Z52" i="94" s="1"/>
  <c r="N52" i="94"/>
  <c r="L52" i="94"/>
  <c r="B52" i="94"/>
  <c r="X51" i="94"/>
  <c r="T51" i="94"/>
  <c r="P51" i="94"/>
  <c r="L51" i="94"/>
  <c r="N51" i="94" s="1"/>
  <c r="H51" i="94"/>
  <c r="D51" i="94"/>
  <c r="B51" i="94"/>
  <c r="Z50" i="94"/>
  <c r="X50" i="94"/>
  <c r="L50" i="94"/>
  <c r="N50" i="94" s="1"/>
  <c r="B50" i="94"/>
  <c r="Z49" i="94"/>
  <c r="X49" i="94"/>
  <c r="N49" i="94"/>
  <c r="L49" i="94"/>
  <c r="B49" i="94"/>
  <c r="T48" i="94"/>
  <c r="P48" i="94"/>
  <c r="H48" i="94"/>
  <c r="D48" i="94"/>
  <c r="L48" i="94" s="1"/>
  <c r="N48" i="94" s="1"/>
  <c r="B48" i="94"/>
  <c r="X47" i="94"/>
  <c r="Z47" i="94" s="1"/>
  <c r="L47" i="94"/>
  <c r="N47" i="94" s="1"/>
  <c r="B47" i="94"/>
  <c r="X46" i="94"/>
  <c r="Z46" i="94" s="1"/>
  <c r="T46" i="94"/>
  <c r="P46" i="94"/>
  <c r="H46" i="94"/>
  <c r="D46" i="94"/>
  <c r="L46" i="94" s="1"/>
  <c r="N46" i="94" s="1"/>
  <c r="B46" i="94"/>
  <c r="Z45" i="94"/>
  <c r="X45" i="94"/>
  <c r="N45" i="94"/>
  <c r="L45" i="94"/>
  <c r="B45" i="94"/>
  <c r="T44" i="94"/>
  <c r="P44" i="94"/>
  <c r="L44" i="94"/>
  <c r="H44" i="94"/>
  <c r="N44" i="94" s="1"/>
  <c r="D44" i="94"/>
  <c r="B44" i="94"/>
  <c r="Z43" i="94"/>
  <c r="X43" i="94"/>
  <c r="L43" i="94"/>
  <c r="N43" i="94" s="1"/>
  <c r="B43" i="94"/>
  <c r="T42" i="94"/>
  <c r="P42" i="94"/>
  <c r="X42" i="94" s="1"/>
  <c r="Z42" i="94" s="1"/>
  <c r="H42" i="94"/>
  <c r="D42" i="94"/>
  <c r="L42" i="94" s="1"/>
  <c r="N42" i="94" s="1"/>
  <c r="B42" i="94"/>
  <c r="X41" i="94"/>
  <c r="Z41" i="94" s="1"/>
  <c r="V41" i="94"/>
  <c r="N41" i="94"/>
  <c r="L41" i="94"/>
  <c r="B41" i="94"/>
  <c r="T40" i="94"/>
  <c r="P40" i="94"/>
  <c r="X40" i="94" s="1"/>
  <c r="Z40" i="94" s="1"/>
  <c r="H40" i="94"/>
  <c r="D40" i="94"/>
  <c r="L40" i="94" s="1"/>
  <c r="N40" i="94" s="1"/>
  <c r="B40" i="94"/>
  <c r="X39" i="94"/>
  <c r="Z39" i="94" s="1"/>
  <c r="N39" i="94"/>
  <c r="L39" i="94"/>
  <c r="B39" i="94"/>
  <c r="X38" i="94"/>
  <c r="T38" i="94"/>
  <c r="Z38" i="94" s="1"/>
  <c r="P38" i="94"/>
  <c r="N38" i="94"/>
  <c r="L38" i="94"/>
  <c r="H38" i="94"/>
  <c r="D38" i="94"/>
  <c r="B38" i="94"/>
  <c r="Z37" i="94"/>
  <c r="X37" i="94"/>
  <c r="L37" i="94"/>
  <c r="N37" i="94" s="1"/>
  <c r="B37" i="94"/>
  <c r="Z36" i="94"/>
  <c r="T36" i="94"/>
  <c r="P36" i="94"/>
  <c r="X36" i="94" s="1"/>
  <c r="H36" i="94"/>
  <c r="D36" i="94"/>
  <c r="B36" i="94"/>
  <c r="X35" i="94"/>
  <c r="Z35" i="94" s="1"/>
  <c r="L35" i="94"/>
  <c r="N35" i="94" s="1"/>
  <c r="B35" i="94"/>
  <c r="X34" i="94"/>
  <c r="Z34" i="94" s="1"/>
  <c r="N34" i="94"/>
  <c r="L34" i="94"/>
  <c r="B34" i="94"/>
  <c r="X33" i="94"/>
  <c r="Z33" i="94" s="1"/>
  <c r="L33" i="94"/>
  <c r="N33" i="94" s="1"/>
  <c r="B33" i="94"/>
  <c r="Z32" i="94"/>
  <c r="X32" i="94"/>
  <c r="L32" i="94"/>
  <c r="N32" i="94" s="1"/>
  <c r="B32" i="94"/>
  <c r="T31" i="94"/>
  <c r="P31" i="94"/>
  <c r="X31" i="94" s="1"/>
  <c r="L31" i="94"/>
  <c r="H31" i="94"/>
  <c r="D31" i="94"/>
  <c r="B31" i="94"/>
  <c r="X30" i="94"/>
  <c r="Z30" i="94" s="1"/>
  <c r="N30" i="94"/>
  <c r="L30" i="94"/>
  <c r="B30" i="94"/>
  <c r="Z29" i="94"/>
  <c r="X29" i="94"/>
  <c r="L29" i="94"/>
  <c r="N29" i="94" s="1"/>
  <c r="B29" i="94"/>
  <c r="Z28" i="94"/>
  <c r="X28" i="94"/>
  <c r="N28" i="94"/>
  <c r="L28" i="94"/>
  <c r="B28" i="94"/>
  <c r="X27" i="94"/>
  <c r="Z27" i="94" s="1"/>
  <c r="N27" i="94"/>
  <c r="L27" i="94"/>
  <c r="B27" i="94"/>
  <c r="X26" i="94"/>
  <c r="Z26" i="94" s="1"/>
  <c r="N26" i="94"/>
  <c r="L26" i="94"/>
  <c r="B26" i="94"/>
  <c r="Z25" i="94"/>
  <c r="X25" i="94"/>
  <c r="N25" i="94"/>
  <c r="L25" i="94"/>
  <c r="B25" i="94"/>
  <c r="X24" i="94"/>
  <c r="Z24" i="94" s="1"/>
  <c r="N24" i="94"/>
  <c r="L24" i="94"/>
  <c r="B24" i="94"/>
  <c r="T23" i="94"/>
  <c r="P23" i="94"/>
  <c r="H23" i="94"/>
  <c r="D23" i="94"/>
  <c r="L23" i="94" s="1"/>
  <c r="N23" i="94" s="1"/>
  <c r="B23" i="94"/>
  <c r="V22" i="94"/>
  <c r="T22" i="94"/>
  <c r="Z22" i="94" s="1"/>
  <c r="P22" i="94"/>
  <c r="X22" i="94" s="1"/>
  <c r="H22" i="94"/>
  <c r="D22" i="94"/>
  <c r="Z18" i="94"/>
  <c r="X18" i="94"/>
  <c r="L18" i="94"/>
  <c r="N18" i="94" s="1"/>
  <c r="B18" i="94"/>
  <c r="X17" i="94"/>
  <c r="Z17" i="94" s="1"/>
  <c r="V17" i="94"/>
  <c r="L17" i="94"/>
  <c r="N17" i="94" s="1"/>
  <c r="B17" i="94"/>
  <c r="T16" i="94"/>
  <c r="P16" i="94"/>
  <c r="X16" i="94" s="1"/>
  <c r="Z16" i="94" s="1"/>
  <c r="H16" i="94"/>
  <c r="D16" i="94"/>
  <c r="L16" i="94" s="1"/>
  <c r="N16" i="94" s="1"/>
  <c r="Z14" i="94"/>
  <c r="T14" i="94"/>
  <c r="P14" i="94"/>
  <c r="X14" i="94" s="1"/>
  <c r="N14" i="94"/>
  <c r="L14" i="94"/>
  <c r="H14" i="94"/>
  <c r="D14" i="94"/>
  <c r="B14" i="94"/>
  <c r="Z13" i="94"/>
  <c r="T13" i="94"/>
  <c r="P13" i="94"/>
  <c r="X13" i="94" s="1"/>
  <c r="H13" i="94"/>
  <c r="D13" i="94"/>
  <c r="B13" i="94"/>
  <c r="T12" i="94"/>
  <c r="V31" i="94" s="1"/>
  <c r="D6" i="94"/>
  <c r="D4" i="94"/>
  <c r="X67" i="93"/>
  <c r="Z67" i="93" s="1"/>
  <c r="L67" i="93"/>
  <c r="N67" i="93" s="1"/>
  <c r="X63" i="93"/>
  <c r="T63" i="93"/>
  <c r="Z63" i="93" s="1"/>
  <c r="P63" i="93"/>
  <c r="H63" i="93"/>
  <c r="D63" i="93"/>
  <c r="L63" i="93" s="1"/>
  <c r="N63" i="93" s="1"/>
  <c r="B63" i="93"/>
  <c r="T62" i="93"/>
  <c r="P62" i="93"/>
  <c r="H62" i="93"/>
  <c r="X60" i="93"/>
  <c r="Z60" i="93" s="1"/>
  <c r="L60" i="93"/>
  <c r="N60" i="93" s="1"/>
  <c r="B60" i="93"/>
  <c r="Z59" i="93"/>
  <c r="X59" i="93"/>
  <c r="T59" i="93"/>
  <c r="P59" i="93"/>
  <c r="H59" i="93"/>
  <c r="D59" i="93"/>
  <c r="L59" i="93" s="1"/>
  <c r="N59" i="93" s="1"/>
  <c r="B59" i="93"/>
  <c r="Z58" i="93"/>
  <c r="X58" i="93"/>
  <c r="N58" i="93"/>
  <c r="L58" i="93"/>
  <c r="B58" i="93"/>
  <c r="X57" i="93"/>
  <c r="Z57" i="93" s="1"/>
  <c r="V57" i="93"/>
  <c r="L57" i="93"/>
  <c r="N57" i="93" s="1"/>
  <c r="B57" i="93"/>
  <c r="X56" i="93"/>
  <c r="Z56" i="93" s="1"/>
  <c r="L56" i="93"/>
  <c r="N56" i="93" s="1"/>
  <c r="B56" i="93"/>
  <c r="Z55" i="93"/>
  <c r="X55" i="93"/>
  <c r="N55" i="93"/>
  <c r="L55" i="93"/>
  <c r="B55" i="93"/>
  <c r="T54" i="93"/>
  <c r="P54" i="93"/>
  <c r="X54" i="93" s="1"/>
  <c r="H54" i="93"/>
  <c r="D54" i="93"/>
  <c r="L54" i="93" s="1"/>
  <c r="N54" i="93" s="1"/>
  <c r="B54" i="93"/>
  <c r="X53" i="93"/>
  <c r="Z53" i="93" s="1"/>
  <c r="N53" i="93"/>
  <c r="L53" i="93"/>
  <c r="B53" i="93"/>
  <c r="Z52" i="93"/>
  <c r="X52" i="93"/>
  <c r="N52" i="93"/>
  <c r="L52" i="93"/>
  <c r="B52" i="93"/>
  <c r="T51" i="93"/>
  <c r="R51" i="93"/>
  <c r="P51" i="93"/>
  <c r="X51" i="93" s="1"/>
  <c r="Z51" i="93" s="1"/>
  <c r="L51" i="93"/>
  <c r="H51" i="93"/>
  <c r="N51" i="93" s="1"/>
  <c r="D51" i="93"/>
  <c r="B51" i="93"/>
  <c r="Z50" i="93"/>
  <c r="X50" i="93"/>
  <c r="R50" i="93"/>
  <c r="N50" i="93"/>
  <c r="L50" i="93"/>
  <c r="B50" i="93"/>
  <c r="Z49" i="93"/>
  <c r="X49" i="93"/>
  <c r="N49" i="93"/>
  <c r="L49" i="93"/>
  <c r="J49" i="93"/>
  <c r="B49" i="93"/>
  <c r="X48" i="93"/>
  <c r="Z48" i="93" s="1"/>
  <c r="L48" i="93"/>
  <c r="N48" i="93" s="1"/>
  <c r="B48" i="93"/>
  <c r="Z47" i="93"/>
  <c r="X47" i="93"/>
  <c r="T47" i="93"/>
  <c r="P47" i="93"/>
  <c r="H47" i="93"/>
  <c r="D47" i="93"/>
  <c r="L47" i="93" s="1"/>
  <c r="N47" i="93" s="1"/>
  <c r="B47" i="93"/>
  <c r="Z46" i="93"/>
  <c r="X46" i="93"/>
  <c r="N46" i="93"/>
  <c r="L46" i="93"/>
  <c r="B46" i="93"/>
  <c r="V45" i="93"/>
  <c r="T45" i="93"/>
  <c r="Z45" i="93" s="1"/>
  <c r="P45" i="93"/>
  <c r="X45" i="93" s="1"/>
  <c r="N45" i="93"/>
  <c r="H45" i="93"/>
  <c r="D45" i="93"/>
  <c r="L45" i="93" s="1"/>
  <c r="B45" i="93"/>
  <c r="X44" i="93"/>
  <c r="Z44" i="93" s="1"/>
  <c r="L44" i="93"/>
  <c r="N44" i="93" s="1"/>
  <c r="B44" i="93"/>
  <c r="T43" i="93"/>
  <c r="R43" i="93"/>
  <c r="P43" i="93"/>
  <c r="X43" i="93" s="1"/>
  <c r="Z43" i="93" s="1"/>
  <c r="H43" i="93"/>
  <c r="D43" i="93"/>
  <c r="B43" i="93"/>
  <c r="Z42" i="93"/>
  <c r="X42" i="93"/>
  <c r="R42" i="93"/>
  <c r="N42" i="93"/>
  <c r="L42" i="93"/>
  <c r="B42" i="93"/>
  <c r="T41" i="93"/>
  <c r="P41" i="93"/>
  <c r="X41" i="93" s="1"/>
  <c r="Z41" i="93" s="1"/>
  <c r="N41" i="93"/>
  <c r="L41" i="93"/>
  <c r="H41" i="93"/>
  <c r="D41" i="93"/>
  <c r="B41" i="93"/>
  <c r="X40" i="93"/>
  <c r="Z40" i="93" s="1"/>
  <c r="L40" i="93"/>
  <c r="N40" i="93" s="1"/>
  <c r="B40" i="93"/>
  <c r="X39" i="93"/>
  <c r="Z39" i="93" s="1"/>
  <c r="T39" i="93"/>
  <c r="P39" i="93"/>
  <c r="J39" i="93"/>
  <c r="H39" i="93"/>
  <c r="D39" i="93"/>
  <c r="L39" i="93" s="1"/>
  <c r="B39" i="93"/>
  <c r="X38" i="93"/>
  <c r="Z38" i="93" s="1"/>
  <c r="N38" i="93"/>
  <c r="L38" i="93"/>
  <c r="B38" i="93"/>
  <c r="X37" i="93"/>
  <c r="T37" i="93"/>
  <c r="Z37" i="93" s="1"/>
  <c r="R37" i="93"/>
  <c r="P37" i="93"/>
  <c r="H37" i="93"/>
  <c r="D37" i="93"/>
  <c r="L37" i="93" s="1"/>
  <c r="N37" i="93" s="1"/>
  <c r="B37" i="93"/>
  <c r="X36" i="93"/>
  <c r="Z36" i="93" s="1"/>
  <c r="R36" i="93"/>
  <c r="L36" i="93"/>
  <c r="N36" i="93" s="1"/>
  <c r="B36" i="93"/>
  <c r="Z35" i="93"/>
  <c r="X35" i="93"/>
  <c r="N35" i="93"/>
  <c r="L35" i="93"/>
  <c r="B35" i="93"/>
  <c r="Z34" i="93"/>
  <c r="X34" i="93"/>
  <c r="R34" i="93"/>
  <c r="N34" i="93"/>
  <c r="L34" i="93"/>
  <c r="B34" i="93"/>
  <c r="Z33" i="93"/>
  <c r="X33" i="93"/>
  <c r="L33" i="93"/>
  <c r="N33" i="93" s="1"/>
  <c r="J33" i="93"/>
  <c r="B33" i="93"/>
  <c r="T32" i="93"/>
  <c r="P32" i="93"/>
  <c r="X32" i="93" s="1"/>
  <c r="H32" i="93"/>
  <c r="D32" i="93"/>
  <c r="L32" i="93" s="1"/>
  <c r="B32" i="93"/>
  <c r="X31" i="93"/>
  <c r="Z31" i="93" s="1"/>
  <c r="N31" i="93"/>
  <c r="L31" i="93"/>
  <c r="B31" i="93"/>
  <c r="Z30" i="93"/>
  <c r="X30" i="93"/>
  <c r="L30" i="93"/>
  <c r="N30" i="93" s="1"/>
  <c r="B30" i="93"/>
  <c r="X29" i="93"/>
  <c r="Z29" i="93" s="1"/>
  <c r="L29" i="93"/>
  <c r="N29" i="93" s="1"/>
  <c r="B29" i="93"/>
  <c r="X28" i="93"/>
  <c r="Z28" i="93" s="1"/>
  <c r="L28" i="93"/>
  <c r="N28" i="93" s="1"/>
  <c r="B28" i="93"/>
  <c r="X27" i="93"/>
  <c r="Z27" i="93" s="1"/>
  <c r="N27" i="93"/>
  <c r="L27" i="93"/>
  <c r="B27" i="93"/>
  <c r="Z26" i="93"/>
  <c r="X26" i="93"/>
  <c r="L26" i="93"/>
  <c r="N26" i="93" s="1"/>
  <c r="B26" i="93"/>
  <c r="X25" i="93"/>
  <c r="Z25" i="93" s="1"/>
  <c r="L25" i="93"/>
  <c r="N25" i="93" s="1"/>
  <c r="B25" i="93"/>
  <c r="X24" i="93"/>
  <c r="Z24" i="93" s="1"/>
  <c r="L24" i="93"/>
  <c r="N24" i="93" s="1"/>
  <c r="B24" i="93"/>
  <c r="X23" i="93"/>
  <c r="Z23" i="93" s="1"/>
  <c r="T23" i="93"/>
  <c r="P23" i="93"/>
  <c r="H23" i="93"/>
  <c r="N23" i="93" s="1"/>
  <c r="D23" i="93"/>
  <c r="L23" i="93" s="1"/>
  <c r="B23" i="93"/>
  <c r="X22" i="93"/>
  <c r="T22" i="93"/>
  <c r="Z22" i="93" s="1"/>
  <c r="P22" i="93"/>
  <c r="L22" i="93"/>
  <c r="H22" i="93"/>
  <c r="D22" i="93"/>
  <c r="X18" i="93"/>
  <c r="Z18" i="93" s="1"/>
  <c r="N18" i="93"/>
  <c r="L18" i="93"/>
  <c r="B18" i="93"/>
  <c r="X17" i="93"/>
  <c r="Z17" i="93" s="1"/>
  <c r="N17" i="93"/>
  <c r="L17" i="93"/>
  <c r="B17" i="93"/>
  <c r="X16" i="93"/>
  <c r="T16" i="93"/>
  <c r="Z16" i="93" s="1"/>
  <c r="P16" i="93"/>
  <c r="L16" i="93"/>
  <c r="H16" i="93"/>
  <c r="N16" i="93" s="1"/>
  <c r="D16" i="93"/>
  <c r="X14" i="93"/>
  <c r="T14" i="93"/>
  <c r="T12" i="93" s="1"/>
  <c r="P14" i="93"/>
  <c r="H14" i="93"/>
  <c r="D14" i="93"/>
  <c r="L14" i="93" s="1"/>
  <c r="N14" i="93" s="1"/>
  <c r="B14" i="93"/>
  <c r="Z13" i="93"/>
  <c r="X13" i="93"/>
  <c r="T13" i="93"/>
  <c r="P13" i="93"/>
  <c r="N13" i="93"/>
  <c r="H13" i="93"/>
  <c r="H12" i="93" s="1"/>
  <c r="D13" i="93"/>
  <c r="L13" i="93" s="1"/>
  <c r="B13" i="93"/>
  <c r="P12" i="93"/>
  <c r="R72" i="93" s="1"/>
  <c r="D12" i="93"/>
  <c r="F65" i="93" s="1"/>
  <c r="D6" i="93"/>
  <c r="D4" i="93"/>
  <c r="X71" i="92"/>
  <c r="Z71" i="92" s="1"/>
  <c r="L71" i="92"/>
  <c r="N71" i="92" s="1"/>
  <c r="X67" i="92"/>
  <c r="T67" i="92"/>
  <c r="Z67" i="92" s="1"/>
  <c r="P67" i="92"/>
  <c r="L67" i="92"/>
  <c r="H67" i="92"/>
  <c r="N67" i="92" s="1"/>
  <c r="D67" i="92"/>
  <c r="X65" i="92"/>
  <c r="Z65" i="92" s="1"/>
  <c r="N65" i="92"/>
  <c r="L65" i="92"/>
  <c r="B65" i="92"/>
  <c r="T64" i="92"/>
  <c r="P64" i="92"/>
  <c r="X64" i="92" s="1"/>
  <c r="Z64" i="92" s="1"/>
  <c r="N64" i="92"/>
  <c r="L64" i="92"/>
  <c r="H64" i="92"/>
  <c r="D64" i="92"/>
  <c r="B64" i="92"/>
  <c r="Z63" i="92"/>
  <c r="X63" i="92"/>
  <c r="N63" i="92"/>
  <c r="L63" i="92"/>
  <c r="B63" i="92"/>
  <c r="Z62" i="92"/>
  <c r="X62" i="92"/>
  <c r="T62" i="92"/>
  <c r="P62" i="92"/>
  <c r="N62" i="92"/>
  <c r="L62" i="92"/>
  <c r="H62" i="92"/>
  <c r="D62" i="92"/>
  <c r="B62" i="92"/>
  <c r="X61" i="92"/>
  <c r="Z61" i="92" s="1"/>
  <c r="L61" i="92"/>
  <c r="N61" i="92" s="1"/>
  <c r="B61" i="92"/>
  <c r="Z60" i="92"/>
  <c r="X60" i="92"/>
  <c r="N60" i="92"/>
  <c r="L60" i="92"/>
  <c r="B60" i="92"/>
  <c r="Z59" i="92"/>
  <c r="X59" i="92"/>
  <c r="L59" i="92"/>
  <c r="N59" i="92" s="1"/>
  <c r="B59" i="92"/>
  <c r="X58" i="92"/>
  <c r="Z58" i="92" s="1"/>
  <c r="L58" i="92"/>
  <c r="N58" i="92" s="1"/>
  <c r="B58" i="92"/>
  <c r="X57" i="92"/>
  <c r="Z57" i="92" s="1"/>
  <c r="L57" i="92"/>
  <c r="N57" i="92" s="1"/>
  <c r="B57" i="92"/>
  <c r="Z56" i="92"/>
  <c r="X56" i="92"/>
  <c r="T56" i="92"/>
  <c r="P56" i="92"/>
  <c r="H56" i="92"/>
  <c r="D56" i="92"/>
  <c r="L56" i="92" s="1"/>
  <c r="B56" i="92"/>
  <c r="X55" i="92"/>
  <c r="Z55" i="92" s="1"/>
  <c r="N55" i="92"/>
  <c r="L55" i="92"/>
  <c r="B55" i="92"/>
  <c r="X54" i="92"/>
  <c r="Z54" i="92" s="1"/>
  <c r="N54" i="92"/>
  <c r="L54" i="92"/>
  <c r="B54" i="92"/>
  <c r="X53" i="92"/>
  <c r="T53" i="92"/>
  <c r="Z53" i="92" s="1"/>
  <c r="P53" i="92"/>
  <c r="L53" i="92"/>
  <c r="H53" i="92"/>
  <c r="N53" i="92" s="1"/>
  <c r="D53" i="92"/>
  <c r="B53" i="92"/>
  <c r="Z52" i="92"/>
  <c r="X52" i="92"/>
  <c r="N52" i="92"/>
  <c r="L52" i="92"/>
  <c r="B52" i="92"/>
  <c r="Z51" i="92"/>
  <c r="X51" i="92"/>
  <c r="N51" i="92"/>
  <c r="L51" i="92"/>
  <c r="B51" i="92"/>
  <c r="Z50" i="92"/>
  <c r="T50" i="92"/>
  <c r="X50" i="92" s="1"/>
  <c r="P50" i="92"/>
  <c r="H50" i="92"/>
  <c r="L50" i="92" s="1"/>
  <c r="N50" i="92" s="1"/>
  <c r="D50" i="92"/>
  <c r="B50" i="92"/>
  <c r="X49" i="92"/>
  <c r="Z49" i="92" s="1"/>
  <c r="L49" i="92"/>
  <c r="N49" i="92" s="1"/>
  <c r="B49" i="92"/>
  <c r="Z48" i="92"/>
  <c r="X48" i="92"/>
  <c r="T48" i="92"/>
  <c r="P48" i="92"/>
  <c r="H48" i="92"/>
  <c r="N48" i="92" s="1"/>
  <c r="D48" i="92"/>
  <c r="L48" i="92" s="1"/>
  <c r="B48" i="92"/>
  <c r="X47" i="92"/>
  <c r="Z47" i="92" s="1"/>
  <c r="N47" i="92"/>
  <c r="L47" i="92"/>
  <c r="B47" i="92"/>
  <c r="X46" i="92"/>
  <c r="T46" i="92"/>
  <c r="Z46" i="92" s="1"/>
  <c r="P46" i="92"/>
  <c r="H46" i="92"/>
  <c r="D46" i="92"/>
  <c r="L46" i="92" s="1"/>
  <c r="N46" i="92" s="1"/>
  <c r="B46" i="92"/>
  <c r="X45" i="92"/>
  <c r="Z45" i="92" s="1"/>
  <c r="L45" i="92"/>
  <c r="N45" i="92" s="1"/>
  <c r="B45" i="92"/>
  <c r="Z44" i="92"/>
  <c r="T44" i="92"/>
  <c r="X44" i="92" s="1"/>
  <c r="P44" i="92"/>
  <c r="N44" i="92"/>
  <c r="L44" i="92"/>
  <c r="H44" i="92"/>
  <c r="D44" i="92"/>
  <c r="B44" i="92"/>
  <c r="Z43" i="92"/>
  <c r="X43" i="92"/>
  <c r="L43" i="92"/>
  <c r="N43" i="92" s="1"/>
  <c r="B43" i="92"/>
  <c r="T42" i="92"/>
  <c r="P42" i="92"/>
  <c r="X42" i="92" s="1"/>
  <c r="N42" i="92"/>
  <c r="L42" i="92"/>
  <c r="H42" i="92"/>
  <c r="D42" i="92"/>
  <c r="B42" i="92"/>
  <c r="X41" i="92"/>
  <c r="Z41" i="92" s="1"/>
  <c r="L41" i="92"/>
  <c r="N41" i="92" s="1"/>
  <c r="B41" i="92"/>
  <c r="T40" i="92"/>
  <c r="P40" i="92"/>
  <c r="X40" i="92" s="1"/>
  <c r="Z40" i="92" s="1"/>
  <c r="L40" i="92"/>
  <c r="H40" i="92"/>
  <c r="N40" i="92" s="1"/>
  <c r="D40" i="92"/>
  <c r="B40" i="92"/>
  <c r="Z39" i="92"/>
  <c r="X39" i="92"/>
  <c r="N39" i="92"/>
  <c r="L39" i="92"/>
  <c r="B39" i="92"/>
  <c r="Z38" i="92"/>
  <c r="X38" i="92"/>
  <c r="T38" i="92"/>
  <c r="P38" i="92"/>
  <c r="N38" i="92"/>
  <c r="L38" i="92"/>
  <c r="H38" i="92"/>
  <c r="D38" i="92"/>
  <c r="B38" i="92"/>
  <c r="X37" i="92"/>
  <c r="Z37" i="92" s="1"/>
  <c r="L37" i="92"/>
  <c r="N37" i="92" s="1"/>
  <c r="B37" i="92"/>
  <c r="Z36" i="92"/>
  <c r="X36" i="92"/>
  <c r="N36" i="92"/>
  <c r="L36" i="92"/>
  <c r="B36" i="92"/>
  <c r="Z35" i="92"/>
  <c r="X35" i="92"/>
  <c r="L35" i="92"/>
  <c r="N35" i="92" s="1"/>
  <c r="B35" i="92"/>
  <c r="X34" i="92"/>
  <c r="Z34" i="92" s="1"/>
  <c r="V34" i="92"/>
  <c r="L34" i="92"/>
  <c r="N34" i="92" s="1"/>
  <c r="B34" i="92"/>
  <c r="X33" i="92"/>
  <c r="Z33" i="92" s="1"/>
  <c r="L33" i="92"/>
  <c r="N33" i="92" s="1"/>
  <c r="B33" i="92"/>
  <c r="Z32" i="92"/>
  <c r="X32" i="92"/>
  <c r="N32" i="92"/>
  <c r="L32" i="92"/>
  <c r="B32" i="92"/>
  <c r="T31" i="92"/>
  <c r="Z31" i="92" s="1"/>
  <c r="P31" i="92"/>
  <c r="X31" i="92" s="1"/>
  <c r="H31" i="92"/>
  <c r="D31" i="92"/>
  <c r="L31" i="92" s="1"/>
  <c r="N31" i="92" s="1"/>
  <c r="B31" i="92"/>
  <c r="X30" i="92"/>
  <c r="Z30" i="92" s="1"/>
  <c r="N30" i="92"/>
  <c r="L30" i="92"/>
  <c r="B30" i="92"/>
  <c r="X29" i="92"/>
  <c r="Z29" i="92" s="1"/>
  <c r="L29" i="92"/>
  <c r="N29" i="92" s="1"/>
  <c r="B29" i="92"/>
  <c r="Z28" i="92"/>
  <c r="X28" i="92"/>
  <c r="N28" i="92"/>
  <c r="L28" i="92"/>
  <c r="B28" i="92"/>
  <c r="X27" i="92"/>
  <c r="Z27" i="92" s="1"/>
  <c r="N27" i="92"/>
  <c r="L27" i="92"/>
  <c r="B27" i="92"/>
  <c r="X26" i="92"/>
  <c r="Z26" i="92" s="1"/>
  <c r="N26" i="92"/>
  <c r="L26" i="92"/>
  <c r="B26" i="92"/>
  <c r="X25" i="92"/>
  <c r="Z25" i="92" s="1"/>
  <c r="L25" i="92"/>
  <c r="N25" i="92" s="1"/>
  <c r="B25" i="92"/>
  <c r="Z24" i="92"/>
  <c r="X24" i="92"/>
  <c r="N24" i="92"/>
  <c r="L24" i="92"/>
  <c r="B24" i="92"/>
  <c r="X23" i="92"/>
  <c r="Z23" i="92" s="1"/>
  <c r="N23" i="92"/>
  <c r="L23" i="92"/>
  <c r="B23" i="92"/>
  <c r="X22" i="92"/>
  <c r="T22" i="92"/>
  <c r="Z22" i="92" s="1"/>
  <c r="P22" i="92"/>
  <c r="H22" i="92"/>
  <c r="D22" i="92"/>
  <c r="L22" i="92" s="1"/>
  <c r="N22" i="92" s="1"/>
  <c r="B22" i="92"/>
  <c r="T21" i="92"/>
  <c r="P21" i="92"/>
  <c r="H21" i="92"/>
  <c r="D21" i="92"/>
  <c r="X17" i="92"/>
  <c r="Z17" i="92" s="1"/>
  <c r="L17" i="92"/>
  <c r="N17" i="92" s="1"/>
  <c r="B17" i="92"/>
  <c r="Z16" i="92"/>
  <c r="X16" i="92"/>
  <c r="T16" i="92"/>
  <c r="P16" i="92"/>
  <c r="N16" i="92"/>
  <c r="L16" i="92"/>
  <c r="H16" i="92"/>
  <c r="D16" i="92"/>
  <c r="Z14" i="92"/>
  <c r="X14" i="92"/>
  <c r="T14" i="92"/>
  <c r="P14" i="92"/>
  <c r="H14" i="92"/>
  <c r="H12" i="92" s="1"/>
  <c r="D14" i="92"/>
  <c r="B14" i="92"/>
  <c r="T13" i="92"/>
  <c r="P13" i="92"/>
  <c r="H13" i="92"/>
  <c r="D13" i="92"/>
  <c r="B13" i="92"/>
  <c r="T12" i="92"/>
  <c r="D6" i="92"/>
  <c r="D4" i="92"/>
  <c r="R89" i="91"/>
  <c r="Z87" i="91"/>
  <c r="X87" i="91"/>
  <c r="N87" i="91"/>
  <c r="L87" i="91"/>
  <c r="R85" i="91"/>
  <c r="Z83" i="91"/>
  <c r="X83" i="91"/>
  <c r="T83" i="91"/>
  <c r="P83" i="91"/>
  <c r="N83" i="91"/>
  <c r="L83" i="91"/>
  <c r="H83" i="91"/>
  <c r="H81" i="91" s="1"/>
  <c r="D83" i="91"/>
  <c r="B83" i="91"/>
  <c r="T82" i="91"/>
  <c r="T81" i="91" s="1"/>
  <c r="P82" i="91"/>
  <c r="L82" i="91"/>
  <c r="N82" i="91" s="1"/>
  <c r="H82" i="91"/>
  <c r="D82" i="91"/>
  <c r="B82" i="91"/>
  <c r="R81" i="91"/>
  <c r="D81" i="91"/>
  <c r="L81" i="91" s="1"/>
  <c r="N81" i="91" s="1"/>
  <c r="X79" i="91"/>
  <c r="Z79" i="91" s="1"/>
  <c r="N79" i="91"/>
  <c r="L79" i="91"/>
  <c r="B79" i="91"/>
  <c r="X78" i="91"/>
  <c r="T78" i="91"/>
  <c r="Z78" i="91" s="1"/>
  <c r="P78" i="91"/>
  <c r="L78" i="91"/>
  <c r="H78" i="91"/>
  <c r="D78" i="91"/>
  <c r="B78" i="91"/>
  <c r="X77" i="91"/>
  <c r="Z77" i="91" s="1"/>
  <c r="N77" i="91"/>
  <c r="L77" i="91"/>
  <c r="J77" i="91"/>
  <c r="B77" i="91"/>
  <c r="Z76" i="91"/>
  <c r="X76" i="91"/>
  <c r="N76" i="91"/>
  <c r="L76" i="91"/>
  <c r="B76" i="91"/>
  <c r="Z75" i="91"/>
  <c r="X75" i="91"/>
  <c r="V75" i="91"/>
  <c r="N75" i="91"/>
  <c r="L75" i="91"/>
  <c r="B75" i="91"/>
  <c r="T74" i="91"/>
  <c r="P74" i="91"/>
  <c r="X74" i="91" s="1"/>
  <c r="H74" i="91"/>
  <c r="F74" i="91"/>
  <c r="D74" i="91"/>
  <c r="L74" i="91" s="1"/>
  <c r="B74" i="91"/>
  <c r="Z73" i="91"/>
  <c r="X73" i="91"/>
  <c r="N73" i="91"/>
  <c r="L73" i="91"/>
  <c r="B73" i="91"/>
  <c r="V72" i="91"/>
  <c r="T72" i="91"/>
  <c r="P72" i="91"/>
  <c r="X72" i="91" s="1"/>
  <c r="N72" i="91"/>
  <c r="L72" i="91"/>
  <c r="H72" i="91"/>
  <c r="D72" i="91"/>
  <c r="B72" i="91"/>
  <c r="X71" i="91"/>
  <c r="Z71" i="91" s="1"/>
  <c r="R71" i="91"/>
  <c r="N71" i="91"/>
  <c r="L71" i="91"/>
  <c r="B71" i="91"/>
  <c r="T70" i="91"/>
  <c r="P70" i="91"/>
  <c r="X70" i="91" s="1"/>
  <c r="J70" i="91"/>
  <c r="H70" i="91"/>
  <c r="D70" i="91"/>
  <c r="B70" i="91"/>
  <c r="Z69" i="91"/>
  <c r="X69" i="91"/>
  <c r="N69" i="91"/>
  <c r="L69" i="91"/>
  <c r="B69" i="91"/>
  <c r="X68" i="91"/>
  <c r="Z68" i="91" s="1"/>
  <c r="N68" i="91"/>
  <c r="L68" i="91"/>
  <c r="B68" i="91"/>
  <c r="X67" i="91"/>
  <c r="Z67" i="91" s="1"/>
  <c r="N67" i="91"/>
  <c r="L67" i="91"/>
  <c r="B67" i="91"/>
  <c r="Z66" i="91"/>
  <c r="X66" i="91"/>
  <c r="L66" i="91"/>
  <c r="N66" i="91" s="1"/>
  <c r="B66" i="91"/>
  <c r="Z65" i="91"/>
  <c r="X65" i="91"/>
  <c r="N65" i="91"/>
  <c r="L65" i="91"/>
  <c r="B65" i="91"/>
  <c r="X64" i="91"/>
  <c r="Z64" i="91" s="1"/>
  <c r="N64" i="91"/>
  <c r="L64" i="91"/>
  <c r="J64" i="91"/>
  <c r="B64" i="91"/>
  <c r="Z63" i="91"/>
  <c r="X63" i="91"/>
  <c r="T63" i="91"/>
  <c r="P63" i="91"/>
  <c r="H63" i="91"/>
  <c r="N63" i="91" s="1"/>
  <c r="F63" i="91"/>
  <c r="D63" i="91"/>
  <c r="L63" i="91" s="1"/>
  <c r="B63" i="91"/>
  <c r="Z62" i="91"/>
  <c r="X62" i="91"/>
  <c r="N62" i="91"/>
  <c r="L62" i="91"/>
  <c r="B62" i="91"/>
  <c r="X61" i="91"/>
  <c r="Z61" i="91" s="1"/>
  <c r="N61" i="91"/>
  <c r="L61" i="91"/>
  <c r="B61" i="91"/>
  <c r="X60" i="91"/>
  <c r="Z60" i="91" s="1"/>
  <c r="N60" i="91"/>
  <c r="L60" i="91"/>
  <c r="B60" i="91"/>
  <c r="X59" i="91"/>
  <c r="Z59" i="91" s="1"/>
  <c r="L59" i="91"/>
  <c r="N59" i="91" s="1"/>
  <c r="F59" i="91"/>
  <c r="B59" i="91"/>
  <c r="X58" i="91"/>
  <c r="Z58" i="91" s="1"/>
  <c r="N58" i="91"/>
  <c r="L58" i="91"/>
  <c r="B58" i="91"/>
  <c r="X57" i="91"/>
  <c r="Z57" i="91" s="1"/>
  <c r="T57" i="91"/>
  <c r="R57" i="91"/>
  <c r="P57" i="91"/>
  <c r="H57" i="91"/>
  <c r="D57" i="91"/>
  <c r="L57" i="91" s="1"/>
  <c r="B57" i="91"/>
  <c r="Z56" i="91"/>
  <c r="X56" i="91"/>
  <c r="R56" i="91"/>
  <c r="N56" i="91"/>
  <c r="L56" i="91"/>
  <c r="B56" i="91"/>
  <c r="X55" i="91"/>
  <c r="Z55" i="91" s="1"/>
  <c r="R55" i="91"/>
  <c r="N55" i="91"/>
  <c r="L55" i="91"/>
  <c r="J55" i="91"/>
  <c r="B55" i="91"/>
  <c r="T54" i="91"/>
  <c r="R54" i="91"/>
  <c r="P54" i="91"/>
  <c r="X54" i="91" s="1"/>
  <c r="H54" i="91"/>
  <c r="L54" i="91" s="1"/>
  <c r="N54" i="91" s="1"/>
  <c r="D54" i="91"/>
  <c r="B54" i="91"/>
  <c r="X53" i="91"/>
  <c r="Z53" i="91" s="1"/>
  <c r="R53" i="91"/>
  <c r="N53" i="91"/>
  <c r="L53" i="91"/>
  <c r="B53" i="91"/>
  <c r="T52" i="91"/>
  <c r="P52" i="91"/>
  <c r="X52" i="91" s="1"/>
  <c r="Z52" i="91" s="1"/>
  <c r="J52" i="91"/>
  <c r="H52" i="91"/>
  <c r="N52" i="91" s="1"/>
  <c r="D52" i="91"/>
  <c r="L52" i="91" s="1"/>
  <c r="B52" i="91"/>
  <c r="X51" i="91"/>
  <c r="Z51" i="91" s="1"/>
  <c r="L51" i="91"/>
  <c r="N51" i="91" s="1"/>
  <c r="F51" i="91"/>
  <c r="B51" i="91"/>
  <c r="X50" i="91"/>
  <c r="Z50" i="91" s="1"/>
  <c r="T50" i="91"/>
  <c r="P50" i="91"/>
  <c r="J50" i="91"/>
  <c r="H50" i="91"/>
  <c r="F50" i="91"/>
  <c r="D50" i="91"/>
  <c r="L50" i="91" s="1"/>
  <c r="B50" i="91"/>
  <c r="Z49" i="91"/>
  <c r="X49" i="91"/>
  <c r="N49" i="91"/>
  <c r="L49" i="91"/>
  <c r="B49" i="91"/>
  <c r="Z48" i="91"/>
  <c r="T48" i="91"/>
  <c r="X48" i="91" s="1"/>
  <c r="R48" i="91"/>
  <c r="P48" i="91"/>
  <c r="H48" i="91"/>
  <c r="N48" i="91" s="1"/>
  <c r="D48" i="91"/>
  <c r="L48" i="91" s="1"/>
  <c r="B48" i="91"/>
  <c r="Z47" i="91"/>
  <c r="X47" i="91"/>
  <c r="R47" i="91"/>
  <c r="L47" i="91"/>
  <c r="N47" i="91" s="1"/>
  <c r="B47" i="91"/>
  <c r="V46" i="91"/>
  <c r="T46" i="91"/>
  <c r="P46" i="91"/>
  <c r="X46" i="91" s="1"/>
  <c r="H46" i="91"/>
  <c r="D46" i="91"/>
  <c r="L46" i="91" s="1"/>
  <c r="N46" i="91" s="1"/>
  <c r="B46" i="91"/>
  <c r="X45" i="91"/>
  <c r="Z45" i="91" s="1"/>
  <c r="N45" i="91"/>
  <c r="L45" i="91"/>
  <c r="B45" i="91"/>
  <c r="T44" i="91"/>
  <c r="R44" i="91"/>
  <c r="P44" i="91"/>
  <c r="X44" i="91" s="1"/>
  <c r="L44" i="91"/>
  <c r="N44" i="91" s="1"/>
  <c r="J44" i="91"/>
  <c r="H44" i="91"/>
  <c r="D44" i="91"/>
  <c r="B44" i="91"/>
  <c r="X43" i="91"/>
  <c r="Z43" i="91" s="1"/>
  <c r="R43" i="91"/>
  <c r="N43" i="91"/>
  <c r="L43" i="91"/>
  <c r="J43" i="91"/>
  <c r="B43" i="91"/>
  <c r="Z42" i="91"/>
  <c r="X42" i="91"/>
  <c r="R42" i="91"/>
  <c r="N42" i="91"/>
  <c r="L42" i="91"/>
  <c r="J42" i="91"/>
  <c r="B42" i="91"/>
  <c r="Z41" i="91"/>
  <c r="X41" i="91"/>
  <c r="L41" i="91"/>
  <c r="N41" i="91" s="1"/>
  <c r="B41" i="91"/>
  <c r="Z40" i="91"/>
  <c r="T40" i="91"/>
  <c r="X40" i="91" s="1"/>
  <c r="R40" i="91"/>
  <c r="P40" i="91"/>
  <c r="H40" i="91"/>
  <c r="D40" i="91"/>
  <c r="L40" i="91" s="1"/>
  <c r="B40" i="91"/>
  <c r="Z39" i="91"/>
  <c r="X39" i="91"/>
  <c r="V39" i="91"/>
  <c r="R39" i="91"/>
  <c r="N39" i="91"/>
  <c r="L39" i="91"/>
  <c r="B39" i="91"/>
  <c r="V38" i="91"/>
  <c r="T38" i="91"/>
  <c r="Z38" i="91" s="1"/>
  <c r="P38" i="91"/>
  <c r="X38" i="91" s="1"/>
  <c r="N38" i="91"/>
  <c r="H38" i="91"/>
  <c r="D38" i="91"/>
  <c r="L38" i="91" s="1"/>
  <c r="B38" i="91"/>
  <c r="X37" i="91"/>
  <c r="Z37" i="91" s="1"/>
  <c r="N37" i="91"/>
  <c r="L37" i="91"/>
  <c r="B37" i="91"/>
  <c r="V36" i="91"/>
  <c r="T36" i="91"/>
  <c r="R36" i="91"/>
  <c r="P36" i="91"/>
  <c r="X36" i="91" s="1"/>
  <c r="L36" i="91"/>
  <c r="N36" i="91" s="1"/>
  <c r="J36" i="91"/>
  <c r="H36" i="91"/>
  <c r="D36" i="91"/>
  <c r="B36" i="91"/>
  <c r="X35" i="91"/>
  <c r="Z35" i="91" s="1"/>
  <c r="R35" i="91"/>
  <c r="N35" i="91"/>
  <c r="L35" i="91"/>
  <c r="J35" i="91"/>
  <c r="B35" i="91"/>
  <c r="Z34" i="91"/>
  <c r="X34" i="91"/>
  <c r="R34" i="91"/>
  <c r="N34" i="91"/>
  <c r="L34" i="91"/>
  <c r="J34" i="91"/>
  <c r="B34" i="91"/>
  <c r="Z33" i="91"/>
  <c r="X33" i="91"/>
  <c r="L33" i="91"/>
  <c r="N33" i="91" s="1"/>
  <c r="J33" i="91"/>
  <c r="B33" i="91"/>
  <c r="Z32" i="91"/>
  <c r="X32" i="91"/>
  <c r="R32" i="91"/>
  <c r="N32" i="91"/>
  <c r="L32" i="91"/>
  <c r="B32" i="91"/>
  <c r="X31" i="91"/>
  <c r="Z31" i="91" s="1"/>
  <c r="R31" i="91"/>
  <c r="N31" i="91"/>
  <c r="L31" i="91"/>
  <c r="J31" i="91"/>
  <c r="B31" i="91"/>
  <c r="Z30" i="91"/>
  <c r="X30" i="91"/>
  <c r="R30" i="91"/>
  <c r="N30" i="91"/>
  <c r="L30" i="91"/>
  <c r="J30" i="91"/>
  <c r="B30" i="91"/>
  <c r="Z29" i="91"/>
  <c r="X29" i="91"/>
  <c r="T29" i="91"/>
  <c r="P29" i="91"/>
  <c r="J29" i="91"/>
  <c r="H29" i="91"/>
  <c r="D29" i="91"/>
  <c r="B29" i="91"/>
  <c r="Z28" i="91"/>
  <c r="X28" i="91"/>
  <c r="L28" i="91"/>
  <c r="N28" i="91" s="1"/>
  <c r="J28" i="91"/>
  <c r="B28" i="91"/>
  <c r="Z27" i="91"/>
  <c r="X27" i="91"/>
  <c r="V27" i="91"/>
  <c r="R27" i="91"/>
  <c r="L27" i="91"/>
  <c r="N27" i="91" s="1"/>
  <c r="B27" i="91"/>
  <c r="Z26" i="91"/>
  <c r="X26" i="91"/>
  <c r="V26" i="91"/>
  <c r="R26" i="91"/>
  <c r="L26" i="91"/>
  <c r="N26" i="91" s="1"/>
  <c r="J26" i="91"/>
  <c r="B26" i="91"/>
  <c r="X25" i="91"/>
  <c r="Z25" i="91" s="1"/>
  <c r="R25" i="91"/>
  <c r="L25" i="91"/>
  <c r="N25" i="91" s="1"/>
  <c r="J25" i="91"/>
  <c r="B25" i="91"/>
  <c r="Z24" i="91"/>
  <c r="X24" i="91"/>
  <c r="L24" i="91"/>
  <c r="N24" i="91" s="1"/>
  <c r="J24" i="91"/>
  <c r="B24" i="91"/>
  <c r="Z23" i="91"/>
  <c r="X23" i="91"/>
  <c r="V23" i="91"/>
  <c r="R23" i="91"/>
  <c r="L23" i="91"/>
  <c r="N23" i="91" s="1"/>
  <c r="B23" i="91"/>
  <c r="Z22" i="91"/>
  <c r="X22" i="91"/>
  <c r="V22" i="91"/>
  <c r="R22" i="91"/>
  <c r="L22" i="91"/>
  <c r="N22" i="91" s="1"/>
  <c r="J22" i="91"/>
  <c r="B22" i="91"/>
  <c r="X21" i="91"/>
  <c r="Z21" i="91" s="1"/>
  <c r="V21" i="91"/>
  <c r="R21" i="91"/>
  <c r="L21" i="91"/>
  <c r="N21" i="91" s="1"/>
  <c r="J21" i="91"/>
  <c r="B21" i="91"/>
  <c r="Z20" i="91"/>
  <c r="X20" i="91"/>
  <c r="L20" i="91"/>
  <c r="N20" i="91" s="1"/>
  <c r="J20" i="91"/>
  <c r="B20" i="91"/>
  <c r="V19" i="91"/>
  <c r="T19" i="91"/>
  <c r="X19" i="91" s="1"/>
  <c r="Z19" i="91" s="1"/>
  <c r="P19" i="91"/>
  <c r="J19" i="91"/>
  <c r="H19" i="91"/>
  <c r="N19" i="91" s="1"/>
  <c r="D19" i="91"/>
  <c r="L19" i="91" s="1"/>
  <c r="B19" i="91"/>
  <c r="X18" i="91"/>
  <c r="Z18" i="91" s="1"/>
  <c r="T18" i="91"/>
  <c r="P18" i="91"/>
  <c r="J18" i="91"/>
  <c r="H18" i="91"/>
  <c r="N18" i="91" s="1"/>
  <c r="F18" i="91"/>
  <c r="D18" i="91"/>
  <c r="L18" i="91" s="1"/>
  <c r="R16" i="91"/>
  <c r="J16" i="91"/>
  <c r="F16" i="91"/>
  <c r="Z14" i="91"/>
  <c r="X14" i="91"/>
  <c r="T14" i="91"/>
  <c r="R14" i="91"/>
  <c r="P14" i="91"/>
  <c r="J14" i="91"/>
  <c r="H14" i="91"/>
  <c r="N14" i="91" s="1"/>
  <c r="F14" i="91"/>
  <c r="D14" i="91"/>
  <c r="L14" i="91" s="1"/>
  <c r="X12" i="91"/>
  <c r="T12" i="91"/>
  <c r="P12" i="91"/>
  <c r="R92" i="91" s="1"/>
  <c r="H12" i="91"/>
  <c r="J49" i="91" s="1"/>
  <c r="D12" i="91"/>
  <c r="F49" i="91" s="1"/>
  <c r="D6" i="91"/>
  <c r="D4" i="91"/>
  <c r="Z71" i="88"/>
  <c r="X71" i="88"/>
  <c r="N71" i="88"/>
  <c r="L71" i="88"/>
  <c r="T67" i="88"/>
  <c r="Z67" i="88" s="1"/>
  <c r="P67" i="88"/>
  <c r="X67" i="88" s="1"/>
  <c r="N67" i="88"/>
  <c r="L67" i="88"/>
  <c r="H67" i="88"/>
  <c r="D67" i="88"/>
  <c r="X65" i="88"/>
  <c r="Z65" i="88" s="1"/>
  <c r="N65" i="88"/>
  <c r="L65" i="88"/>
  <c r="B65" i="88"/>
  <c r="T64" i="88"/>
  <c r="P64" i="88"/>
  <c r="X64" i="88" s="1"/>
  <c r="N64" i="88"/>
  <c r="L64" i="88"/>
  <c r="H64" i="88"/>
  <c r="D64" i="88"/>
  <c r="B64" i="88"/>
  <c r="X63" i="88"/>
  <c r="Z63" i="88" s="1"/>
  <c r="N63" i="88"/>
  <c r="L63" i="88"/>
  <c r="B63" i="88"/>
  <c r="Z62" i="88"/>
  <c r="X62" i="88"/>
  <c r="T62" i="88"/>
  <c r="P62" i="88"/>
  <c r="H62" i="88"/>
  <c r="D62" i="88"/>
  <c r="B62" i="88"/>
  <c r="Z61" i="88"/>
  <c r="X61" i="88"/>
  <c r="N61" i="88"/>
  <c r="L61" i="88"/>
  <c r="B61" i="88"/>
  <c r="Z60" i="88"/>
  <c r="X60" i="88"/>
  <c r="N60" i="88"/>
  <c r="L60" i="88"/>
  <c r="B60" i="88"/>
  <c r="Z59" i="88"/>
  <c r="X59" i="88"/>
  <c r="L59" i="88"/>
  <c r="N59" i="88" s="1"/>
  <c r="B59" i="88"/>
  <c r="X58" i="88"/>
  <c r="Z58" i="88" s="1"/>
  <c r="L58" i="88"/>
  <c r="N58" i="88" s="1"/>
  <c r="B58" i="88"/>
  <c r="Z57" i="88"/>
  <c r="X57" i="88"/>
  <c r="N57" i="88"/>
  <c r="L57" i="88"/>
  <c r="B57" i="88"/>
  <c r="T56" i="88"/>
  <c r="X56" i="88" s="1"/>
  <c r="Z56" i="88" s="1"/>
  <c r="P56" i="88"/>
  <c r="H56" i="88"/>
  <c r="N56" i="88" s="1"/>
  <c r="D56" i="88"/>
  <c r="L56" i="88" s="1"/>
  <c r="B56" i="88"/>
  <c r="X55" i="88"/>
  <c r="Z55" i="88" s="1"/>
  <c r="N55" i="88"/>
  <c r="L55" i="88"/>
  <c r="B55" i="88"/>
  <c r="X54" i="88"/>
  <c r="Z54" i="88" s="1"/>
  <c r="T54" i="88"/>
  <c r="P54" i="88"/>
  <c r="H54" i="88"/>
  <c r="N54" i="88" s="1"/>
  <c r="D54" i="88"/>
  <c r="L54" i="88" s="1"/>
  <c r="B54" i="88"/>
  <c r="Z53" i="88"/>
  <c r="X53" i="88"/>
  <c r="N53" i="88"/>
  <c r="L53" i="88"/>
  <c r="B53" i="88"/>
  <c r="Z52" i="88"/>
  <c r="X52" i="88"/>
  <c r="N52" i="88"/>
  <c r="L52" i="88"/>
  <c r="B52" i="88"/>
  <c r="Z51" i="88"/>
  <c r="X51" i="88"/>
  <c r="N51" i="88"/>
  <c r="L51" i="88"/>
  <c r="B51" i="88"/>
  <c r="Z50" i="88"/>
  <c r="X50" i="88"/>
  <c r="T50" i="88"/>
  <c r="P50" i="88"/>
  <c r="L50" i="88"/>
  <c r="H50" i="88"/>
  <c r="D50" i="88"/>
  <c r="B50" i="88"/>
  <c r="Z49" i="88"/>
  <c r="X49" i="88"/>
  <c r="N49" i="88"/>
  <c r="L49" i="88"/>
  <c r="B49" i="88"/>
  <c r="T48" i="88"/>
  <c r="X48" i="88" s="1"/>
  <c r="Z48" i="88" s="1"/>
  <c r="P48" i="88"/>
  <c r="H48" i="88"/>
  <c r="N48" i="88" s="1"/>
  <c r="D48" i="88"/>
  <c r="L48" i="88" s="1"/>
  <c r="B48" i="88"/>
  <c r="X47" i="88"/>
  <c r="Z47" i="88" s="1"/>
  <c r="N47" i="88"/>
  <c r="L47" i="88"/>
  <c r="B47" i="88"/>
  <c r="X46" i="88"/>
  <c r="Z46" i="88" s="1"/>
  <c r="V46" i="88"/>
  <c r="T46" i="88"/>
  <c r="P46" i="88"/>
  <c r="H46" i="88"/>
  <c r="D46" i="88"/>
  <c r="L46" i="88" s="1"/>
  <c r="B46" i="88"/>
  <c r="X45" i="88"/>
  <c r="Z45" i="88" s="1"/>
  <c r="N45" i="88"/>
  <c r="L45" i="88"/>
  <c r="B45" i="88"/>
  <c r="T44" i="88"/>
  <c r="P44" i="88"/>
  <c r="N44" i="88"/>
  <c r="L44" i="88"/>
  <c r="H44" i="88"/>
  <c r="D44" i="88"/>
  <c r="B44" i="88"/>
  <c r="Z43" i="88"/>
  <c r="X43" i="88"/>
  <c r="V43" i="88"/>
  <c r="L43" i="88"/>
  <c r="N43" i="88" s="1"/>
  <c r="B43" i="88"/>
  <c r="T42" i="88"/>
  <c r="P42" i="88"/>
  <c r="X42" i="88" s="1"/>
  <c r="H42" i="88"/>
  <c r="L42" i="88" s="1"/>
  <c r="N42" i="88" s="1"/>
  <c r="D42" i="88"/>
  <c r="B42" i="88"/>
  <c r="X41" i="88"/>
  <c r="Z41" i="88" s="1"/>
  <c r="V41" i="88"/>
  <c r="N41" i="88"/>
  <c r="L41" i="88"/>
  <c r="B41" i="88"/>
  <c r="T40" i="88"/>
  <c r="P40" i="88"/>
  <c r="X40" i="88" s="1"/>
  <c r="N40" i="88"/>
  <c r="L40" i="88"/>
  <c r="H40" i="88"/>
  <c r="F40" i="88"/>
  <c r="D40" i="88"/>
  <c r="B40" i="88"/>
  <c r="Z39" i="88"/>
  <c r="X39" i="88"/>
  <c r="N39" i="88"/>
  <c r="L39" i="88"/>
  <c r="F39" i="88"/>
  <c r="B39" i="88"/>
  <c r="Z38" i="88"/>
  <c r="X38" i="88"/>
  <c r="T38" i="88"/>
  <c r="P38" i="88"/>
  <c r="L38" i="88"/>
  <c r="H38" i="88"/>
  <c r="F38" i="88"/>
  <c r="D38" i="88"/>
  <c r="B38" i="88"/>
  <c r="Z37" i="88"/>
  <c r="X37" i="88"/>
  <c r="L37" i="88"/>
  <c r="N37" i="88" s="1"/>
  <c r="F37" i="88"/>
  <c r="B37" i="88"/>
  <c r="Z36" i="88"/>
  <c r="X36" i="88"/>
  <c r="L36" i="88"/>
  <c r="N36" i="88" s="1"/>
  <c r="B36" i="88"/>
  <c r="X35" i="88"/>
  <c r="Z35" i="88" s="1"/>
  <c r="N35" i="88"/>
  <c r="L35" i="88"/>
  <c r="B35" i="88"/>
  <c r="X34" i="88"/>
  <c r="Z34" i="88" s="1"/>
  <c r="L34" i="88"/>
  <c r="N34" i="88" s="1"/>
  <c r="B34" i="88"/>
  <c r="Z33" i="88"/>
  <c r="X33" i="88"/>
  <c r="L33" i="88"/>
  <c r="N33" i="88" s="1"/>
  <c r="F33" i="88"/>
  <c r="B33" i="88"/>
  <c r="Z32" i="88"/>
  <c r="T32" i="88"/>
  <c r="X32" i="88" s="1"/>
  <c r="P32" i="88"/>
  <c r="H32" i="88"/>
  <c r="F32" i="88"/>
  <c r="D32" i="88"/>
  <c r="L32" i="88" s="1"/>
  <c r="B32" i="88"/>
  <c r="X31" i="88"/>
  <c r="Z31" i="88" s="1"/>
  <c r="N31" i="88"/>
  <c r="L31" i="88"/>
  <c r="B31" i="88"/>
  <c r="Z30" i="88"/>
  <c r="X30" i="88"/>
  <c r="N30" i="88"/>
  <c r="L30" i="88"/>
  <c r="B30" i="88"/>
  <c r="X29" i="88"/>
  <c r="Z29" i="88" s="1"/>
  <c r="L29" i="88"/>
  <c r="N29" i="88" s="1"/>
  <c r="B29" i="88"/>
  <c r="X28" i="88"/>
  <c r="Z28" i="88" s="1"/>
  <c r="L28" i="88"/>
  <c r="N28" i="88" s="1"/>
  <c r="B28" i="88"/>
  <c r="X27" i="88"/>
  <c r="Z27" i="88" s="1"/>
  <c r="N27" i="88"/>
  <c r="L27" i="88"/>
  <c r="B27" i="88"/>
  <c r="Z26" i="88"/>
  <c r="X26" i="88"/>
  <c r="V26" i="88"/>
  <c r="N26" i="88"/>
  <c r="L26" i="88"/>
  <c r="B26" i="88"/>
  <c r="X25" i="88"/>
  <c r="Z25" i="88" s="1"/>
  <c r="V25" i="88"/>
  <c r="R25" i="88"/>
  <c r="L25" i="88"/>
  <c r="N25" i="88" s="1"/>
  <c r="F25" i="88"/>
  <c r="B25" i="88"/>
  <c r="X24" i="88"/>
  <c r="Z24" i="88" s="1"/>
  <c r="L24" i="88"/>
  <c r="N24" i="88" s="1"/>
  <c r="B24" i="88"/>
  <c r="X23" i="88"/>
  <c r="Z23" i="88" s="1"/>
  <c r="T23" i="88"/>
  <c r="P23" i="88"/>
  <c r="H23" i="88"/>
  <c r="F23" i="88"/>
  <c r="D23" i="88"/>
  <c r="L23" i="88" s="1"/>
  <c r="B23" i="88"/>
  <c r="Z22" i="88"/>
  <c r="X22" i="88"/>
  <c r="T22" i="88"/>
  <c r="P22" i="88"/>
  <c r="H22" i="88"/>
  <c r="D22" i="88"/>
  <c r="Z18" i="88"/>
  <c r="X18" i="88"/>
  <c r="L18" i="88"/>
  <c r="N18" i="88" s="1"/>
  <c r="F18" i="88"/>
  <c r="B18" i="88"/>
  <c r="X17" i="88"/>
  <c r="Z17" i="88" s="1"/>
  <c r="V17" i="88"/>
  <c r="N17" i="88"/>
  <c r="L17" i="88"/>
  <c r="B17" i="88"/>
  <c r="T16" i="88"/>
  <c r="R16" i="88"/>
  <c r="P16" i="88"/>
  <c r="N16" i="88"/>
  <c r="L16" i="88"/>
  <c r="H16" i="88"/>
  <c r="D16" i="88"/>
  <c r="X14" i="88"/>
  <c r="T14" i="88"/>
  <c r="P14" i="88"/>
  <c r="H14" i="88"/>
  <c r="D14" i="88"/>
  <c r="B14" i="88"/>
  <c r="T13" i="88"/>
  <c r="T12" i="88" s="1"/>
  <c r="P13" i="88"/>
  <c r="P12" i="88" s="1"/>
  <c r="H13" i="88"/>
  <c r="D13" i="88"/>
  <c r="L13" i="88" s="1"/>
  <c r="N13" i="88" s="1"/>
  <c r="B13" i="88"/>
  <c r="D12" i="88"/>
  <c r="F22" i="88" s="1"/>
  <c r="D6" i="88"/>
  <c r="D4" i="88"/>
  <c r="F84" i="87"/>
  <c r="X82" i="87"/>
  <c r="Z82" i="87" s="1"/>
  <c r="L82" i="87"/>
  <c r="N82" i="87" s="1"/>
  <c r="Z78" i="87"/>
  <c r="X78" i="87"/>
  <c r="T78" i="87"/>
  <c r="P78" i="87"/>
  <c r="L78" i="87"/>
  <c r="H78" i="87"/>
  <c r="N78" i="87" s="1"/>
  <c r="D78" i="87"/>
  <c r="Z76" i="87"/>
  <c r="X76" i="87"/>
  <c r="N76" i="87"/>
  <c r="L76" i="87"/>
  <c r="B76" i="87"/>
  <c r="T75" i="87"/>
  <c r="P75" i="87"/>
  <c r="X75" i="87" s="1"/>
  <c r="Z75" i="87" s="1"/>
  <c r="H75" i="87"/>
  <c r="D75" i="87"/>
  <c r="B75" i="87"/>
  <c r="X74" i="87"/>
  <c r="Z74" i="87" s="1"/>
  <c r="N74" i="87"/>
  <c r="L74" i="87"/>
  <c r="B74" i="87"/>
  <c r="Z73" i="87"/>
  <c r="T73" i="87"/>
  <c r="P73" i="87"/>
  <c r="X73" i="87" s="1"/>
  <c r="H73" i="87"/>
  <c r="F73" i="87"/>
  <c r="D73" i="87"/>
  <c r="B73" i="87"/>
  <c r="X72" i="87"/>
  <c r="Z72" i="87" s="1"/>
  <c r="L72" i="87"/>
  <c r="N72" i="87" s="1"/>
  <c r="B72" i="87"/>
  <c r="X71" i="87"/>
  <c r="Z71" i="87" s="1"/>
  <c r="T71" i="87"/>
  <c r="P71" i="87"/>
  <c r="H71" i="87"/>
  <c r="D71" i="87"/>
  <c r="L71" i="87" s="1"/>
  <c r="N71" i="87" s="1"/>
  <c r="B71" i="87"/>
  <c r="X70" i="87"/>
  <c r="Z70" i="87" s="1"/>
  <c r="N70" i="87"/>
  <c r="L70" i="87"/>
  <c r="B70" i="87"/>
  <c r="Z69" i="87"/>
  <c r="X69" i="87"/>
  <c r="N69" i="87"/>
  <c r="L69" i="87"/>
  <c r="B69" i="87"/>
  <c r="Z68" i="87"/>
  <c r="X68" i="87"/>
  <c r="N68" i="87"/>
  <c r="L68" i="87"/>
  <c r="B68" i="87"/>
  <c r="Z67" i="87"/>
  <c r="X67" i="87"/>
  <c r="N67" i="87"/>
  <c r="L67" i="87"/>
  <c r="B67" i="87"/>
  <c r="Z66" i="87"/>
  <c r="X66" i="87"/>
  <c r="L66" i="87"/>
  <c r="N66" i="87" s="1"/>
  <c r="B66" i="87"/>
  <c r="Z65" i="87"/>
  <c r="X65" i="87"/>
  <c r="N65" i="87"/>
  <c r="L65" i="87"/>
  <c r="B65" i="87"/>
  <c r="Z64" i="87"/>
  <c r="X64" i="87"/>
  <c r="N64" i="87"/>
  <c r="L64" i="87"/>
  <c r="B64" i="87"/>
  <c r="T63" i="87"/>
  <c r="P63" i="87"/>
  <c r="L63" i="87"/>
  <c r="N63" i="87" s="1"/>
  <c r="H63" i="87"/>
  <c r="D63" i="87"/>
  <c r="B63" i="87"/>
  <c r="X62" i="87"/>
  <c r="Z62" i="87" s="1"/>
  <c r="N62" i="87"/>
  <c r="L62" i="87"/>
  <c r="B62" i="87"/>
  <c r="T61" i="87"/>
  <c r="P61" i="87"/>
  <c r="X61" i="87" s="1"/>
  <c r="Z61" i="87" s="1"/>
  <c r="L61" i="87"/>
  <c r="N61" i="87" s="1"/>
  <c r="H61" i="87"/>
  <c r="D61" i="87"/>
  <c r="B61" i="87"/>
  <c r="X60" i="87"/>
  <c r="Z60" i="87" s="1"/>
  <c r="N60" i="87"/>
  <c r="L60" i="87"/>
  <c r="B60" i="87"/>
  <c r="Z59" i="87"/>
  <c r="X59" i="87"/>
  <c r="N59" i="87"/>
  <c r="L59" i="87"/>
  <c r="B59" i="87"/>
  <c r="X58" i="87"/>
  <c r="Z58" i="87" s="1"/>
  <c r="N58" i="87"/>
  <c r="L58" i="87"/>
  <c r="B58" i="87"/>
  <c r="T57" i="87"/>
  <c r="P57" i="87"/>
  <c r="X57" i="87" s="1"/>
  <c r="Z57" i="87" s="1"/>
  <c r="L57" i="87"/>
  <c r="N57" i="87" s="1"/>
  <c r="H57" i="87"/>
  <c r="D57" i="87"/>
  <c r="B57" i="87"/>
  <c r="X56" i="87"/>
  <c r="Z56" i="87" s="1"/>
  <c r="N56" i="87"/>
  <c r="L56" i="87"/>
  <c r="F56" i="87"/>
  <c r="B56" i="87"/>
  <c r="X55" i="87"/>
  <c r="Z55" i="87" s="1"/>
  <c r="T55" i="87"/>
  <c r="P55" i="87"/>
  <c r="H55" i="87"/>
  <c r="F55" i="87"/>
  <c r="D55" i="87"/>
  <c r="B55" i="87"/>
  <c r="X54" i="87"/>
  <c r="Z54" i="87" s="1"/>
  <c r="N54" i="87"/>
  <c r="L54" i="87"/>
  <c r="B54" i="87"/>
  <c r="Z53" i="87"/>
  <c r="X53" i="87"/>
  <c r="N53" i="87"/>
  <c r="L53" i="87"/>
  <c r="B53" i="87"/>
  <c r="T52" i="87"/>
  <c r="P52" i="87"/>
  <c r="L52" i="87"/>
  <c r="N52" i="87" s="1"/>
  <c r="H52" i="87"/>
  <c r="D52" i="87"/>
  <c r="B52" i="87"/>
  <c r="X51" i="87"/>
  <c r="Z51" i="87" s="1"/>
  <c r="L51" i="87"/>
  <c r="N51" i="87" s="1"/>
  <c r="B51" i="87"/>
  <c r="T50" i="87"/>
  <c r="P50" i="87"/>
  <c r="X50" i="87" s="1"/>
  <c r="H50" i="87"/>
  <c r="N50" i="87" s="1"/>
  <c r="D50" i="87"/>
  <c r="L50" i="87" s="1"/>
  <c r="B50" i="87"/>
  <c r="X49" i="87"/>
  <c r="Z49" i="87" s="1"/>
  <c r="N49" i="87"/>
  <c r="L49" i="87"/>
  <c r="B49" i="87"/>
  <c r="X48" i="87"/>
  <c r="T48" i="87"/>
  <c r="Z48" i="87" s="1"/>
  <c r="P48" i="87"/>
  <c r="N48" i="87"/>
  <c r="L48" i="87"/>
  <c r="H48" i="87"/>
  <c r="D48" i="87"/>
  <c r="B48" i="87"/>
  <c r="Z47" i="87"/>
  <c r="X47" i="87"/>
  <c r="L47" i="87"/>
  <c r="N47" i="87" s="1"/>
  <c r="B47" i="87"/>
  <c r="X46" i="87"/>
  <c r="Z46" i="87" s="1"/>
  <c r="T46" i="87"/>
  <c r="P46" i="87"/>
  <c r="J46" i="87"/>
  <c r="H46" i="87"/>
  <c r="D46" i="87"/>
  <c r="L46" i="87" s="1"/>
  <c r="B46" i="87"/>
  <c r="Z45" i="87"/>
  <c r="X45" i="87"/>
  <c r="L45" i="87"/>
  <c r="N45" i="87" s="1"/>
  <c r="F45" i="87"/>
  <c r="B45" i="87"/>
  <c r="X44" i="87"/>
  <c r="Z44" i="87" s="1"/>
  <c r="L44" i="87"/>
  <c r="N44" i="87" s="1"/>
  <c r="B44" i="87"/>
  <c r="X43" i="87"/>
  <c r="Z43" i="87" s="1"/>
  <c r="T43" i="87"/>
  <c r="P43" i="87"/>
  <c r="H43" i="87"/>
  <c r="D43" i="87"/>
  <c r="L43" i="87" s="1"/>
  <c r="N43" i="87" s="1"/>
  <c r="B43" i="87"/>
  <c r="Z42" i="87"/>
  <c r="X42" i="87"/>
  <c r="L42" i="87"/>
  <c r="N42" i="87" s="1"/>
  <c r="B42" i="87"/>
  <c r="T41" i="87"/>
  <c r="R41" i="87"/>
  <c r="P41" i="87"/>
  <c r="L41" i="87"/>
  <c r="N41" i="87" s="1"/>
  <c r="H41" i="87"/>
  <c r="D41" i="87"/>
  <c r="B41" i="87"/>
  <c r="Z40" i="87"/>
  <c r="X40" i="87"/>
  <c r="L40" i="87"/>
  <c r="N40" i="87" s="1"/>
  <c r="F40" i="87"/>
  <c r="B40" i="87"/>
  <c r="T39" i="87"/>
  <c r="P39" i="87"/>
  <c r="X39" i="87" s="1"/>
  <c r="N39" i="87"/>
  <c r="H39" i="87"/>
  <c r="L39" i="87" s="1"/>
  <c r="F39" i="87"/>
  <c r="D39" i="87"/>
  <c r="B39" i="87"/>
  <c r="Z38" i="87"/>
  <c r="X38" i="87"/>
  <c r="L38" i="87"/>
  <c r="N38" i="87" s="1"/>
  <c r="B38" i="87"/>
  <c r="T37" i="87"/>
  <c r="P37" i="87"/>
  <c r="X37" i="87" s="1"/>
  <c r="Z37" i="87" s="1"/>
  <c r="L37" i="87"/>
  <c r="N37" i="87" s="1"/>
  <c r="H37" i="87"/>
  <c r="D37" i="87"/>
  <c r="B37" i="87"/>
  <c r="X36" i="87"/>
  <c r="Z36" i="87" s="1"/>
  <c r="N36" i="87"/>
  <c r="L36" i="87"/>
  <c r="F36" i="87"/>
  <c r="B36" i="87"/>
  <c r="X35" i="87"/>
  <c r="Z35" i="87" s="1"/>
  <c r="N35" i="87"/>
  <c r="L35" i="87"/>
  <c r="F35" i="87"/>
  <c r="B35" i="87"/>
  <c r="Z34" i="87"/>
  <c r="X34" i="87"/>
  <c r="N34" i="87"/>
  <c r="L34" i="87"/>
  <c r="F34" i="87"/>
  <c r="B34" i="87"/>
  <c r="X33" i="87"/>
  <c r="Z33" i="87" s="1"/>
  <c r="N33" i="87"/>
  <c r="L33" i="87"/>
  <c r="F33" i="87"/>
  <c r="B33" i="87"/>
  <c r="X32" i="87"/>
  <c r="T32" i="87"/>
  <c r="Z32" i="87" s="1"/>
  <c r="P32" i="87"/>
  <c r="L32" i="87"/>
  <c r="N32" i="87" s="1"/>
  <c r="H32" i="87"/>
  <c r="F32" i="87"/>
  <c r="D32" i="87"/>
  <c r="B32" i="87"/>
  <c r="Z31" i="87"/>
  <c r="X31" i="87"/>
  <c r="L31" i="87"/>
  <c r="N31" i="87" s="1"/>
  <c r="B31" i="87"/>
  <c r="X30" i="87"/>
  <c r="Z30" i="87" s="1"/>
  <c r="N30" i="87"/>
  <c r="L30" i="87"/>
  <c r="B30" i="87"/>
  <c r="Z29" i="87"/>
  <c r="X29" i="87"/>
  <c r="N29" i="87"/>
  <c r="L29" i="87"/>
  <c r="B29" i="87"/>
  <c r="Z28" i="87"/>
  <c r="X28" i="87"/>
  <c r="L28" i="87"/>
  <c r="N28" i="87" s="1"/>
  <c r="F28" i="87"/>
  <c r="B28" i="87"/>
  <c r="Z27" i="87"/>
  <c r="X27" i="87"/>
  <c r="L27" i="87"/>
  <c r="N27" i="87" s="1"/>
  <c r="B27" i="87"/>
  <c r="X26" i="87"/>
  <c r="Z26" i="87" s="1"/>
  <c r="N26" i="87"/>
  <c r="L26" i="87"/>
  <c r="B26" i="87"/>
  <c r="Z25" i="87"/>
  <c r="X25" i="87"/>
  <c r="N25" i="87"/>
  <c r="L25" i="87"/>
  <c r="B25" i="87"/>
  <c r="Z24" i="87"/>
  <c r="X24" i="87"/>
  <c r="L24" i="87"/>
  <c r="N24" i="87" s="1"/>
  <c r="F24" i="87"/>
  <c r="B24" i="87"/>
  <c r="T23" i="87"/>
  <c r="P23" i="87"/>
  <c r="X23" i="87" s="1"/>
  <c r="N23" i="87"/>
  <c r="H23" i="87"/>
  <c r="L23" i="87" s="1"/>
  <c r="F23" i="87"/>
  <c r="D23" i="87"/>
  <c r="B23" i="87"/>
  <c r="T22" i="87"/>
  <c r="P22" i="87"/>
  <c r="X22" i="87" s="1"/>
  <c r="H22" i="87"/>
  <c r="D22" i="87"/>
  <c r="L22" i="87" s="1"/>
  <c r="R20" i="87"/>
  <c r="P20" i="87"/>
  <c r="Z18" i="87"/>
  <c r="X18" i="87"/>
  <c r="L18" i="87"/>
  <c r="N18" i="87" s="1"/>
  <c r="B18" i="87"/>
  <c r="Z17" i="87"/>
  <c r="X17" i="87"/>
  <c r="L17" i="87"/>
  <c r="N17" i="87" s="1"/>
  <c r="F17" i="87"/>
  <c r="B17" i="87"/>
  <c r="T16" i="87"/>
  <c r="P16" i="87"/>
  <c r="X16" i="87" s="1"/>
  <c r="H16" i="87"/>
  <c r="F16" i="87"/>
  <c r="D16" i="87"/>
  <c r="T14" i="87"/>
  <c r="P14" i="87"/>
  <c r="P12" i="87" s="1"/>
  <c r="L14" i="87"/>
  <c r="H14" i="87"/>
  <c r="N14" i="87" s="1"/>
  <c r="D14" i="87"/>
  <c r="B14" i="87"/>
  <c r="X13" i="87"/>
  <c r="T13" i="87"/>
  <c r="P13" i="87"/>
  <c r="H13" i="87"/>
  <c r="H12" i="87" s="1"/>
  <c r="D13" i="87"/>
  <c r="B13" i="87"/>
  <c r="D12" i="87"/>
  <c r="F62" i="87" s="1"/>
  <c r="D6" i="87"/>
  <c r="D4" i="87"/>
  <c r="R29" i="86"/>
  <c r="F29" i="86"/>
  <c r="R26" i="86"/>
  <c r="F26" i="86"/>
  <c r="Z24" i="86"/>
  <c r="X24" i="86"/>
  <c r="N24" i="86"/>
  <c r="L24" i="86"/>
  <c r="J24" i="86"/>
  <c r="F24" i="86"/>
  <c r="J22" i="86"/>
  <c r="F22" i="86"/>
  <c r="T20" i="86"/>
  <c r="Z20" i="86" s="1"/>
  <c r="P20" i="86"/>
  <c r="X20" i="86" s="1"/>
  <c r="J20" i="86"/>
  <c r="H20" i="86"/>
  <c r="N20" i="86" s="1"/>
  <c r="F20" i="86"/>
  <c r="D20" i="86"/>
  <c r="L20" i="86" s="1"/>
  <c r="T18" i="86"/>
  <c r="Z18" i="86" s="1"/>
  <c r="P18" i="86"/>
  <c r="X18" i="86" s="1"/>
  <c r="J18" i="86"/>
  <c r="H18" i="86"/>
  <c r="N18" i="86" s="1"/>
  <c r="F18" i="86"/>
  <c r="D18" i="86"/>
  <c r="L18" i="86" s="1"/>
  <c r="J16" i="86"/>
  <c r="F16" i="86"/>
  <c r="D16" i="86"/>
  <c r="T14" i="86"/>
  <c r="Z14" i="86" s="1"/>
  <c r="P14" i="86"/>
  <c r="X14" i="86" s="1"/>
  <c r="J14" i="86"/>
  <c r="H14" i="86"/>
  <c r="N14" i="86" s="1"/>
  <c r="F14" i="86"/>
  <c r="D14" i="86"/>
  <c r="L14" i="86" s="1"/>
  <c r="T12" i="86"/>
  <c r="V29" i="86" s="1"/>
  <c r="P12" i="86"/>
  <c r="R22" i="86" s="1"/>
  <c r="L12" i="86"/>
  <c r="H12" i="86"/>
  <c r="N12" i="86" s="1"/>
  <c r="D12" i="86"/>
  <c r="D6" i="86"/>
  <c r="D4" i="86"/>
  <c r="Z28" i="85"/>
  <c r="X28" i="85"/>
  <c r="L28" i="85"/>
  <c r="N28" i="85" s="1"/>
  <c r="T24" i="85"/>
  <c r="Z24" i="85" s="1"/>
  <c r="R24" i="85"/>
  <c r="P24" i="85"/>
  <c r="X24" i="85" s="1"/>
  <c r="H24" i="85"/>
  <c r="N24" i="85" s="1"/>
  <c r="D24" i="85"/>
  <c r="L24" i="85" s="1"/>
  <c r="Z22" i="85"/>
  <c r="X22" i="85"/>
  <c r="R22" i="85"/>
  <c r="L22" i="85"/>
  <c r="N22" i="85" s="1"/>
  <c r="B22" i="85"/>
  <c r="T21" i="85"/>
  <c r="P21" i="85"/>
  <c r="X21" i="85" s="1"/>
  <c r="Z21" i="85" s="1"/>
  <c r="L21" i="85"/>
  <c r="N21" i="85" s="1"/>
  <c r="J21" i="85"/>
  <c r="H21" i="85"/>
  <c r="D21" i="85"/>
  <c r="B21" i="85"/>
  <c r="X20" i="85"/>
  <c r="T20" i="85"/>
  <c r="Z20" i="85" s="1"/>
  <c r="R20" i="85"/>
  <c r="P20" i="85"/>
  <c r="N20" i="85"/>
  <c r="L20" i="85"/>
  <c r="H20" i="85"/>
  <c r="D20" i="85"/>
  <c r="R18" i="85"/>
  <c r="P18" i="85"/>
  <c r="X16" i="85"/>
  <c r="Z16" i="85" s="1"/>
  <c r="N16" i="85"/>
  <c r="L16" i="85"/>
  <c r="J16" i="85"/>
  <c r="B16" i="85"/>
  <c r="X15" i="85"/>
  <c r="Z15" i="85" s="1"/>
  <c r="T15" i="85"/>
  <c r="R15" i="85"/>
  <c r="P15" i="85"/>
  <c r="H15" i="85"/>
  <c r="D15" i="85"/>
  <c r="T13" i="85"/>
  <c r="T12" i="85" s="1"/>
  <c r="Z12" i="85" s="1"/>
  <c r="P13" i="85"/>
  <c r="H13" i="85"/>
  <c r="D13" i="85"/>
  <c r="D12" i="85" s="1"/>
  <c r="F16" i="85" s="1"/>
  <c r="B13" i="85"/>
  <c r="X12" i="85"/>
  <c r="P12" i="85"/>
  <c r="R21" i="85" s="1"/>
  <c r="H12" i="85"/>
  <c r="J28" i="85" s="1"/>
  <c r="D6" i="85"/>
  <c r="D4" i="85"/>
  <c r="Z112" i="84"/>
  <c r="X112" i="84"/>
  <c r="L112" i="84"/>
  <c r="N112" i="84" s="1"/>
  <c r="X108" i="84"/>
  <c r="T108" i="84"/>
  <c r="Z108" i="84" s="1"/>
  <c r="P108" i="84"/>
  <c r="N108" i="84"/>
  <c r="L108" i="84"/>
  <c r="H108" i="84"/>
  <c r="D108" i="84"/>
  <c r="X106" i="84"/>
  <c r="Z106" i="84" s="1"/>
  <c r="N106" i="84"/>
  <c r="L106" i="84"/>
  <c r="B106" i="84"/>
  <c r="X105" i="84"/>
  <c r="Z105" i="84" s="1"/>
  <c r="T105" i="84"/>
  <c r="P105" i="84"/>
  <c r="H105" i="84"/>
  <c r="D105" i="84"/>
  <c r="B105" i="84"/>
  <c r="X104" i="84"/>
  <c r="Z104" i="84" s="1"/>
  <c r="L104" i="84"/>
  <c r="N104" i="84" s="1"/>
  <c r="B104" i="84"/>
  <c r="T103" i="84"/>
  <c r="X103" i="84" s="1"/>
  <c r="Z103" i="84" s="1"/>
  <c r="P103" i="84"/>
  <c r="H103" i="84"/>
  <c r="N103" i="84" s="1"/>
  <c r="D103" i="84"/>
  <c r="L103" i="84" s="1"/>
  <c r="B103" i="84"/>
  <c r="X102" i="84"/>
  <c r="Z102" i="84" s="1"/>
  <c r="L102" i="84"/>
  <c r="N102" i="84" s="1"/>
  <c r="B102" i="84"/>
  <c r="X101" i="84"/>
  <c r="Z101" i="84" s="1"/>
  <c r="T101" i="84"/>
  <c r="P101" i="84"/>
  <c r="H101" i="84"/>
  <c r="D101" i="84"/>
  <c r="L101" i="84" s="1"/>
  <c r="N101" i="84" s="1"/>
  <c r="B101" i="84"/>
  <c r="X100" i="84"/>
  <c r="Z100" i="84" s="1"/>
  <c r="L100" i="84"/>
  <c r="N100" i="84" s="1"/>
  <c r="B100" i="84"/>
  <c r="X99" i="84"/>
  <c r="Z99" i="84" s="1"/>
  <c r="N99" i="84"/>
  <c r="L99" i="84"/>
  <c r="B99" i="84"/>
  <c r="Z98" i="84"/>
  <c r="X98" i="84"/>
  <c r="N98" i="84"/>
  <c r="L98" i="84"/>
  <c r="J98" i="84"/>
  <c r="B98" i="84"/>
  <c r="X97" i="84"/>
  <c r="Z97" i="84" s="1"/>
  <c r="T97" i="84"/>
  <c r="P97" i="84"/>
  <c r="H97" i="84"/>
  <c r="D97" i="84"/>
  <c r="B97" i="84"/>
  <c r="X96" i="84"/>
  <c r="Z96" i="84" s="1"/>
  <c r="N96" i="84"/>
  <c r="L96" i="84"/>
  <c r="B96" i="84"/>
  <c r="T95" i="84"/>
  <c r="X95" i="84" s="1"/>
  <c r="Z95" i="84" s="1"/>
  <c r="P95" i="84"/>
  <c r="H95" i="84"/>
  <c r="N95" i="84" s="1"/>
  <c r="D95" i="84"/>
  <c r="L95" i="84" s="1"/>
  <c r="B95" i="84"/>
  <c r="X94" i="84"/>
  <c r="Z94" i="84" s="1"/>
  <c r="L94" i="84"/>
  <c r="N94" i="84" s="1"/>
  <c r="B94" i="84"/>
  <c r="X93" i="84"/>
  <c r="Z93" i="84" s="1"/>
  <c r="L93" i="84"/>
  <c r="N93" i="84" s="1"/>
  <c r="B93" i="84"/>
  <c r="Z92" i="84"/>
  <c r="X92" i="84"/>
  <c r="N92" i="84"/>
  <c r="L92" i="84"/>
  <c r="B92" i="84"/>
  <c r="T91" i="84"/>
  <c r="P91" i="84"/>
  <c r="X91" i="84" s="1"/>
  <c r="Z91" i="84" s="1"/>
  <c r="L91" i="84"/>
  <c r="N91" i="84" s="1"/>
  <c r="H91" i="84"/>
  <c r="D91" i="84"/>
  <c r="B91" i="84"/>
  <c r="Z90" i="84"/>
  <c r="X90" i="84"/>
  <c r="N90" i="84"/>
  <c r="L90" i="84"/>
  <c r="B90" i="84"/>
  <c r="Z89" i="84"/>
  <c r="X89" i="84"/>
  <c r="T89" i="84"/>
  <c r="P89" i="84"/>
  <c r="H89" i="84"/>
  <c r="D89" i="84"/>
  <c r="B89" i="84"/>
  <c r="X88" i="84"/>
  <c r="Z88" i="84" s="1"/>
  <c r="N88" i="84"/>
  <c r="L88" i="84"/>
  <c r="B88" i="84"/>
  <c r="Z87" i="84"/>
  <c r="T87" i="84"/>
  <c r="X87" i="84" s="1"/>
  <c r="P87" i="84"/>
  <c r="H87" i="84"/>
  <c r="N87" i="84" s="1"/>
  <c r="D87" i="84"/>
  <c r="L87" i="84" s="1"/>
  <c r="B87" i="84"/>
  <c r="X86" i="84"/>
  <c r="Z86" i="84" s="1"/>
  <c r="N86" i="84"/>
  <c r="L86" i="84"/>
  <c r="B86" i="84"/>
  <c r="X85" i="84"/>
  <c r="Z85" i="84" s="1"/>
  <c r="T85" i="84"/>
  <c r="P85" i="84"/>
  <c r="N85" i="84"/>
  <c r="H85" i="84"/>
  <c r="D85" i="84"/>
  <c r="L85" i="84" s="1"/>
  <c r="B85" i="84"/>
  <c r="Z84" i="84"/>
  <c r="X84" i="84"/>
  <c r="L84" i="84"/>
  <c r="N84" i="84" s="1"/>
  <c r="B84" i="84"/>
  <c r="T83" i="84"/>
  <c r="P83" i="84"/>
  <c r="L83" i="84"/>
  <c r="N83" i="84" s="1"/>
  <c r="H83" i="84"/>
  <c r="D83" i="84"/>
  <c r="B83" i="84"/>
  <c r="Z82" i="84"/>
  <c r="X82" i="84"/>
  <c r="L82" i="84"/>
  <c r="N82" i="84" s="1"/>
  <c r="B82" i="84"/>
  <c r="T81" i="84"/>
  <c r="P81" i="84"/>
  <c r="X81" i="84" s="1"/>
  <c r="H81" i="84"/>
  <c r="L81" i="84" s="1"/>
  <c r="N81" i="84" s="1"/>
  <c r="D81" i="84"/>
  <c r="B81" i="84"/>
  <c r="Z80" i="84"/>
  <c r="X80" i="84"/>
  <c r="N80" i="84"/>
  <c r="L80" i="84"/>
  <c r="B80" i="84"/>
  <c r="T79" i="84"/>
  <c r="P79" i="84"/>
  <c r="X79" i="84" s="1"/>
  <c r="Z79" i="84" s="1"/>
  <c r="N79" i="84"/>
  <c r="L79" i="84"/>
  <c r="J79" i="84"/>
  <c r="H79" i="84"/>
  <c r="D79" i="84"/>
  <c r="B79" i="84"/>
  <c r="X78" i="84"/>
  <c r="Z78" i="84" s="1"/>
  <c r="N78" i="84"/>
  <c r="L78" i="84"/>
  <c r="B78" i="84"/>
  <c r="X77" i="84"/>
  <c r="Z77" i="84" s="1"/>
  <c r="T77" i="84"/>
  <c r="P77" i="84"/>
  <c r="H77" i="84"/>
  <c r="D77" i="84"/>
  <c r="B77" i="84"/>
  <c r="X76" i="84"/>
  <c r="Z76" i="84" s="1"/>
  <c r="N76" i="84"/>
  <c r="L76" i="84"/>
  <c r="B76" i="84"/>
  <c r="T75" i="84"/>
  <c r="X75" i="84" s="1"/>
  <c r="Z75" i="84" s="1"/>
  <c r="P75" i="84"/>
  <c r="H75" i="84"/>
  <c r="N75" i="84" s="1"/>
  <c r="D75" i="84"/>
  <c r="L75" i="84" s="1"/>
  <c r="B75" i="84"/>
  <c r="Z74" i="84"/>
  <c r="X74" i="84"/>
  <c r="L74" i="84"/>
  <c r="N74" i="84" s="1"/>
  <c r="B74" i="84"/>
  <c r="X73" i="84"/>
  <c r="Z73" i="84" s="1"/>
  <c r="T73" i="84"/>
  <c r="P73" i="84"/>
  <c r="H73" i="84"/>
  <c r="D73" i="84"/>
  <c r="L73" i="84" s="1"/>
  <c r="N73" i="84" s="1"/>
  <c r="B73" i="84"/>
  <c r="Z72" i="84"/>
  <c r="X72" i="84"/>
  <c r="N72" i="84"/>
  <c r="L72" i="84"/>
  <c r="B72" i="84"/>
  <c r="T71" i="84"/>
  <c r="P71" i="84"/>
  <c r="L71" i="84"/>
  <c r="N71" i="84" s="1"/>
  <c r="H71" i="84"/>
  <c r="D71" i="84"/>
  <c r="B71" i="84"/>
  <c r="Z70" i="84"/>
  <c r="X70" i="84"/>
  <c r="N70" i="84"/>
  <c r="L70" i="84"/>
  <c r="B70" i="84"/>
  <c r="Z69" i="84"/>
  <c r="X69" i="84"/>
  <c r="L69" i="84"/>
  <c r="N69" i="84" s="1"/>
  <c r="B69" i="84"/>
  <c r="Z68" i="84"/>
  <c r="X68" i="84"/>
  <c r="N68" i="84"/>
  <c r="L68" i="84"/>
  <c r="B68" i="84"/>
  <c r="Z67" i="84"/>
  <c r="X67" i="84"/>
  <c r="N67" i="84"/>
  <c r="L67" i="84"/>
  <c r="B67" i="84"/>
  <c r="Z66" i="84"/>
  <c r="X66" i="84"/>
  <c r="N66" i="84"/>
  <c r="L66" i="84"/>
  <c r="B66" i="84"/>
  <c r="T65" i="84"/>
  <c r="P65" i="84"/>
  <c r="X65" i="84" s="1"/>
  <c r="H65" i="84"/>
  <c r="L65" i="84" s="1"/>
  <c r="N65" i="84" s="1"/>
  <c r="D65" i="84"/>
  <c r="B65" i="84"/>
  <c r="Z64" i="84"/>
  <c r="X64" i="84"/>
  <c r="N64" i="84"/>
  <c r="L64" i="84"/>
  <c r="B64" i="84"/>
  <c r="Z63" i="84"/>
  <c r="X63" i="84"/>
  <c r="L63" i="84"/>
  <c r="N63" i="84" s="1"/>
  <c r="B63" i="84"/>
  <c r="Z62" i="84"/>
  <c r="X62" i="84"/>
  <c r="L62" i="84"/>
  <c r="N62" i="84" s="1"/>
  <c r="B62" i="84"/>
  <c r="X61" i="84"/>
  <c r="Z61" i="84" s="1"/>
  <c r="L61" i="84"/>
  <c r="N61" i="84" s="1"/>
  <c r="B61" i="84"/>
  <c r="Z60" i="84"/>
  <c r="X60" i="84"/>
  <c r="N60" i="84"/>
  <c r="L60" i="84"/>
  <c r="B60" i="84"/>
  <c r="Z59" i="84"/>
  <c r="X59" i="84"/>
  <c r="L59" i="84"/>
  <c r="N59" i="84" s="1"/>
  <c r="B59" i="84"/>
  <c r="Z58" i="84"/>
  <c r="X58" i="84"/>
  <c r="L58" i="84"/>
  <c r="N58" i="84" s="1"/>
  <c r="B58" i="84"/>
  <c r="X57" i="84"/>
  <c r="Z57" i="84" s="1"/>
  <c r="L57" i="84"/>
  <c r="N57" i="84" s="1"/>
  <c r="B57" i="84"/>
  <c r="T56" i="84"/>
  <c r="P56" i="84"/>
  <c r="X56" i="84" s="1"/>
  <c r="H56" i="84"/>
  <c r="D56" i="84"/>
  <c r="L56" i="84" s="1"/>
  <c r="B56" i="84"/>
  <c r="T55" i="84"/>
  <c r="P55" i="84"/>
  <c r="L55" i="84"/>
  <c r="H55" i="84"/>
  <c r="N55" i="84" s="1"/>
  <c r="D55" i="84"/>
  <c r="X51" i="84"/>
  <c r="Z51" i="84" s="1"/>
  <c r="N51" i="84"/>
  <c r="L51" i="84"/>
  <c r="B51" i="84"/>
  <c r="X50" i="84"/>
  <c r="Z50" i="84" s="1"/>
  <c r="N50" i="84"/>
  <c r="L50" i="84"/>
  <c r="B50" i="84"/>
  <c r="X49" i="84"/>
  <c r="Z49" i="84" s="1"/>
  <c r="N49" i="84"/>
  <c r="L49" i="84"/>
  <c r="B49" i="84"/>
  <c r="Z48" i="84"/>
  <c r="X48" i="84"/>
  <c r="N48" i="84"/>
  <c r="L48" i="84"/>
  <c r="B48" i="84"/>
  <c r="X47" i="84"/>
  <c r="Z47" i="84" s="1"/>
  <c r="N47" i="84"/>
  <c r="L47" i="84"/>
  <c r="B47" i="84"/>
  <c r="X46" i="84"/>
  <c r="Z46" i="84" s="1"/>
  <c r="N46" i="84"/>
  <c r="L46" i="84"/>
  <c r="B46" i="84"/>
  <c r="X45" i="84"/>
  <c r="Z45" i="84" s="1"/>
  <c r="N45" i="84"/>
  <c r="L45" i="84"/>
  <c r="B45" i="84"/>
  <c r="X44" i="84"/>
  <c r="Z44" i="84" s="1"/>
  <c r="N44" i="84"/>
  <c r="L44" i="84"/>
  <c r="B44" i="84"/>
  <c r="X43" i="84"/>
  <c r="Z43" i="84" s="1"/>
  <c r="N43" i="84"/>
  <c r="L43" i="84"/>
  <c r="B43" i="84"/>
  <c r="X42" i="84"/>
  <c r="Z42" i="84" s="1"/>
  <c r="N42" i="84"/>
  <c r="L42" i="84"/>
  <c r="B42" i="84"/>
  <c r="X41" i="84"/>
  <c r="Z41" i="84" s="1"/>
  <c r="N41" i="84"/>
  <c r="L41" i="84"/>
  <c r="B41" i="84"/>
  <c r="Z40" i="84"/>
  <c r="X40" i="84"/>
  <c r="N40" i="84"/>
  <c r="L40" i="84"/>
  <c r="B40" i="84"/>
  <c r="X39" i="84"/>
  <c r="Z39" i="84" s="1"/>
  <c r="N39" i="84"/>
  <c r="L39" i="84"/>
  <c r="B39" i="84"/>
  <c r="X38" i="84"/>
  <c r="Z38" i="84" s="1"/>
  <c r="T38" i="84"/>
  <c r="P38" i="84"/>
  <c r="N38" i="84"/>
  <c r="L38" i="84"/>
  <c r="H38" i="84"/>
  <c r="D38" i="84"/>
  <c r="X36" i="84"/>
  <c r="T36" i="84"/>
  <c r="Z36" i="84" s="1"/>
  <c r="P36" i="84"/>
  <c r="N36" i="84"/>
  <c r="H36" i="84"/>
  <c r="D36" i="84"/>
  <c r="L36" i="84" s="1"/>
  <c r="B36" i="84"/>
  <c r="T35" i="84"/>
  <c r="P35" i="84"/>
  <c r="N35" i="84"/>
  <c r="H35" i="84"/>
  <c r="D35" i="84"/>
  <c r="L35" i="84" s="1"/>
  <c r="B35" i="84"/>
  <c r="X34" i="84"/>
  <c r="Z34" i="84" s="1"/>
  <c r="T34" i="84"/>
  <c r="P34" i="84"/>
  <c r="N34" i="84"/>
  <c r="L34" i="84"/>
  <c r="H34" i="84"/>
  <c r="D34" i="84"/>
  <c r="B34" i="84"/>
  <c r="X33" i="84"/>
  <c r="T33" i="84"/>
  <c r="P33" i="84"/>
  <c r="H33" i="84"/>
  <c r="D33" i="84"/>
  <c r="L33" i="84" s="1"/>
  <c r="N33" i="84" s="1"/>
  <c r="B33" i="84"/>
  <c r="X32" i="84"/>
  <c r="T32" i="84"/>
  <c r="Z32" i="84" s="1"/>
  <c r="P32" i="84"/>
  <c r="H32" i="84"/>
  <c r="D32" i="84"/>
  <c r="L32" i="84" s="1"/>
  <c r="N32" i="84" s="1"/>
  <c r="B32" i="84"/>
  <c r="T31" i="84"/>
  <c r="P31" i="84"/>
  <c r="H31" i="84"/>
  <c r="D31" i="84"/>
  <c r="L31" i="84" s="1"/>
  <c r="N31" i="84" s="1"/>
  <c r="B31" i="84"/>
  <c r="Z30" i="84"/>
  <c r="X30" i="84"/>
  <c r="T30" i="84"/>
  <c r="P30" i="84"/>
  <c r="N30" i="84"/>
  <c r="L30" i="84"/>
  <c r="H30" i="84"/>
  <c r="D30" i="84"/>
  <c r="B30" i="84"/>
  <c r="X29" i="84"/>
  <c r="T29" i="84"/>
  <c r="Z29" i="84" s="1"/>
  <c r="P29" i="84"/>
  <c r="N29" i="84"/>
  <c r="H29" i="84"/>
  <c r="D29" i="84"/>
  <c r="L29" i="84" s="1"/>
  <c r="B29" i="84"/>
  <c r="X28" i="84"/>
  <c r="T28" i="84"/>
  <c r="Z28" i="84" s="1"/>
  <c r="P28" i="84"/>
  <c r="N28" i="84"/>
  <c r="H28" i="84"/>
  <c r="D28" i="84"/>
  <c r="L28" i="84" s="1"/>
  <c r="B28" i="84"/>
  <c r="T27" i="84"/>
  <c r="P27" i="84"/>
  <c r="H27" i="84"/>
  <c r="D27" i="84"/>
  <c r="L27" i="84" s="1"/>
  <c r="N27" i="84" s="1"/>
  <c r="B27" i="84"/>
  <c r="Z26" i="84"/>
  <c r="X26" i="84"/>
  <c r="T26" i="84"/>
  <c r="P26" i="84"/>
  <c r="N26" i="84"/>
  <c r="L26" i="84"/>
  <c r="H26" i="84"/>
  <c r="D26" i="84"/>
  <c r="B26" i="84"/>
  <c r="X25" i="84"/>
  <c r="T25" i="84"/>
  <c r="P25" i="84"/>
  <c r="H25" i="84"/>
  <c r="D25" i="84"/>
  <c r="L25" i="84" s="1"/>
  <c r="N25" i="84" s="1"/>
  <c r="B25" i="84"/>
  <c r="X24" i="84"/>
  <c r="T24" i="84"/>
  <c r="Z24" i="84" s="1"/>
  <c r="P24" i="84"/>
  <c r="H24" i="84"/>
  <c r="N24" i="84" s="1"/>
  <c r="D24" i="84"/>
  <c r="L24" i="84" s="1"/>
  <c r="B24" i="84"/>
  <c r="T23" i="84"/>
  <c r="P23" i="84"/>
  <c r="H23" i="84"/>
  <c r="D23" i="84"/>
  <c r="L23" i="84" s="1"/>
  <c r="N23" i="84" s="1"/>
  <c r="B23" i="84"/>
  <c r="X22" i="84"/>
  <c r="Z22" i="84" s="1"/>
  <c r="T22" i="84"/>
  <c r="P22" i="84"/>
  <c r="N22" i="84"/>
  <c r="L22" i="84"/>
  <c r="H22" i="84"/>
  <c r="D22" i="84"/>
  <c r="B22" i="84"/>
  <c r="X21" i="84"/>
  <c r="T21" i="84"/>
  <c r="Z21" i="84" s="1"/>
  <c r="P21" i="84"/>
  <c r="N21" i="84"/>
  <c r="H21" i="84"/>
  <c r="D21" i="84"/>
  <c r="L21" i="84" s="1"/>
  <c r="B21" i="84"/>
  <c r="X20" i="84"/>
  <c r="T20" i="84"/>
  <c r="Z20" i="84" s="1"/>
  <c r="P20" i="84"/>
  <c r="H20" i="84"/>
  <c r="H12" i="84" s="1"/>
  <c r="D20" i="84"/>
  <c r="L20" i="84" s="1"/>
  <c r="N20" i="84" s="1"/>
  <c r="B20" i="84"/>
  <c r="T19" i="84"/>
  <c r="P19" i="84"/>
  <c r="N19" i="84"/>
  <c r="H19" i="84"/>
  <c r="D19" i="84"/>
  <c r="L19" i="84" s="1"/>
  <c r="B19" i="84"/>
  <c r="Z18" i="84"/>
  <c r="X18" i="84"/>
  <c r="T18" i="84"/>
  <c r="P18" i="84"/>
  <c r="L18" i="84"/>
  <c r="N18" i="84" s="1"/>
  <c r="H18" i="84"/>
  <c r="D18" i="84"/>
  <c r="B18" i="84"/>
  <c r="X17" i="84"/>
  <c r="T17" i="84"/>
  <c r="P17" i="84"/>
  <c r="N17" i="84"/>
  <c r="H17" i="84"/>
  <c r="D17" i="84"/>
  <c r="L17" i="84" s="1"/>
  <c r="B17" i="84"/>
  <c r="T16" i="84"/>
  <c r="P16" i="84"/>
  <c r="N16" i="84"/>
  <c r="H16" i="84"/>
  <c r="D16" i="84"/>
  <c r="L16" i="84" s="1"/>
  <c r="B16" i="84"/>
  <c r="T15" i="84"/>
  <c r="P15" i="84"/>
  <c r="H15" i="84"/>
  <c r="D15" i="84"/>
  <c r="L15" i="84" s="1"/>
  <c r="N15" i="84" s="1"/>
  <c r="B15" i="84"/>
  <c r="Z14" i="84"/>
  <c r="X14" i="84"/>
  <c r="T14" i="84"/>
  <c r="P14" i="84"/>
  <c r="L14" i="84"/>
  <c r="N14" i="84" s="1"/>
  <c r="H14" i="84"/>
  <c r="D14" i="84"/>
  <c r="B14" i="84"/>
  <c r="T13" i="84"/>
  <c r="Z13" i="84" s="1"/>
  <c r="P13" i="84"/>
  <c r="P12" i="84" s="1"/>
  <c r="R83" i="84" s="1"/>
  <c r="N13" i="84"/>
  <c r="H13" i="84"/>
  <c r="D13" i="84"/>
  <c r="L13" i="84" s="1"/>
  <c r="B13" i="84"/>
  <c r="D6" i="84"/>
  <c r="D4" i="84"/>
  <c r="Z80" i="83"/>
  <c r="X80" i="83"/>
  <c r="N80" i="83"/>
  <c r="L80" i="83"/>
  <c r="Z76" i="83"/>
  <c r="X76" i="83"/>
  <c r="T76" i="83"/>
  <c r="P76" i="83"/>
  <c r="N76" i="83"/>
  <c r="L76" i="83"/>
  <c r="H76" i="83"/>
  <c r="D76" i="83"/>
  <c r="Z74" i="83"/>
  <c r="X74" i="83"/>
  <c r="L74" i="83"/>
  <c r="N74" i="83" s="1"/>
  <c r="B74" i="83"/>
  <c r="T73" i="83"/>
  <c r="P73" i="83"/>
  <c r="X73" i="83" s="1"/>
  <c r="H73" i="83"/>
  <c r="D73" i="83"/>
  <c r="L73" i="83" s="1"/>
  <c r="B73" i="83"/>
  <c r="Z72" i="83"/>
  <c r="X72" i="83"/>
  <c r="N72" i="83"/>
  <c r="L72" i="83"/>
  <c r="B72" i="83"/>
  <c r="X71" i="83"/>
  <c r="T71" i="83"/>
  <c r="P71" i="83"/>
  <c r="L71" i="83"/>
  <c r="N71" i="83" s="1"/>
  <c r="H71" i="83"/>
  <c r="D71" i="83"/>
  <c r="B71" i="83"/>
  <c r="Z70" i="83"/>
  <c r="X70" i="83"/>
  <c r="N70" i="83"/>
  <c r="L70" i="83"/>
  <c r="B70" i="83"/>
  <c r="Z69" i="83"/>
  <c r="X69" i="83"/>
  <c r="L69" i="83"/>
  <c r="N69" i="83" s="1"/>
  <c r="B69" i="83"/>
  <c r="Z68" i="83"/>
  <c r="X68" i="83"/>
  <c r="L68" i="83"/>
  <c r="N68" i="83" s="1"/>
  <c r="B68" i="83"/>
  <c r="X67" i="83"/>
  <c r="Z67" i="83" s="1"/>
  <c r="L67" i="83"/>
  <c r="N67" i="83" s="1"/>
  <c r="B67" i="83"/>
  <c r="Z66" i="83"/>
  <c r="X66" i="83"/>
  <c r="N66" i="83"/>
  <c r="L66" i="83"/>
  <c r="B66" i="83"/>
  <c r="T65" i="83"/>
  <c r="P65" i="83"/>
  <c r="H65" i="83"/>
  <c r="D65" i="83"/>
  <c r="B65" i="83"/>
  <c r="X64" i="83"/>
  <c r="Z64" i="83" s="1"/>
  <c r="N64" i="83"/>
  <c r="L64" i="83"/>
  <c r="B64" i="83"/>
  <c r="T63" i="83"/>
  <c r="P63" i="83"/>
  <c r="X63" i="83" s="1"/>
  <c r="L63" i="83"/>
  <c r="H63" i="83"/>
  <c r="D63" i="83"/>
  <c r="B63" i="83"/>
  <c r="Z62" i="83"/>
  <c r="X62" i="83"/>
  <c r="N62" i="83"/>
  <c r="L62" i="83"/>
  <c r="B62" i="83"/>
  <c r="Z61" i="83"/>
  <c r="X61" i="83"/>
  <c r="N61" i="83"/>
  <c r="L61" i="83"/>
  <c r="B61" i="83"/>
  <c r="Z60" i="83"/>
  <c r="X60" i="83"/>
  <c r="N60" i="83"/>
  <c r="L60" i="83"/>
  <c r="B60" i="83"/>
  <c r="T59" i="83"/>
  <c r="P59" i="83"/>
  <c r="X59" i="83" s="1"/>
  <c r="Z59" i="83" s="1"/>
  <c r="H59" i="83"/>
  <c r="L59" i="83" s="1"/>
  <c r="D59" i="83"/>
  <c r="B59" i="83"/>
  <c r="Z58" i="83"/>
  <c r="X58" i="83"/>
  <c r="N58" i="83"/>
  <c r="L58" i="83"/>
  <c r="B58" i="83"/>
  <c r="Z57" i="83"/>
  <c r="X57" i="83"/>
  <c r="N57" i="83"/>
  <c r="L57" i="83"/>
  <c r="B57" i="83"/>
  <c r="Z56" i="83"/>
  <c r="X56" i="83"/>
  <c r="L56" i="83"/>
  <c r="N56" i="83" s="1"/>
  <c r="B56" i="83"/>
  <c r="T55" i="83"/>
  <c r="P55" i="83"/>
  <c r="X55" i="83" s="1"/>
  <c r="N55" i="83"/>
  <c r="H55" i="83"/>
  <c r="D55" i="83"/>
  <c r="L55" i="83" s="1"/>
  <c r="B55" i="83"/>
  <c r="X54" i="83"/>
  <c r="Z54" i="83" s="1"/>
  <c r="L54" i="83"/>
  <c r="N54" i="83" s="1"/>
  <c r="B54" i="83"/>
  <c r="X53" i="83"/>
  <c r="T53" i="83"/>
  <c r="P53" i="83"/>
  <c r="L53" i="83"/>
  <c r="H53" i="83"/>
  <c r="N53" i="83" s="1"/>
  <c r="D53" i="83"/>
  <c r="B53" i="83"/>
  <c r="Z52" i="83"/>
  <c r="X52" i="83"/>
  <c r="N52" i="83"/>
  <c r="L52" i="83"/>
  <c r="B52" i="83"/>
  <c r="T51" i="83"/>
  <c r="P51" i="83"/>
  <c r="X51" i="83" s="1"/>
  <c r="Z51" i="83" s="1"/>
  <c r="N51" i="83"/>
  <c r="H51" i="83"/>
  <c r="D51" i="83"/>
  <c r="L51" i="83" s="1"/>
  <c r="B51" i="83"/>
  <c r="Z50" i="83"/>
  <c r="X50" i="83"/>
  <c r="L50" i="83"/>
  <c r="N50" i="83" s="1"/>
  <c r="B50" i="83"/>
  <c r="T49" i="83"/>
  <c r="P49" i="83"/>
  <c r="X49" i="83" s="1"/>
  <c r="Z49" i="83" s="1"/>
  <c r="H49" i="83"/>
  <c r="D49" i="83"/>
  <c r="L49" i="83" s="1"/>
  <c r="N49" i="83" s="1"/>
  <c r="B49" i="83"/>
  <c r="Z48" i="83"/>
  <c r="X48" i="83"/>
  <c r="N48" i="83"/>
  <c r="L48" i="83"/>
  <c r="B48" i="83"/>
  <c r="T47" i="83"/>
  <c r="P47" i="83"/>
  <c r="H47" i="83"/>
  <c r="D47" i="83"/>
  <c r="L47" i="83" s="1"/>
  <c r="B47" i="83"/>
  <c r="X46" i="83"/>
  <c r="Z46" i="83" s="1"/>
  <c r="N46" i="83"/>
  <c r="L46" i="83"/>
  <c r="B46" i="83"/>
  <c r="X45" i="83"/>
  <c r="Z45" i="83" s="1"/>
  <c r="L45" i="83"/>
  <c r="N45" i="83" s="1"/>
  <c r="B45" i="83"/>
  <c r="T44" i="83"/>
  <c r="P44" i="83"/>
  <c r="H44" i="83"/>
  <c r="L44" i="83" s="1"/>
  <c r="N44" i="83" s="1"/>
  <c r="D44" i="83"/>
  <c r="B44" i="83"/>
  <c r="X43" i="83"/>
  <c r="Z43" i="83" s="1"/>
  <c r="L43" i="83"/>
  <c r="N43" i="83" s="1"/>
  <c r="B43" i="83"/>
  <c r="T42" i="83"/>
  <c r="P42" i="83"/>
  <c r="H42" i="83"/>
  <c r="D42" i="83"/>
  <c r="L42" i="83" s="1"/>
  <c r="N42" i="83" s="1"/>
  <c r="B42" i="83"/>
  <c r="X41" i="83"/>
  <c r="Z41" i="83" s="1"/>
  <c r="N41" i="83"/>
  <c r="L41" i="83"/>
  <c r="B41" i="83"/>
  <c r="T40" i="83"/>
  <c r="Z40" i="83" s="1"/>
  <c r="P40" i="83"/>
  <c r="X40" i="83" s="1"/>
  <c r="L40" i="83"/>
  <c r="N40" i="83" s="1"/>
  <c r="H40" i="83"/>
  <c r="D40" i="83"/>
  <c r="B40" i="83"/>
  <c r="X39" i="83"/>
  <c r="Z39" i="83" s="1"/>
  <c r="N39" i="83"/>
  <c r="L39" i="83"/>
  <c r="B39" i="83"/>
  <c r="T38" i="83"/>
  <c r="P38" i="83"/>
  <c r="X38" i="83" s="1"/>
  <c r="Z38" i="83" s="1"/>
  <c r="H38" i="83"/>
  <c r="D38" i="83"/>
  <c r="B38" i="83"/>
  <c r="Z37" i="83"/>
  <c r="X37" i="83"/>
  <c r="N37" i="83"/>
  <c r="L37" i="83"/>
  <c r="B37" i="83"/>
  <c r="Z36" i="83"/>
  <c r="X36" i="83"/>
  <c r="N36" i="83"/>
  <c r="L36" i="83"/>
  <c r="B36" i="83"/>
  <c r="Z35" i="83"/>
  <c r="X35" i="83"/>
  <c r="N35" i="83"/>
  <c r="L35" i="83"/>
  <c r="B35" i="83"/>
  <c r="Z34" i="83"/>
  <c r="X34" i="83"/>
  <c r="N34" i="83"/>
  <c r="L34" i="83"/>
  <c r="B34" i="83"/>
  <c r="Z33" i="83"/>
  <c r="X33" i="83"/>
  <c r="N33" i="83"/>
  <c r="L33" i="83"/>
  <c r="B33" i="83"/>
  <c r="T32" i="83"/>
  <c r="X32" i="83" s="1"/>
  <c r="Z32" i="83" s="1"/>
  <c r="P32" i="83"/>
  <c r="H32" i="83"/>
  <c r="D32" i="83"/>
  <c r="L32" i="83" s="1"/>
  <c r="N32" i="83" s="1"/>
  <c r="B32" i="83"/>
  <c r="Z31" i="83"/>
  <c r="X31" i="83"/>
  <c r="L31" i="83"/>
  <c r="N31" i="83" s="1"/>
  <c r="B31" i="83"/>
  <c r="X30" i="83"/>
  <c r="Z30" i="83" s="1"/>
  <c r="L30" i="83"/>
  <c r="N30" i="83" s="1"/>
  <c r="B30" i="83"/>
  <c r="Z29" i="83"/>
  <c r="X29" i="83"/>
  <c r="L29" i="83"/>
  <c r="N29" i="83" s="1"/>
  <c r="B29" i="83"/>
  <c r="Z28" i="83"/>
  <c r="X28" i="83"/>
  <c r="L28" i="83"/>
  <c r="N28" i="83" s="1"/>
  <c r="B28" i="83"/>
  <c r="Z27" i="83"/>
  <c r="X27" i="83"/>
  <c r="L27" i="83"/>
  <c r="N27" i="83" s="1"/>
  <c r="B27" i="83"/>
  <c r="X26" i="83"/>
  <c r="Z26" i="83" s="1"/>
  <c r="L26" i="83"/>
  <c r="N26" i="83" s="1"/>
  <c r="B26" i="83"/>
  <c r="Z25" i="83"/>
  <c r="X25" i="83"/>
  <c r="N25" i="83"/>
  <c r="L25" i="83"/>
  <c r="B25" i="83"/>
  <c r="Z24" i="83"/>
  <c r="X24" i="83"/>
  <c r="L24" i="83"/>
  <c r="N24" i="83" s="1"/>
  <c r="B24" i="83"/>
  <c r="T23" i="83"/>
  <c r="Z23" i="83" s="1"/>
  <c r="P23" i="83"/>
  <c r="X23" i="83" s="1"/>
  <c r="H23" i="83"/>
  <c r="D23" i="83"/>
  <c r="L23" i="83" s="1"/>
  <c r="N23" i="83" s="1"/>
  <c r="B23" i="83"/>
  <c r="T22" i="83"/>
  <c r="P22" i="83"/>
  <c r="X22" i="83" s="1"/>
  <c r="Z22" i="83" s="1"/>
  <c r="H22" i="83"/>
  <c r="D22" i="83"/>
  <c r="X18" i="83"/>
  <c r="Z18" i="83" s="1"/>
  <c r="N18" i="83"/>
  <c r="L18" i="83"/>
  <c r="B18" i="83"/>
  <c r="Z17" i="83"/>
  <c r="X17" i="83"/>
  <c r="N17" i="83"/>
  <c r="L17" i="83"/>
  <c r="B17" i="83"/>
  <c r="T16" i="83"/>
  <c r="P16" i="83"/>
  <c r="H16" i="83"/>
  <c r="D16" i="83"/>
  <c r="L16" i="83" s="1"/>
  <c r="N16" i="83" s="1"/>
  <c r="T14" i="83"/>
  <c r="P14" i="83"/>
  <c r="N14" i="83"/>
  <c r="H14" i="83"/>
  <c r="D14" i="83"/>
  <c r="L14" i="83" s="1"/>
  <c r="B14" i="83"/>
  <c r="X13" i="83"/>
  <c r="T13" i="83"/>
  <c r="Z13" i="83" s="1"/>
  <c r="P13" i="83"/>
  <c r="H13" i="83"/>
  <c r="D13" i="83"/>
  <c r="B13" i="83"/>
  <c r="D6" i="83"/>
  <c r="D4" i="83"/>
  <c r="Z29" i="82"/>
  <c r="X29" i="82"/>
  <c r="N29" i="82"/>
  <c r="L29" i="82"/>
  <c r="T27" i="82"/>
  <c r="T25" i="82"/>
  <c r="P25" i="82"/>
  <c r="N25" i="82"/>
  <c r="H25" i="82"/>
  <c r="D25" i="82"/>
  <c r="L25" i="82" s="1"/>
  <c r="T23" i="82"/>
  <c r="P23" i="82"/>
  <c r="N23" i="82"/>
  <c r="H23" i="82"/>
  <c r="D23" i="82"/>
  <c r="L23" i="82" s="1"/>
  <c r="T21" i="82"/>
  <c r="X19" i="82"/>
  <c r="Z19" i="82" s="1"/>
  <c r="N19" i="82"/>
  <c r="L19" i="82"/>
  <c r="B19" i="82"/>
  <c r="X18" i="82"/>
  <c r="Z18" i="82" s="1"/>
  <c r="N18" i="82"/>
  <c r="L18" i="82"/>
  <c r="J18" i="82"/>
  <c r="B18" i="82"/>
  <c r="T17" i="82"/>
  <c r="P17" i="82"/>
  <c r="X17" i="82" s="1"/>
  <c r="Z17" i="82" s="1"/>
  <c r="H17" i="82"/>
  <c r="D17" i="82"/>
  <c r="X15" i="82"/>
  <c r="T15" i="82"/>
  <c r="Z15" i="82" s="1"/>
  <c r="P15" i="82"/>
  <c r="N15" i="82"/>
  <c r="L15" i="82"/>
  <c r="H15" i="82"/>
  <c r="D15" i="82"/>
  <c r="B15" i="82"/>
  <c r="Z14" i="82"/>
  <c r="X14" i="82"/>
  <c r="T14" i="82"/>
  <c r="P14" i="82"/>
  <c r="H14" i="82"/>
  <c r="D14" i="82"/>
  <c r="L14" i="82" s="1"/>
  <c r="N14" i="82" s="1"/>
  <c r="B14" i="82"/>
  <c r="T13" i="82"/>
  <c r="P13" i="82"/>
  <c r="H13" i="82"/>
  <c r="D13" i="82"/>
  <c r="L13" i="82" s="1"/>
  <c r="N13" i="82" s="1"/>
  <c r="B13" i="82"/>
  <c r="T12" i="82"/>
  <c r="H12" i="82"/>
  <c r="D12" i="82"/>
  <c r="F18" i="82" s="1"/>
  <c r="D6" i="82"/>
  <c r="D4" i="82"/>
  <c r="Z71" i="80"/>
  <c r="X71" i="80"/>
  <c r="V71" i="80"/>
  <c r="N71" i="80"/>
  <c r="L71" i="80"/>
  <c r="X67" i="80"/>
  <c r="V67" i="80"/>
  <c r="T67" i="80"/>
  <c r="Z67" i="80" s="1"/>
  <c r="P67" i="80"/>
  <c r="N67" i="80"/>
  <c r="L67" i="80"/>
  <c r="H67" i="80"/>
  <c r="D67" i="80"/>
  <c r="X65" i="80"/>
  <c r="Z65" i="80" s="1"/>
  <c r="V65" i="80"/>
  <c r="N65" i="80"/>
  <c r="L65" i="80"/>
  <c r="F65" i="80"/>
  <c r="B65" i="80"/>
  <c r="T64" i="80"/>
  <c r="P64" i="80"/>
  <c r="X64" i="80" s="1"/>
  <c r="Z64" i="80" s="1"/>
  <c r="H64" i="80"/>
  <c r="D64" i="80"/>
  <c r="B64" i="80"/>
  <c r="Z63" i="80"/>
  <c r="X63" i="80"/>
  <c r="N63" i="80"/>
  <c r="L63" i="80"/>
  <c r="B63" i="80"/>
  <c r="Z62" i="80"/>
  <c r="X62" i="80"/>
  <c r="T62" i="80"/>
  <c r="P62" i="80"/>
  <c r="H62" i="80"/>
  <c r="D62" i="80"/>
  <c r="L62" i="80" s="1"/>
  <c r="N62" i="80" s="1"/>
  <c r="B62" i="80"/>
  <c r="Z61" i="80"/>
  <c r="X61" i="80"/>
  <c r="L61" i="80"/>
  <c r="N61" i="80" s="1"/>
  <c r="B61" i="80"/>
  <c r="X60" i="80"/>
  <c r="Z60" i="80" s="1"/>
  <c r="V60" i="80"/>
  <c r="L60" i="80"/>
  <c r="N60" i="80" s="1"/>
  <c r="B60" i="80"/>
  <c r="Z59" i="80"/>
  <c r="X59" i="80"/>
  <c r="L59" i="80"/>
  <c r="N59" i="80" s="1"/>
  <c r="B59" i="80"/>
  <c r="Z58" i="80"/>
  <c r="X58" i="80"/>
  <c r="V58" i="80"/>
  <c r="L58" i="80"/>
  <c r="N58" i="80" s="1"/>
  <c r="B58" i="80"/>
  <c r="Z57" i="80"/>
  <c r="X57" i="80"/>
  <c r="N57" i="80"/>
  <c r="L57" i="80"/>
  <c r="J57" i="80"/>
  <c r="B57" i="80"/>
  <c r="X56" i="80"/>
  <c r="V56" i="80"/>
  <c r="T56" i="80"/>
  <c r="Z56" i="80" s="1"/>
  <c r="P56" i="80"/>
  <c r="H56" i="80"/>
  <c r="D56" i="80"/>
  <c r="B56" i="80"/>
  <c r="X55" i="80"/>
  <c r="Z55" i="80" s="1"/>
  <c r="N55" i="80"/>
  <c r="L55" i="80"/>
  <c r="B55" i="80"/>
  <c r="X54" i="80"/>
  <c r="Z54" i="80" s="1"/>
  <c r="N54" i="80"/>
  <c r="L54" i="80"/>
  <c r="B54" i="80"/>
  <c r="X53" i="80"/>
  <c r="Z53" i="80" s="1"/>
  <c r="V53" i="80"/>
  <c r="N53" i="80"/>
  <c r="L53" i="80"/>
  <c r="B53" i="80"/>
  <c r="T52" i="80"/>
  <c r="P52" i="80"/>
  <c r="X52" i="80" s="1"/>
  <c r="Z52" i="80" s="1"/>
  <c r="H52" i="80"/>
  <c r="D52" i="80"/>
  <c r="B52" i="80"/>
  <c r="Z51" i="80"/>
  <c r="X51" i="80"/>
  <c r="N51" i="80"/>
  <c r="L51" i="80"/>
  <c r="B51" i="80"/>
  <c r="Z50" i="80"/>
  <c r="X50" i="80"/>
  <c r="N50" i="80"/>
  <c r="L50" i="80"/>
  <c r="B50" i="80"/>
  <c r="V49" i="80"/>
  <c r="T49" i="80"/>
  <c r="P49" i="80"/>
  <c r="H49" i="80"/>
  <c r="D49" i="80"/>
  <c r="B49" i="80"/>
  <c r="X48" i="80"/>
  <c r="Z48" i="80" s="1"/>
  <c r="V48" i="80"/>
  <c r="L48" i="80"/>
  <c r="N48" i="80" s="1"/>
  <c r="B48" i="80"/>
  <c r="Z47" i="80"/>
  <c r="V47" i="80"/>
  <c r="T47" i="80"/>
  <c r="P47" i="80"/>
  <c r="X47" i="80" s="1"/>
  <c r="H47" i="80"/>
  <c r="D47" i="80"/>
  <c r="L47" i="80" s="1"/>
  <c r="N47" i="80" s="1"/>
  <c r="B47" i="80"/>
  <c r="X46" i="80"/>
  <c r="Z46" i="80" s="1"/>
  <c r="N46" i="80"/>
  <c r="L46" i="80"/>
  <c r="B46" i="80"/>
  <c r="X45" i="80"/>
  <c r="V45" i="80"/>
  <c r="T45" i="80"/>
  <c r="P45" i="80"/>
  <c r="L45" i="80"/>
  <c r="N45" i="80" s="1"/>
  <c r="H45" i="80"/>
  <c r="D45" i="80"/>
  <c r="B45" i="80"/>
  <c r="X44" i="80"/>
  <c r="Z44" i="80" s="1"/>
  <c r="L44" i="80"/>
  <c r="N44" i="80" s="1"/>
  <c r="J44" i="80"/>
  <c r="B44" i="80"/>
  <c r="T43" i="80"/>
  <c r="P43" i="80"/>
  <c r="H43" i="80"/>
  <c r="D43" i="80"/>
  <c r="B43" i="80"/>
  <c r="Z42" i="80"/>
  <c r="X42" i="80"/>
  <c r="V42" i="80"/>
  <c r="L42" i="80"/>
  <c r="N42" i="80" s="1"/>
  <c r="B42" i="80"/>
  <c r="Z41" i="80"/>
  <c r="V41" i="80"/>
  <c r="T41" i="80"/>
  <c r="P41" i="80"/>
  <c r="X41" i="80" s="1"/>
  <c r="J41" i="80"/>
  <c r="H41" i="80"/>
  <c r="D41" i="80"/>
  <c r="L41" i="80" s="1"/>
  <c r="N41" i="80" s="1"/>
  <c r="B41" i="80"/>
  <c r="X40" i="80"/>
  <c r="Z40" i="80" s="1"/>
  <c r="N40" i="80"/>
  <c r="L40" i="80"/>
  <c r="B40" i="80"/>
  <c r="Z39" i="80"/>
  <c r="X39" i="80"/>
  <c r="V39" i="80"/>
  <c r="T39" i="80"/>
  <c r="P39" i="80"/>
  <c r="L39" i="80"/>
  <c r="H39" i="80"/>
  <c r="D39" i="80"/>
  <c r="B39" i="80"/>
  <c r="Z38" i="80"/>
  <c r="X38" i="80"/>
  <c r="N38" i="80"/>
  <c r="L38" i="80"/>
  <c r="B38" i="80"/>
  <c r="T37" i="80"/>
  <c r="P37" i="80"/>
  <c r="H37" i="80"/>
  <c r="L37" i="80" s="1"/>
  <c r="D37" i="80"/>
  <c r="B37" i="80"/>
  <c r="X36" i="80"/>
  <c r="Z36" i="80" s="1"/>
  <c r="V36" i="80"/>
  <c r="L36" i="80"/>
  <c r="N36" i="80" s="1"/>
  <c r="B36" i="80"/>
  <c r="Z35" i="80"/>
  <c r="X35" i="80"/>
  <c r="V35" i="80"/>
  <c r="N35" i="80"/>
  <c r="L35" i="80"/>
  <c r="B35" i="80"/>
  <c r="Z34" i="80"/>
  <c r="X34" i="80"/>
  <c r="V34" i="80"/>
  <c r="L34" i="80"/>
  <c r="N34" i="80" s="1"/>
  <c r="B34" i="80"/>
  <c r="Z33" i="80"/>
  <c r="X33" i="80"/>
  <c r="V33" i="80"/>
  <c r="L33" i="80"/>
  <c r="N33" i="80" s="1"/>
  <c r="B33" i="80"/>
  <c r="V32" i="80"/>
  <c r="T32" i="80"/>
  <c r="P32" i="80"/>
  <c r="X32" i="80" s="1"/>
  <c r="J32" i="80"/>
  <c r="H32" i="80"/>
  <c r="D32" i="80"/>
  <c r="B32" i="80"/>
  <c r="Z31" i="80"/>
  <c r="X31" i="80"/>
  <c r="V31" i="80"/>
  <c r="N31" i="80"/>
  <c r="L31" i="80"/>
  <c r="B31" i="80"/>
  <c r="X30" i="80"/>
  <c r="Z30" i="80" s="1"/>
  <c r="N30" i="80"/>
  <c r="L30" i="80"/>
  <c r="B30" i="80"/>
  <c r="X29" i="80"/>
  <c r="Z29" i="80" s="1"/>
  <c r="V29" i="80"/>
  <c r="N29" i="80"/>
  <c r="L29" i="80"/>
  <c r="B29" i="80"/>
  <c r="X28" i="80"/>
  <c r="Z28" i="80" s="1"/>
  <c r="N28" i="80"/>
  <c r="L28" i="80"/>
  <c r="B28" i="80"/>
  <c r="X27" i="80"/>
  <c r="Z27" i="80" s="1"/>
  <c r="V27" i="80"/>
  <c r="N27" i="80"/>
  <c r="L27" i="80"/>
  <c r="B27" i="80"/>
  <c r="X26" i="80"/>
  <c r="Z26" i="80" s="1"/>
  <c r="L26" i="80"/>
  <c r="N26" i="80" s="1"/>
  <c r="B26" i="80"/>
  <c r="X25" i="80"/>
  <c r="Z25" i="80" s="1"/>
  <c r="V25" i="80"/>
  <c r="N25" i="80"/>
  <c r="L25" i="80"/>
  <c r="F25" i="80"/>
  <c r="B25" i="80"/>
  <c r="X24" i="80"/>
  <c r="Z24" i="80" s="1"/>
  <c r="L24" i="80"/>
  <c r="N24" i="80" s="1"/>
  <c r="B24" i="80"/>
  <c r="X23" i="80"/>
  <c r="Z23" i="80" s="1"/>
  <c r="V23" i="80"/>
  <c r="T23" i="80"/>
  <c r="P23" i="80"/>
  <c r="L23" i="80"/>
  <c r="H23" i="80"/>
  <c r="D23" i="80"/>
  <c r="B23" i="80"/>
  <c r="X22" i="80"/>
  <c r="Z22" i="80" s="1"/>
  <c r="T22" i="80"/>
  <c r="P22" i="80"/>
  <c r="H22" i="80"/>
  <c r="D22" i="80"/>
  <c r="X18" i="80"/>
  <c r="Z18" i="80" s="1"/>
  <c r="N18" i="80"/>
  <c r="L18" i="80"/>
  <c r="B18" i="80"/>
  <c r="Z17" i="80"/>
  <c r="X17" i="80"/>
  <c r="V17" i="80"/>
  <c r="N17" i="80"/>
  <c r="L17" i="80"/>
  <c r="J17" i="80"/>
  <c r="B17" i="80"/>
  <c r="T16" i="80"/>
  <c r="Z16" i="80" s="1"/>
  <c r="P16" i="80"/>
  <c r="X16" i="80" s="1"/>
  <c r="H16" i="80"/>
  <c r="D16" i="80"/>
  <c r="T14" i="80"/>
  <c r="P14" i="80"/>
  <c r="H14" i="80"/>
  <c r="D14" i="80"/>
  <c r="D12" i="80" s="1"/>
  <c r="B14" i="80"/>
  <c r="T13" i="80"/>
  <c r="P13" i="80"/>
  <c r="X13" i="80" s="1"/>
  <c r="Z13" i="80" s="1"/>
  <c r="H13" i="80"/>
  <c r="D13" i="80"/>
  <c r="B13" i="80"/>
  <c r="T12" i="80"/>
  <c r="V63" i="80" s="1"/>
  <c r="H12" i="80"/>
  <c r="D6" i="80"/>
  <c r="D4" i="80"/>
  <c r="X70" i="79"/>
  <c r="Z70" i="79" s="1"/>
  <c r="R70" i="79"/>
  <c r="L70" i="79"/>
  <c r="N70" i="79" s="1"/>
  <c r="X66" i="79"/>
  <c r="T66" i="79"/>
  <c r="Z66" i="79" s="1"/>
  <c r="P66" i="79"/>
  <c r="N66" i="79"/>
  <c r="L66" i="79"/>
  <c r="H66" i="79"/>
  <c r="D66" i="79"/>
  <c r="Z64" i="79"/>
  <c r="X64" i="79"/>
  <c r="L64" i="79"/>
  <c r="N64" i="79" s="1"/>
  <c r="B64" i="79"/>
  <c r="T63" i="79"/>
  <c r="X63" i="79" s="1"/>
  <c r="P63" i="79"/>
  <c r="H63" i="79"/>
  <c r="D63" i="79"/>
  <c r="L63" i="79" s="1"/>
  <c r="N63" i="79" s="1"/>
  <c r="B63" i="79"/>
  <c r="Z62" i="79"/>
  <c r="X62" i="79"/>
  <c r="L62" i="79"/>
  <c r="N62" i="79" s="1"/>
  <c r="B62" i="79"/>
  <c r="T61" i="79"/>
  <c r="P61" i="79"/>
  <c r="N61" i="79"/>
  <c r="H61" i="79"/>
  <c r="D61" i="79"/>
  <c r="L61" i="79" s="1"/>
  <c r="B61" i="79"/>
  <c r="Z60" i="79"/>
  <c r="X60" i="79"/>
  <c r="R60" i="79"/>
  <c r="N60" i="79"/>
  <c r="L60" i="79"/>
  <c r="B60" i="79"/>
  <c r="X59" i="79"/>
  <c r="Z59" i="79" s="1"/>
  <c r="N59" i="79"/>
  <c r="L59" i="79"/>
  <c r="F59" i="79"/>
  <c r="B59" i="79"/>
  <c r="Z58" i="79"/>
  <c r="X58" i="79"/>
  <c r="N58" i="79"/>
  <c r="L58" i="79"/>
  <c r="B58" i="79"/>
  <c r="X57" i="79"/>
  <c r="Z57" i="79" s="1"/>
  <c r="N57" i="79"/>
  <c r="L57" i="79"/>
  <c r="B57" i="79"/>
  <c r="T56" i="79"/>
  <c r="R56" i="79"/>
  <c r="P56" i="79"/>
  <c r="X56" i="79" s="1"/>
  <c r="Z56" i="79" s="1"/>
  <c r="H56" i="79"/>
  <c r="D56" i="79"/>
  <c r="B56" i="79"/>
  <c r="Z55" i="79"/>
  <c r="X55" i="79"/>
  <c r="N55" i="79"/>
  <c r="L55" i="79"/>
  <c r="B55" i="79"/>
  <c r="Z54" i="79"/>
  <c r="X54" i="79"/>
  <c r="L54" i="79"/>
  <c r="N54" i="79" s="1"/>
  <c r="B54" i="79"/>
  <c r="Z53" i="79"/>
  <c r="X53" i="79"/>
  <c r="L53" i="79"/>
  <c r="N53" i="79" s="1"/>
  <c r="B53" i="79"/>
  <c r="X52" i="79"/>
  <c r="Z52" i="79" s="1"/>
  <c r="T52" i="79"/>
  <c r="P52" i="79"/>
  <c r="H52" i="79"/>
  <c r="D52" i="79"/>
  <c r="L52" i="79" s="1"/>
  <c r="B52" i="79"/>
  <c r="X51" i="79"/>
  <c r="Z51" i="79" s="1"/>
  <c r="N51" i="79"/>
  <c r="L51" i="79"/>
  <c r="B51" i="79"/>
  <c r="T50" i="79"/>
  <c r="R50" i="79"/>
  <c r="P50" i="79"/>
  <c r="L50" i="79"/>
  <c r="N50" i="79" s="1"/>
  <c r="H50" i="79"/>
  <c r="D50" i="79"/>
  <c r="B50" i="79"/>
  <c r="Z49" i="79"/>
  <c r="X49" i="79"/>
  <c r="R49" i="79"/>
  <c r="N49" i="79"/>
  <c r="L49" i="79"/>
  <c r="B49" i="79"/>
  <c r="Z48" i="79"/>
  <c r="X48" i="79"/>
  <c r="N48" i="79"/>
  <c r="L48" i="79"/>
  <c r="B48" i="79"/>
  <c r="Z47" i="79"/>
  <c r="X47" i="79"/>
  <c r="N47" i="79"/>
  <c r="L47" i="79"/>
  <c r="B47" i="79"/>
  <c r="T46" i="79"/>
  <c r="X46" i="79" s="1"/>
  <c r="Z46" i="79" s="1"/>
  <c r="P46" i="79"/>
  <c r="H46" i="79"/>
  <c r="D46" i="79"/>
  <c r="L46" i="79" s="1"/>
  <c r="B46" i="79"/>
  <c r="Z45" i="79"/>
  <c r="X45" i="79"/>
  <c r="N45" i="79"/>
  <c r="L45" i="79"/>
  <c r="B45" i="79"/>
  <c r="X44" i="79"/>
  <c r="Z44" i="79" s="1"/>
  <c r="T44" i="79"/>
  <c r="P44" i="79"/>
  <c r="H44" i="79"/>
  <c r="N44" i="79" s="1"/>
  <c r="D44" i="79"/>
  <c r="L44" i="79" s="1"/>
  <c r="B44" i="79"/>
  <c r="X43" i="79"/>
  <c r="Z43" i="79" s="1"/>
  <c r="N43" i="79"/>
  <c r="L43" i="79"/>
  <c r="B43" i="79"/>
  <c r="T42" i="79"/>
  <c r="R42" i="79"/>
  <c r="P42" i="79"/>
  <c r="H42" i="79"/>
  <c r="D42" i="79"/>
  <c r="L42" i="79" s="1"/>
  <c r="N42" i="79" s="1"/>
  <c r="B42" i="79"/>
  <c r="Z41" i="79"/>
  <c r="X41" i="79"/>
  <c r="R41" i="79"/>
  <c r="N41" i="79"/>
  <c r="L41" i="79"/>
  <c r="B41" i="79"/>
  <c r="T40" i="79"/>
  <c r="P40" i="79"/>
  <c r="X40" i="79" s="1"/>
  <c r="H40" i="79"/>
  <c r="L40" i="79" s="1"/>
  <c r="N40" i="79" s="1"/>
  <c r="D40" i="79"/>
  <c r="B40" i="79"/>
  <c r="Z39" i="79"/>
  <c r="X39" i="79"/>
  <c r="N39" i="79"/>
  <c r="L39" i="79"/>
  <c r="B39" i="79"/>
  <c r="T38" i="79"/>
  <c r="Z38" i="79" s="1"/>
  <c r="P38" i="79"/>
  <c r="X38" i="79" s="1"/>
  <c r="L38" i="79"/>
  <c r="N38" i="79" s="1"/>
  <c r="H38" i="79"/>
  <c r="D38" i="79"/>
  <c r="B38" i="79"/>
  <c r="X37" i="79"/>
  <c r="Z37" i="79" s="1"/>
  <c r="N37" i="79"/>
  <c r="L37" i="79"/>
  <c r="B37" i="79"/>
  <c r="X36" i="79"/>
  <c r="Z36" i="79" s="1"/>
  <c r="L36" i="79"/>
  <c r="N36" i="79" s="1"/>
  <c r="B36" i="79"/>
  <c r="X35" i="79"/>
  <c r="Z35" i="79" s="1"/>
  <c r="N35" i="79"/>
  <c r="L35" i="79"/>
  <c r="B35" i="79"/>
  <c r="X34" i="79"/>
  <c r="Z34" i="79" s="1"/>
  <c r="R34" i="79"/>
  <c r="N34" i="79"/>
  <c r="L34" i="79"/>
  <c r="B34" i="79"/>
  <c r="X33" i="79"/>
  <c r="Z33" i="79" s="1"/>
  <c r="N33" i="79"/>
  <c r="L33" i="79"/>
  <c r="J33" i="79"/>
  <c r="B33" i="79"/>
  <c r="T32" i="79"/>
  <c r="P32" i="79"/>
  <c r="X32" i="79" s="1"/>
  <c r="Z32" i="79" s="1"/>
  <c r="H32" i="79"/>
  <c r="D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R29" i="79"/>
  <c r="N29" i="79"/>
  <c r="L29" i="79"/>
  <c r="B29" i="79"/>
  <c r="X28" i="79"/>
  <c r="Z28" i="79" s="1"/>
  <c r="L28" i="79"/>
  <c r="N28" i="79" s="1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R25" i="79"/>
  <c r="N25" i="79"/>
  <c r="L25" i="79"/>
  <c r="B25" i="79"/>
  <c r="X24" i="79"/>
  <c r="Z24" i="79" s="1"/>
  <c r="L24" i="79"/>
  <c r="N24" i="79" s="1"/>
  <c r="B24" i="79"/>
  <c r="Z23" i="79"/>
  <c r="X23" i="79"/>
  <c r="T23" i="79"/>
  <c r="P23" i="79"/>
  <c r="J23" i="79"/>
  <c r="H23" i="79"/>
  <c r="D23" i="79"/>
  <c r="B23" i="79"/>
  <c r="T22" i="79"/>
  <c r="P22" i="79"/>
  <c r="X22" i="79" s="1"/>
  <c r="L22" i="79"/>
  <c r="H22" i="79"/>
  <c r="D22" i="79"/>
  <c r="Z18" i="79"/>
  <c r="X18" i="79"/>
  <c r="L18" i="79"/>
  <c r="N18" i="79" s="1"/>
  <c r="F18" i="79"/>
  <c r="B18" i="79"/>
  <c r="Z17" i="79"/>
  <c r="X17" i="79"/>
  <c r="L17" i="79"/>
  <c r="N17" i="79" s="1"/>
  <c r="B17" i="79"/>
  <c r="X16" i="79"/>
  <c r="T16" i="79"/>
  <c r="P16" i="79"/>
  <c r="H16" i="79"/>
  <c r="D16" i="79"/>
  <c r="L16" i="79" s="1"/>
  <c r="T14" i="79"/>
  <c r="P14" i="79"/>
  <c r="L14" i="79"/>
  <c r="H14" i="79"/>
  <c r="N14" i="79" s="1"/>
  <c r="D14" i="79"/>
  <c r="B14" i="79"/>
  <c r="T13" i="79"/>
  <c r="P13" i="79"/>
  <c r="X13" i="79" s="1"/>
  <c r="Z13" i="79" s="1"/>
  <c r="N13" i="79"/>
  <c r="L13" i="79"/>
  <c r="H13" i="79"/>
  <c r="H12" i="79" s="1"/>
  <c r="J59" i="79" s="1"/>
  <c r="D13" i="79"/>
  <c r="B13" i="79"/>
  <c r="P12" i="79"/>
  <c r="R59" i="79" s="1"/>
  <c r="D12" i="79"/>
  <c r="D6" i="79"/>
  <c r="D4" i="79"/>
  <c r="X64" i="78"/>
  <c r="Z64" i="78" s="1"/>
  <c r="L64" i="78"/>
  <c r="N64" i="78" s="1"/>
  <c r="X60" i="78"/>
  <c r="T60" i="78"/>
  <c r="P60" i="78"/>
  <c r="H60" i="78"/>
  <c r="N60" i="78" s="1"/>
  <c r="D60" i="78"/>
  <c r="L60" i="78" s="1"/>
  <c r="B60" i="78"/>
  <c r="Z59" i="78"/>
  <c r="X59" i="78"/>
  <c r="T59" i="78"/>
  <c r="P59" i="78"/>
  <c r="H59" i="78"/>
  <c r="D59" i="78"/>
  <c r="L59" i="78" s="1"/>
  <c r="B59" i="78"/>
  <c r="Z58" i="78"/>
  <c r="T58" i="78"/>
  <c r="X58" i="78" s="1"/>
  <c r="P58" i="78"/>
  <c r="H58" i="78"/>
  <c r="N58" i="78" s="1"/>
  <c r="D58" i="78"/>
  <c r="L58" i="78" s="1"/>
  <c r="B58" i="78"/>
  <c r="T57" i="78"/>
  <c r="T56" i="78" s="1"/>
  <c r="P57" i="78"/>
  <c r="X57" i="78" s="1"/>
  <c r="Z57" i="78" s="1"/>
  <c r="N57" i="78"/>
  <c r="H57" i="78"/>
  <c r="D57" i="78"/>
  <c r="B57" i="78"/>
  <c r="P56" i="78"/>
  <c r="H56" i="78"/>
  <c r="X54" i="78"/>
  <c r="Z54" i="78" s="1"/>
  <c r="N54" i="78"/>
  <c r="L54" i="78"/>
  <c r="B54" i="78"/>
  <c r="X53" i="78"/>
  <c r="Z53" i="78" s="1"/>
  <c r="T53" i="78"/>
  <c r="P53" i="78"/>
  <c r="H53" i="78"/>
  <c r="N53" i="78" s="1"/>
  <c r="D53" i="78"/>
  <c r="L53" i="78" s="1"/>
  <c r="B53" i="78"/>
  <c r="Z52" i="78"/>
  <c r="X52" i="78"/>
  <c r="N52" i="78"/>
  <c r="L52" i="78"/>
  <c r="B52" i="78"/>
  <c r="Z51" i="78"/>
  <c r="X51" i="78"/>
  <c r="N51" i="78"/>
  <c r="L51" i="78"/>
  <c r="B51" i="78"/>
  <c r="T50" i="78"/>
  <c r="Z50" i="78" s="1"/>
  <c r="P50" i="78"/>
  <c r="X50" i="78" s="1"/>
  <c r="N50" i="78"/>
  <c r="H50" i="78"/>
  <c r="L50" i="78" s="1"/>
  <c r="D50" i="78"/>
  <c r="B50" i="78"/>
  <c r="Z49" i="78"/>
  <c r="X49" i="78"/>
  <c r="N49" i="78"/>
  <c r="L49" i="78"/>
  <c r="B49" i="78"/>
  <c r="T48" i="78"/>
  <c r="Z48" i="78" s="1"/>
  <c r="P48" i="78"/>
  <c r="X48" i="78" s="1"/>
  <c r="L48" i="78"/>
  <c r="H48" i="78"/>
  <c r="D48" i="78"/>
  <c r="B48" i="78"/>
  <c r="X47" i="78"/>
  <c r="Z47" i="78" s="1"/>
  <c r="N47" i="78"/>
  <c r="L47" i="78"/>
  <c r="B47" i="78"/>
  <c r="X46" i="78"/>
  <c r="T46" i="78"/>
  <c r="Z46" i="78" s="1"/>
  <c r="P46" i="78"/>
  <c r="H46" i="78"/>
  <c r="D46" i="78"/>
  <c r="B46" i="78"/>
  <c r="Z45" i="78"/>
  <c r="X45" i="78"/>
  <c r="N45" i="78"/>
  <c r="L45" i="78"/>
  <c r="B45" i="78"/>
  <c r="Z44" i="78"/>
  <c r="X44" i="78"/>
  <c r="N44" i="78"/>
  <c r="L44" i="78"/>
  <c r="B44" i="78"/>
  <c r="T43" i="78"/>
  <c r="P43" i="78"/>
  <c r="N43" i="78"/>
  <c r="L43" i="78"/>
  <c r="H43" i="78"/>
  <c r="D43" i="78"/>
  <c r="B43" i="78"/>
  <c r="X42" i="78"/>
  <c r="Z42" i="78" s="1"/>
  <c r="N42" i="78"/>
  <c r="L42" i="78"/>
  <c r="B42" i="78"/>
  <c r="T41" i="78"/>
  <c r="P41" i="78"/>
  <c r="X41" i="78" s="1"/>
  <c r="Z41" i="78" s="1"/>
  <c r="N41" i="78"/>
  <c r="H41" i="78"/>
  <c r="D41" i="78"/>
  <c r="L41" i="78" s="1"/>
  <c r="B41" i="78"/>
  <c r="X40" i="78"/>
  <c r="Z40" i="78" s="1"/>
  <c r="N40" i="78"/>
  <c r="L40" i="78"/>
  <c r="B40" i="78"/>
  <c r="X39" i="78"/>
  <c r="T39" i="78"/>
  <c r="Z39" i="78" s="1"/>
  <c r="P39" i="78"/>
  <c r="N39" i="78"/>
  <c r="L39" i="78"/>
  <c r="H39" i="78"/>
  <c r="D39" i="78"/>
  <c r="B39" i="78"/>
  <c r="X38" i="78"/>
  <c r="Z38" i="78" s="1"/>
  <c r="N38" i="78"/>
  <c r="L38" i="78"/>
  <c r="B38" i="78"/>
  <c r="Z37" i="78"/>
  <c r="X37" i="78"/>
  <c r="N37" i="78"/>
  <c r="L37" i="78"/>
  <c r="B37" i="78"/>
  <c r="Z36" i="78"/>
  <c r="X36" i="78"/>
  <c r="N36" i="78"/>
  <c r="L36" i="78"/>
  <c r="B36" i="78"/>
  <c r="T35" i="78"/>
  <c r="P35" i="78"/>
  <c r="N35" i="78"/>
  <c r="L35" i="78"/>
  <c r="H35" i="78"/>
  <c r="D35" i="78"/>
  <c r="B35" i="78"/>
  <c r="X34" i="78"/>
  <c r="Z34" i="78" s="1"/>
  <c r="N34" i="78"/>
  <c r="L34" i="78"/>
  <c r="B34" i="78"/>
  <c r="Z33" i="78"/>
  <c r="X33" i="78"/>
  <c r="N33" i="78"/>
  <c r="L33" i="78"/>
  <c r="B33" i="78"/>
  <c r="Z32" i="78"/>
  <c r="X32" i="78"/>
  <c r="N32" i="78"/>
  <c r="L32" i="78"/>
  <c r="B32" i="78"/>
  <c r="Z31" i="78"/>
  <c r="X31" i="78"/>
  <c r="N31" i="78"/>
  <c r="L31" i="78"/>
  <c r="B31" i="78"/>
  <c r="X30" i="78"/>
  <c r="Z30" i="78" s="1"/>
  <c r="N30" i="78"/>
  <c r="L30" i="78"/>
  <c r="B30" i="78"/>
  <c r="Z29" i="78"/>
  <c r="X29" i="78"/>
  <c r="N29" i="78"/>
  <c r="L29" i="78"/>
  <c r="B29" i="78"/>
  <c r="Z28" i="78"/>
  <c r="X28" i="78"/>
  <c r="N28" i="78"/>
  <c r="L28" i="78"/>
  <c r="B28" i="78"/>
  <c r="T27" i="78"/>
  <c r="P27" i="78"/>
  <c r="X27" i="78" s="1"/>
  <c r="Z27" i="78" s="1"/>
  <c r="N27" i="78"/>
  <c r="H27" i="78"/>
  <c r="D27" i="78"/>
  <c r="L27" i="78" s="1"/>
  <c r="B27" i="78"/>
  <c r="T26" i="78"/>
  <c r="Z26" i="78" s="1"/>
  <c r="P26" i="78"/>
  <c r="X26" i="78" s="1"/>
  <c r="H26" i="78"/>
  <c r="D26" i="78"/>
  <c r="X22" i="78"/>
  <c r="Z22" i="78" s="1"/>
  <c r="L22" i="78"/>
  <c r="N22" i="78" s="1"/>
  <c r="B22" i="78"/>
  <c r="Z21" i="78"/>
  <c r="X21" i="78"/>
  <c r="N21" i="78"/>
  <c r="L21" i="78"/>
  <c r="B21" i="78"/>
  <c r="X20" i="78"/>
  <c r="Z20" i="78" s="1"/>
  <c r="N20" i="78"/>
  <c r="L20" i="78"/>
  <c r="B20" i="78"/>
  <c r="X19" i="78"/>
  <c r="Z19" i="78" s="1"/>
  <c r="N19" i="78"/>
  <c r="L19" i="78"/>
  <c r="B19" i="78"/>
  <c r="X18" i="78"/>
  <c r="Z18" i="78" s="1"/>
  <c r="L18" i="78"/>
  <c r="N18" i="78" s="1"/>
  <c r="B18" i="78"/>
  <c r="Z17" i="78"/>
  <c r="X17" i="78"/>
  <c r="T17" i="78"/>
  <c r="P17" i="78"/>
  <c r="L17" i="78"/>
  <c r="N17" i="78" s="1"/>
  <c r="H17" i="78"/>
  <c r="D17" i="78"/>
  <c r="Z15" i="78"/>
  <c r="X15" i="78"/>
  <c r="T15" i="78"/>
  <c r="P15" i="78"/>
  <c r="N15" i="78"/>
  <c r="H15" i="78"/>
  <c r="D15" i="78"/>
  <c r="L15" i="78" s="1"/>
  <c r="B15" i="78"/>
  <c r="T14" i="78"/>
  <c r="P14" i="78"/>
  <c r="N14" i="78"/>
  <c r="H14" i="78"/>
  <c r="D14" i="78"/>
  <c r="L14" i="78" s="1"/>
  <c r="B14" i="78"/>
  <c r="T13" i="78"/>
  <c r="P13" i="78"/>
  <c r="H13" i="78"/>
  <c r="D13" i="78"/>
  <c r="B13" i="78"/>
  <c r="D6" i="78"/>
  <c r="D4" i="78"/>
  <c r="X101" i="76"/>
  <c r="Z101" i="76" s="1"/>
  <c r="L101" i="76"/>
  <c r="N101" i="76" s="1"/>
  <c r="T97" i="76"/>
  <c r="P97" i="76"/>
  <c r="X97" i="76" s="1"/>
  <c r="H97" i="76"/>
  <c r="D97" i="76"/>
  <c r="L97" i="76" s="1"/>
  <c r="B97" i="76"/>
  <c r="Z96" i="76"/>
  <c r="X96" i="76"/>
  <c r="T96" i="76"/>
  <c r="P96" i="76"/>
  <c r="H96" i="76"/>
  <c r="D96" i="76"/>
  <c r="B96" i="76"/>
  <c r="T95" i="76"/>
  <c r="T94" i="76" s="1"/>
  <c r="P95" i="76"/>
  <c r="X95" i="76" s="1"/>
  <c r="L95" i="76"/>
  <c r="H95" i="76"/>
  <c r="D95" i="76"/>
  <c r="D94" i="76" s="1"/>
  <c r="B95" i="76"/>
  <c r="X92" i="76"/>
  <c r="Z92" i="76" s="1"/>
  <c r="N92" i="76"/>
  <c r="L92" i="76"/>
  <c r="B92" i="76"/>
  <c r="T91" i="76"/>
  <c r="P91" i="76"/>
  <c r="X91" i="76" s="1"/>
  <c r="H91" i="76"/>
  <c r="F91" i="76"/>
  <c r="D91" i="76"/>
  <c r="L91" i="76" s="1"/>
  <c r="B91" i="76"/>
  <c r="Z90" i="76"/>
  <c r="X90" i="76"/>
  <c r="N90" i="76"/>
  <c r="L90" i="76"/>
  <c r="B90" i="76"/>
  <c r="Z89" i="76"/>
  <c r="X89" i="76"/>
  <c r="N89" i="76"/>
  <c r="L89" i="76"/>
  <c r="B89" i="76"/>
  <c r="Z88" i="76"/>
  <c r="X88" i="76"/>
  <c r="N88" i="76"/>
  <c r="L88" i="76"/>
  <c r="B88" i="76"/>
  <c r="T87" i="76"/>
  <c r="Z87" i="76" s="1"/>
  <c r="P87" i="76"/>
  <c r="X87" i="76" s="1"/>
  <c r="H87" i="76"/>
  <c r="L87" i="76" s="1"/>
  <c r="N87" i="76" s="1"/>
  <c r="D87" i="76"/>
  <c r="B87" i="76"/>
  <c r="Z86" i="76"/>
  <c r="X86" i="76"/>
  <c r="N86" i="76"/>
  <c r="L86" i="76"/>
  <c r="B86" i="76"/>
  <c r="T85" i="76"/>
  <c r="P85" i="76"/>
  <c r="X85" i="76" s="1"/>
  <c r="L85" i="76"/>
  <c r="H85" i="76"/>
  <c r="N85" i="76" s="1"/>
  <c r="D85" i="76"/>
  <c r="B85" i="76"/>
  <c r="Z84" i="76"/>
  <c r="X84" i="76"/>
  <c r="N84" i="76"/>
  <c r="L84" i="76"/>
  <c r="B84" i="76"/>
  <c r="T83" i="76"/>
  <c r="Z83" i="76" s="1"/>
  <c r="P83" i="76"/>
  <c r="X83" i="76" s="1"/>
  <c r="H83" i="76"/>
  <c r="N83" i="76" s="1"/>
  <c r="F83" i="76"/>
  <c r="D83" i="76"/>
  <c r="L83" i="76" s="1"/>
  <c r="B83" i="76"/>
  <c r="Z82" i="76"/>
  <c r="X82" i="76"/>
  <c r="N82" i="76"/>
  <c r="L82" i="76"/>
  <c r="B82" i="76"/>
  <c r="Z81" i="76"/>
  <c r="T81" i="76"/>
  <c r="X81" i="76" s="1"/>
  <c r="P81" i="76"/>
  <c r="H81" i="76"/>
  <c r="N81" i="76" s="1"/>
  <c r="D81" i="76"/>
  <c r="L81" i="76" s="1"/>
  <c r="B81" i="76"/>
  <c r="Z80" i="76"/>
  <c r="X80" i="76"/>
  <c r="N80" i="76"/>
  <c r="L80" i="76"/>
  <c r="B80" i="76"/>
  <c r="X79" i="76"/>
  <c r="Z79" i="76" s="1"/>
  <c r="L79" i="76"/>
  <c r="N79" i="76" s="1"/>
  <c r="B79" i="76"/>
  <c r="T78" i="76"/>
  <c r="P78" i="76"/>
  <c r="X78" i="76" s="1"/>
  <c r="Z78" i="76" s="1"/>
  <c r="H78" i="76"/>
  <c r="D78" i="76"/>
  <c r="L78" i="76" s="1"/>
  <c r="N78" i="76" s="1"/>
  <c r="B78" i="76"/>
  <c r="X77" i="76"/>
  <c r="Z77" i="76" s="1"/>
  <c r="N77" i="76"/>
  <c r="L77" i="76"/>
  <c r="B77" i="76"/>
  <c r="X76" i="76"/>
  <c r="Z76" i="76" s="1"/>
  <c r="T76" i="76"/>
  <c r="P76" i="76"/>
  <c r="N76" i="76"/>
  <c r="L76" i="76"/>
  <c r="H76" i="76"/>
  <c r="D76" i="76"/>
  <c r="B76" i="76"/>
  <c r="X75" i="76"/>
  <c r="Z75" i="76" s="1"/>
  <c r="L75" i="76"/>
  <c r="N75" i="76" s="1"/>
  <c r="B75" i="76"/>
  <c r="T74" i="76"/>
  <c r="X74" i="76" s="1"/>
  <c r="Z74" i="76" s="1"/>
  <c r="P74" i="76"/>
  <c r="H74" i="76"/>
  <c r="D74" i="76"/>
  <c r="B74" i="76"/>
  <c r="Z73" i="76"/>
  <c r="X73" i="76"/>
  <c r="L73" i="76"/>
  <c r="N73" i="76" s="1"/>
  <c r="B73" i="76"/>
  <c r="T72" i="76"/>
  <c r="P72" i="76"/>
  <c r="X72" i="76" s="1"/>
  <c r="Z72" i="76" s="1"/>
  <c r="H72" i="76"/>
  <c r="D72" i="76"/>
  <c r="B72" i="76"/>
  <c r="X71" i="76"/>
  <c r="Z71" i="76" s="1"/>
  <c r="L71" i="76"/>
  <c r="N71" i="76" s="1"/>
  <c r="B71" i="76"/>
  <c r="X70" i="76"/>
  <c r="Z70" i="76" s="1"/>
  <c r="N70" i="76"/>
  <c r="L70" i="76"/>
  <c r="B70" i="76"/>
  <c r="X69" i="76"/>
  <c r="Z69" i="76" s="1"/>
  <c r="N69" i="76"/>
  <c r="L69" i="76"/>
  <c r="B69" i="76"/>
  <c r="Z68" i="76"/>
  <c r="X68" i="76"/>
  <c r="N68" i="76"/>
  <c r="L68" i="76"/>
  <c r="B68" i="76"/>
  <c r="X67" i="76"/>
  <c r="Z67" i="76" s="1"/>
  <c r="L67" i="76"/>
  <c r="N67" i="76" s="1"/>
  <c r="B67" i="76"/>
  <c r="X66" i="76"/>
  <c r="Z66" i="76" s="1"/>
  <c r="T66" i="76"/>
  <c r="P66" i="76"/>
  <c r="L66" i="76"/>
  <c r="N66" i="76" s="1"/>
  <c r="H66" i="76"/>
  <c r="D66" i="76"/>
  <c r="B66" i="76"/>
  <c r="Z65" i="76"/>
  <c r="X65" i="76"/>
  <c r="N65" i="76"/>
  <c r="L65" i="76"/>
  <c r="B65" i="76"/>
  <c r="Z64" i="76"/>
  <c r="X64" i="76"/>
  <c r="N64" i="76"/>
  <c r="L64" i="76"/>
  <c r="B64" i="76"/>
  <c r="X63" i="76"/>
  <c r="Z63" i="76" s="1"/>
  <c r="L63" i="76"/>
  <c r="N63" i="76" s="1"/>
  <c r="B63" i="76"/>
  <c r="Z62" i="76"/>
  <c r="X62" i="76"/>
  <c r="N62" i="76"/>
  <c r="L62" i="76"/>
  <c r="B62" i="76"/>
  <c r="Z61" i="76"/>
  <c r="X61" i="76"/>
  <c r="N61" i="76"/>
  <c r="L61" i="76"/>
  <c r="B61" i="76"/>
  <c r="Z60" i="76"/>
  <c r="X60" i="76"/>
  <c r="N60" i="76"/>
  <c r="L60" i="76"/>
  <c r="B60" i="76"/>
  <c r="X59" i="76"/>
  <c r="Z59" i="76" s="1"/>
  <c r="L59" i="76"/>
  <c r="N59" i="76" s="1"/>
  <c r="B59" i="76"/>
  <c r="Z58" i="76"/>
  <c r="X58" i="76"/>
  <c r="N58" i="76"/>
  <c r="L58" i="76"/>
  <c r="B58" i="76"/>
  <c r="Z57" i="76"/>
  <c r="X57" i="76"/>
  <c r="N57" i="76"/>
  <c r="L57" i="76"/>
  <c r="B57" i="76"/>
  <c r="T56" i="76"/>
  <c r="P56" i="76"/>
  <c r="X56" i="76" s="1"/>
  <c r="N56" i="76"/>
  <c r="L56" i="76"/>
  <c r="H56" i="76"/>
  <c r="D56" i="76"/>
  <c r="B56" i="76"/>
  <c r="X55" i="76"/>
  <c r="T55" i="76"/>
  <c r="P55" i="76"/>
  <c r="H55" i="76"/>
  <c r="D55" i="76"/>
  <c r="L55" i="76" s="1"/>
  <c r="X51" i="76"/>
  <c r="Z51" i="76" s="1"/>
  <c r="L51" i="76"/>
  <c r="N51" i="76" s="1"/>
  <c r="B51" i="76"/>
  <c r="Z50" i="76"/>
  <c r="X50" i="76"/>
  <c r="N50" i="76"/>
  <c r="L50" i="76"/>
  <c r="B50" i="76"/>
  <c r="Z49" i="76"/>
  <c r="X49" i="76"/>
  <c r="L49" i="76"/>
  <c r="N49" i="76" s="1"/>
  <c r="F49" i="76"/>
  <c r="B49" i="76"/>
  <c r="Z48" i="76"/>
  <c r="X48" i="76"/>
  <c r="L48" i="76"/>
  <c r="N48" i="76" s="1"/>
  <c r="B48" i="76"/>
  <c r="X47" i="76"/>
  <c r="Z47" i="76" s="1"/>
  <c r="L47" i="76"/>
  <c r="N47" i="76" s="1"/>
  <c r="B47" i="76"/>
  <c r="Z46" i="76"/>
  <c r="X46" i="76"/>
  <c r="N46" i="76"/>
  <c r="L46" i="76"/>
  <c r="B46" i="76"/>
  <c r="Z45" i="76"/>
  <c r="X45" i="76"/>
  <c r="L45" i="76"/>
  <c r="N45" i="76" s="1"/>
  <c r="F45" i="76"/>
  <c r="B45" i="76"/>
  <c r="Z44" i="76"/>
  <c r="X44" i="76"/>
  <c r="L44" i="76"/>
  <c r="N44" i="76" s="1"/>
  <c r="B44" i="76"/>
  <c r="X43" i="76"/>
  <c r="Z43" i="76" s="1"/>
  <c r="L43" i="76"/>
  <c r="N43" i="76" s="1"/>
  <c r="B43" i="76"/>
  <c r="Z42" i="76"/>
  <c r="X42" i="76"/>
  <c r="N42" i="76"/>
  <c r="L42" i="76"/>
  <c r="B42" i="76"/>
  <c r="Z41" i="76"/>
  <c r="X41" i="76"/>
  <c r="L41" i="76"/>
  <c r="N41" i="76" s="1"/>
  <c r="F41" i="76"/>
  <c r="B41" i="76"/>
  <c r="Z40" i="76"/>
  <c r="X40" i="76"/>
  <c r="L40" i="76"/>
  <c r="N40" i="76" s="1"/>
  <c r="B40" i="76"/>
  <c r="X39" i="76"/>
  <c r="Z39" i="76" s="1"/>
  <c r="L39" i="76"/>
  <c r="N39" i="76" s="1"/>
  <c r="B39" i="76"/>
  <c r="T38" i="76"/>
  <c r="P38" i="76"/>
  <c r="X38" i="76" s="1"/>
  <c r="Z38" i="76" s="1"/>
  <c r="H38" i="76"/>
  <c r="D38" i="76"/>
  <c r="L38" i="76" s="1"/>
  <c r="N38" i="76" s="1"/>
  <c r="T36" i="76"/>
  <c r="X36" i="76" s="1"/>
  <c r="Z36" i="76" s="1"/>
  <c r="P36" i="76"/>
  <c r="N36" i="76"/>
  <c r="L36" i="76"/>
  <c r="H36" i="76"/>
  <c r="D36" i="76"/>
  <c r="B36" i="76"/>
  <c r="T35" i="76"/>
  <c r="P35" i="76"/>
  <c r="X35" i="76" s="1"/>
  <c r="N35" i="76"/>
  <c r="H35" i="76"/>
  <c r="D35" i="76"/>
  <c r="L35" i="76" s="1"/>
  <c r="B35" i="76"/>
  <c r="T34" i="76"/>
  <c r="Z34" i="76" s="1"/>
  <c r="P34" i="76"/>
  <c r="X34" i="76" s="1"/>
  <c r="H34" i="76"/>
  <c r="D34" i="76"/>
  <c r="B34" i="76"/>
  <c r="T33" i="76"/>
  <c r="P33" i="76"/>
  <c r="L33" i="76"/>
  <c r="H33" i="76"/>
  <c r="N33" i="76" s="1"/>
  <c r="D33" i="76"/>
  <c r="B33" i="76"/>
  <c r="T32" i="76"/>
  <c r="X32" i="76" s="1"/>
  <c r="Z32" i="76" s="1"/>
  <c r="P32" i="76"/>
  <c r="N32" i="76"/>
  <c r="L32" i="76"/>
  <c r="H32" i="76"/>
  <c r="D32" i="76"/>
  <c r="B32" i="76"/>
  <c r="T31" i="76"/>
  <c r="P31" i="76"/>
  <c r="X31" i="76" s="1"/>
  <c r="N31" i="76"/>
  <c r="H31" i="76"/>
  <c r="D31" i="76"/>
  <c r="L31" i="76" s="1"/>
  <c r="B31" i="76"/>
  <c r="T30" i="76"/>
  <c r="P30" i="76"/>
  <c r="X30" i="76" s="1"/>
  <c r="H30" i="76"/>
  <c r="D30" i="76"/>
  <c r="B30" i="76"/>
  <c r="T29" i="76"/>
  <c r="P29" i="76"/>
  <c r="L29" i="76"/>
  <c r="H29" i="76"/>
  <c r="N29" i="76" s="1"/>
  <c r="D29" i="76"/>
  <c r="B29" i="76"/>
  <c r="T28" i="76"/>
  <c r="X28" i="76" s="1"/>
  <c r="Z28" i="76" s="1"/>
  <c r="P28" i="76"/>
  <c r="N28" i="76"/>
  <c r="L28" i="76"/>
  <c r="H28" i="76"/>
  <c r="D28" i="76"/>
  <c r="B28" i="76"/>
  <c r="T27" i="76"/>
  <c r="Z27" i="76" s="1"/>
  <c r="P27" i="76"/>
  <c r="X27" i="76" s="1"/>
  <c r="H27" i="76"/>
  <c r="D27" i="76"/>
  <c r="L27" i="76" s="1"/>
  <c r="N27" i="76" s="1"/>
  <c r="B27" i="76"/>
  <c r="T26" i="76"/>
  <c r="P26" i="76"/>
  <c r="X26" i="76" s="1"/>
  <c r="H26" i="76"/>
  <c r="D26" i="76"/>
  <c r="B26" i="76"/>
  <c r="T25" i="76"/>
  <c r="P25" i="76"/>
  <c r="L25" i="76"/>
  <c r="H25" i="76"/>
  <c r="N25" i="76" s="1"/>
  <c r="D25" i="76"/>
  <c r="B25" i="76"/>
  <c r="T24" i="76"/>
  <c r="X24" i="76" s="1"/>
  <c r="Z24" i="76" s="1"/>
  <c r="P24" i="76"/>
  <c r="N24" i="76"/>
  <c r="L24" i="76"/>
  <c r="H24" i="76"/>
  <c r="D24" i="76"/>
  <c r="B24" i="76"/>
  <c r="T23" i="76"/>
  <c r="Z23" i="76" s="1"/>
  <c r="P23" i="76"/>
  <c r="X23" i="76" s="1"/>
  <c r="H23" i="76"/>
  <c r="D23" i="76"/>
  <c r="L23" i="76" s="1"/>
  <c r="N23" i="76" s="1"/>
  <c r="B23" i="76"/>
  <c r="T22" i="76"/>
  <c r="P22" i="76"/>
  <c r="X22" i="76" s="1"/>
  <c r="H22" i="76"/>
  <c r="D22" i="76"/>
  <c r="B22" i="76"/>
  <c r="T21" i="76"/>
  <c r="P21" i="76"/>
  <c r="L21" i="76"/>
  <c r="H21" i="76"/>
  <c r="N21" i="76" s="1"/>
  <c r="D21" i="76"/>
  <c r="B21" i="76"/>
  <c r="T20" i="76"/>
  <c r="X20" i="76" s="1"/>
  <c r="Z20" i="76" s="1"/>
  <c r="P20" i="76"/>
  <c r="N20" i="76"/>
  <c r="L20" i="76"/>
  <c r="H20" i="76"/>
  <c r="D20" i="76"/>
  <c r="B20" i="76"/>
  <c r="T19" i="76"/>
  <c r="Z19" i="76" s="1"/>
  <c r="P19" i="76"/>
  <c r="X19" i="76" s="1"/>
  <c r="H19" i="76"/>
  <c r="D19" i="76"/>
  <c r="L19" i="76" s="1"/>
  <c r="N19" i="76" s="1"/>
  <c r="B19" i="76"/>
  <c r="T18" i="76"/>
  <c r="P18" i="76"/>
  <c r="X18" i="76" s="1"/>
  <c r="H18" i="76"/>
  <c r="N18" i="76" s="1"/>
  <c r="D18" i="76"/>
  <c r="B18" i="76"/>
  <c r="T17" i="76"/>
  <c r="P17" i="76"/>
  <c r="L17" i="76"/>
  <c r="H17" i="76"/>
  <c r="N17" i="76" s="1"/>
  <c r="D17" i="76"/>
  <c r="B17" i="76"/>
  <c r="T16" i="76"/>
  <c r="X16" i="76" s="1"/>
  <c r="Z16" i="76" s="1"/>
  <c r="P16" i="76"/>
  <c r="N16" i="76"/>
  <c r="L16" i="76"/>
  <c r="H16" i="76"/>
  <c r="D16" i="76"/>
  <c r="B16" i="76"/>
  <c r="T15" i="76"/>
  <c r="Z15" i="76" s="1"/>
  <c r="P15" i="76"/>
  <c r="X15" i="76" s="1"/>
  <c r="H15" i="76"/>
  <c r="D15" i="76"/>
  <c r="L15" i="76" s="1"/>
  <c r="N15" i="76" s="1"/>
  <c r="B15" i="76"/>
  <c r="T14" i="76"/>
  <c r="P14" i="76"/>
  <c r="X14" i="76" s="1"/>
  <c r="H14" i="76"/>
  <c r="D14" i="76"/>
  <c r="B14" i="76"/>
  <c r="T13" i="76"/>
  <c r="P13" i="76"/>
  <c r="P12" i="76" s="1"/>
  <c r="L13" i="76"/>
  <c r="H13" i="76"/>
  <c r="N13" i="76" s="1"/>
  <c r="D13" i="76"/>
  <c r="D12" i="76" s="1"/>
  <c r="B13" i="76"/>
  <c r="D6" i="76"/>
  <c r="D4" i="76"/>
  <c r="X76" i="75"/>
  <c r="Z76" i="75" s="1"/>
  <c r="N76" i="75"/>
  <c r="L76" i="75"/>
  <c r="T72" i="75"/>
  <c r="T71" i="75" s="1"/>
  <c r="P72" i="75"/>
  <c r="X72" i="75" s="1"/>
  <c r="Z72" i="75" s="1"/>
  <c r="H72" i="75"/>
  <c r="D72" i="75"/>
  <c r="B72" i="75"/>
  <c r="P71" i="75"/>
  <c r="H71" i="75"/>
  <c r="Z69" i="75"/>
  <c r="X69" i="75"/>
  <c r="N69" i="75"/>
  <c r="L69" i="75"/>
  <c r="B69" i="75"/>
  <c r="Z68" i="75"/>
  <c r="X68" i="75"/>
  <c r="T68" i="75"/>
  <c r="P68" i="75"/>
  <c r="N68" i="75"/>
  <c r="L68" i="75"/>
  <c r="H68" i="75"/>
  <c r="D68" i="75"/>
  <c r="B68" i="75"/>
  <c r="Z67" i="75"/>
  <c r="X67" i="75"/>
  <c r="N67" i="75"/>
  <c r="L67" i="75"/>
  <c r="B67" i="75"/>
  <c r="T66" i="75"/>
  <c r="P66" i="75"/>
  <c r="H66" i="75"/>
  <c r="L66" i="75" s="1"/>
  <c r="N66" i="75" s="1"/>
  <c r="D66" i="75"/>
  <c r="B66" i="75"/>
  <c r="X65" i="75"/>
  <c r="Z65" i="75" s="1"/>
  <c r="L65" i="75"/>
  <c r="N65" i="75" s="1"/>
  <c r="B65" i="75"/>
  <c r="T64" i="75"/>
  <c r="P64" i="75"/>
  <c r="X64" i="75" s="1"/>
  <c r="Z64" i="75" s="1"/>
  <c r="H64" i="75"/>
  <c r="D64" i="75"/>
  <c r="L64" i="75" s="1"/>
  <c r="N64" i="75" s="1"/>
  <c r="B64" i="75"/>
  <c r="X63" i="75"/>
  <c r="Z63" i="75" s="1"/>
  <c r="N63" i="75"/>
  <c r="L63" i="75"/>
  <c r="B63" i="75"/>
  <c r="X62" i="75"/>
  <c r="Z62" i="75" s="1"/>
  <c r="N62" i="75"/>
  <c r="L62" i="75"/>
  <c r="B62" i="75"/>
  <c r="X61" i="75"/>
  <c r="Z61" i="75" s="1"/>
  <c r="L61" i="75"/>
  <c r="N61" i="75" s="1"/>
  <c r="B61" i="75"/>
  <c r="Z60" i="75"/>
  <c r="X60" i="75"/>
  <c r="N60" i="75"/>
  <c r="L60" i="75"/>
  <c r="B60" i="75"/>
  <c r="Z59" i="75"/>
  <c r="X59" i="75"/>
  <c r="N59" i="75"/>
  <c r="L59" i="75"/>
  <c r="B59" i="75"/>
  <c r="X58" i="75"/>
  <c r="Z58" i="75" s="1"/>
  <c r="N58" i="75"/>
  <c r="L58" i="75"/>
  <c r="B58" i="75"/>
  <c r="X57" i="75"/>
  <c r="T57" i="75"/>
  <c r="Z57" i="75" s="1"/>
  <c r="P57" i="75"/>
  <c r="H57" i="75"/>
  <c r="D57" i="75"/>
  <c r="B57" i="75"/>
  <c r="Z56" i="75"/>
  <c r="X56" i="75"/>
  <c r="N56" i="75"/>
  <c r="L56" i="75"/>
  <c r="B56" i="75"/>
  <c r="T55" i="75"/>
  <c r="X55" i="75" s="1"/>
  <c r="P55" i="75"/>
  <c r="L55" i="75"/>
  <c r="H55" i="75"/>
  <c r="D55" i="75"/>
  <c r="B55" i="75"/>
  <c r="Z54" i="75"/>
  <c r="X54" i="75"/>
  <c r="L54" i="75"/>
  <c r="N54" i="75" s="1"/>
  <c r="B54" i="75"/>
  <c r="X53" i="75"/>
  <c r="T53" i="75"/>
  <c r="Z53" i="75" s="1"/>
  <c r="P53" i="75"/>
  <c r="H53" i="75"/>
  <c r="D53" i="75"/>
  <c r="L53" i="75" s="1"/>
  <c r="B53" i="75"/>
  <c r="Z52" i="75"/>
  <c r="X52" i="75"/>
  <c r="N52" i="75"/>
  <c r="L52" i="75"/>
  <c r="B52" i="75"/>
  <c r="Z51" i="75"/>
  <c r="X51" i="75"/>
  <c r="N51" i="75"/>
  <c r="L51" i="75"/>
  <c r="B51" i="75"/>
  <c r="X50" i="75"/>
  <c r="T50" i="75"/>
  <c r="Z50" i="75" s="1"/>
  <c r="P50" i="75"/>
  <c r="N50" i="75"/>
  <c r="L50" i="75"/>
  <c r="J50" i="75"/>
  <c r="H50" i="75"/>
  <c r="D50" i="75"/>
  <c r="B50" i="75"/>
  <c r="X49" i="75"/>
  <c r="Z49" i="75" s="1"/>
  <c r="L49" i="75"/>
  <c r="N49" i="75" s="1"/>
  <c r="B49" i="75"/>
  <c r="T48" i="75"/>
  <c r="X48" i="75" s="1"/>
  <c r="Z48" i="75" s="1"/>
  <c r="P48" i="75"/>
  <c r="H48" i="75"/>
  <c r="N48" i="75" s="1"/>
  <c r="D48" i="75"/>
  <c r="L48" i="75" s="1"/>
  <c r="B48" i="75"/>
  <c r="Z47" i="75"/>
  <c r="X47" i="75"/>
  <c r="L47" i="75"/>
  <c r="N47" i="75" s="1"/>
  <c r="B47" i="75"/>
  <c r="T46" i="75"/>
  <c r="P46" i="75"/>
  <c r="X46" i="75" s="1"/>
  <c r="Z46" i="75" s="1"/>
  <c r="H46" i="75"/>
  <c r="D46" i="75"/>
  <c r="L46" i="75" s="1"/>
  <c r="N46" i="75" s="1"/>
  <c r="B46" i="75"/>
  <c r="Z45" i="75"/>
  <c r="X45" i="75"/>
  <c r="N45" i="75"/>
  <c r="L45" i="75"/>
  <c r="B45" i="75"/>
  <c r="Z44" i="75"/>
  <c r="X44" i="75"/>
  <c r="T44" i="75"/>
  <c r="P44" i="75"/>
  <c r="L44" i="75"/>
  <c r="H44" i="75"/>
  <c r="N44" i="75" s="1"/>
  <c r="D44" i="75"/>
  <c r="B44" i="75"/>
  <c r="Z43" i="75"/>
  <c r="X43" i="75"/>
  <c r="N43" i="75"/>
  <c r="L43" i="75"/>
  <c r="B43" i="75"/>
  <c r="Z42" i="75"/>
  <c r="X42" i="75"/>
  <c r="N42" i="75"/>
  <c r="L42" i="75"/>
  <c r="B42" i="75"/>
  <c r="X41" i="75"/>
  <c r="Z41" i="75" s="1"/>
  <c r="L41" i="75"/>
  <c r="N41" i="75" s="1"/>
  <c r="B41" i="75"/>
  <c r="Z40" i="75"/>
  <c r="T40" i="75"/>
  <c r="X40" i="75" s="1"/>
  <c r="P40" i="75"/>
  <c r="H40" i="75"/>
  <c r="N40" i="75" s="1"/>
  <c r="D40" i="75"/>
  <c r="L40" i="75" s="1"/>
  <c r="B40" i="75"/>
  <c r="Z39" i="75"/>
  <c r="X39" i="75"/>
  <c r="L39" i="75"/>
  <c r="N39" i="75" s="1"/>
  <c r="B39" i="75"/>
  <c r="Z38" i="75"/>
  <c r="X38" i="75"/>
  <c r="L38" i="75"/>
  <c r="N38" i="75" s="1"/>
  <c r="J38" i="75"/>
  <c r="B38" i="75"/>
  <c r="X37" i="75"/>
  <c r="Z37" i="75" s="1"/>
  <c r="L37" i="75"/>
  <c r="N37" i="75" s="1"/>
  <c r="B37" i="75"/>
  <c r="Z36" i="75"/>
  <c r="X36" i="75"/>
  <c r="L36" i="75"/>
  <c r="N36" i="75" s="1"/>
  <c r="J36" i="75"/>
  <c r="B36" i="75"/>
  <c r="Z35" i="75"/>
  <c r="X35" i="75"/>
  <c r="L35" i="75"/>
  <c r="N35" i="75" s="1"/>
  <c r="B35" i="75"/>
  <c r="Z34" i="75"/>
  <c r="X34" i="75"/>
  <c r="L34" i="75"/>
  <c r="N34" i="75" s="1"/>
  <c r="B34" i="75"/>
  <c r="X33" i="75"/>
  <c r="Z33" i="75" s="1"/>
  <c r="L33" i="75"/>
  <c r="N33" i="75" s="1"/>
  <c r="B33" i="75"/>
  <c r="Z32" i="75"/>
  <c r="X32" i="75"/>
  <c r="L32" i="75"/>
  <c r="N32" i="75" s="1"/>
  <c r="B32" i="75"/>
  <c r="T31" i="75"/>
  <c r="P31" i="75"/>
  <c r="L31" i="75"/>
  <c r="H31" i="75"/>
  <c r="D31" i="75"/>
  <c r="B31" i="75"/>
  <c r="X30" i="75"/>
  <c r="T30" i="75"/>
  <c r="P30" i="75"/>
  <c r="N30" i="75"/>
  <c r="L30" i="75"/>
  <c r="H30" i="75"/>
  <c r="D30" i="75"/>
  <c r="X26" i="75"/>
  <c r="T26" i="75"/>
  <c r="Z26" i="75" s="1"/>
  <c r="P26" i="75"/>
  <c r="N26" i="75"/>
  <c r="L26" i="75"/>
  <c r="J26" i="75"/>
  <c r="H26" i="75"/>
  <c r="D26" i="75"/>
  <c r="X24" i="75"/>
  <c r="T24" i="75"/>
  <c r="P24" i="75"/>
  <c r="N24" i="75"/>
  <c r="H24" i="75"/>
  <c r="D24" i="75"/>
  <c r="L24" i="75" s="1"/>
  <c r="B24" i="75"/>
  <c r="X23" i="75"/>
  <c r="T23" i="75"/>
  <c r="Z23" i="75" s="1"/>
  <c r="P23" i="75"/>
  <c r="N23" i="75"/>
  <c r="H23" i="75"/>
  <c r="D23" i="75"/>
  <c r="L23" i="75" s="1"/>
  <c r="B23" i="75"/>
  <c r="T22" i="75"/>
  <c r="X22" i="75" s="1"/>
  <c r="Z22" i="75" s="1"/>
  <c r="P22" i="75"/>
  <c r="N22" i="75"/>
  <c r="H22" i="75"/>
  <c r="D22" i="75"/>
  <c r="L22" i="75" s="1"/>
  <c r="B22" i="75"/>
  <c r="T21" i="75"/>
  <c r="P21" i="75"/>
  <c r="X21" i="75" s="1"/>
  <c r="Z21" i="75" s="1"/>
  <c r="L21" i="75"/>
  <c r="N21" i="75" s="1"/>
  <c r="H21" i="75"/>
  <c r="D21" i="75"/>
  <c r="B21" i="75"/>
  <c r="T20" i="75"/>
  <c r="P20" i="75"/>
  <c r="H20" i="75"/>
  <c r="D20" i="75"/>
  <c r="L20" i="75" s="1"/>
  <c r="N20" i="75" s="1"/>
  <c r="B20" i="75"/>
  <c r="X19" i="75"/>
  <c r="T19" i="75"/>
  <c r="Z19" i="75" s="1"/>
  <c r="P19" i="75"/>
  <c r="H19" i="75"/>
  <c r="D19" i="75"/>
  <c r="L19" i="75" s="1"/>
  <c r="N19" i="75" s="1"/>
  <c r="B19" i="75"/>
  <c r="T18" i="75"/>
  <c r="P18" i="75"/>
  <c r="N18" i="75"/>
  <c r="H18" i="75"/>
  <c r="D18" i="75"/>
  <c r="L18" i="75" s="1"/>
  <c r="B18" i="75"/>
  <c r="T17" i="75"/>
  <c r="P17" i="75"/>
  <c r="X17" i="75" s="1"/>
  <c r="Z17" i="75" s="1"/>
  <c r="H17" i="75"/>
  <c r="D17" i="75"/>
  <c r="L17" i="75" s="1"/>
  <c r="N17" i="75" s="1"/>
  <c r="B17" i="75"/>
  <c r="T16" i="75"/>
  <c r="P16" i="75"/>
  <c r="H16" i="75"/>
  <c r="N16" i="75" s="1"/>
  <c r="D16" i="75"/>
  <c r="L16" i="75" s="1"/>
  <c r="B16" i="75"/>
  <c r="T15" i="75"/>
  <c r="P15" i="75"/>
  <c r="H15" i="75"/>
  <c r="D15" i="75"/>
  <c r="L15" i="75" s="1"/>
  <c r="N15" i="75" s="1"/>
  <c r="B15" i="75"/>
  <c r="T14" i="75"/>
  <c r="P14" i="75"/>
  <c r="H14" i="75"/>
  <c r="D14" i="75"/>
  <c r="L14" i="75" s="1"/>
  <c r="N14" i="75" s="1"/>
  <c r="B14" i="75"/>
  <c r="X13" i="75"/>
  <c r="T13" i="75"/>
  <c r="Z13" i="75" s="1"/>
  <c r="P13" i="75"/>
  <c r="N13" i="75"/>
  <c r="H13" i="75"/>
  <c r="D13" i="75"/>
  <c r="B13" i="75"/>
  <c r="H12" i="75"/>
  <c r="J58" i="75" s="1"/>
  <c r="D6" i="75"/>
  <c r="D4" i="75"/>
  <c r="Z119" i="74"/>
  <c r="X119" i="74"/>
  <c r="N119" i="74"/>
  <c r="L119" i="74"/>
  <c r="Z115" i="74"/>
  <c r="X115" i="74"/>
  <c r="T115" i="74"/>
  <c r="P115" i="74"/>
  <c r="P113" i="74" s="1"/>
  <c r="X113" i="74" s="1"/>
  <c r="Z113" i="74" s="1"/>
  <c r="L115" i="74"/>
  <c r="H115" i="74"/>
  <c r="N115" i="74" s="1"/>
  <c r="D115" i="74"/>
  <c r="B115" i="74"/>
  <c r="X114" i="74"/>
  <c r="Z114" i="74" s="1"/>
  <c r="T114" i="74"/>
  <c r="P114" i="74"/>
  <c r="N114" i="74"/>
  <c r="L114" i="74"/>
  <c r="H114" i="74"/>
  <c r="H113" i="74" s="1"/>
  <c r="D114" i="74"/>
  <c r="B114" i="74"/>
  <c r="T113" i="74"/>
  <c r="D113" i="74"/>
  <c r="Z111" i="74"/>
  <c r="X111" i="74"/>
  <c r="N111" i="74"/>
  <c r="L111" i="74"/>
  <c r="B111" i="74"/>
  <c r="T110" i="74"/>
  <c r="Z110" i="74" s="1"/>
  <c r="P110" i="74"/>
  <c r="X110" i="74" s="1"/>
  <c r="N110" i="74"/>
  <c r="H110" i="74"/>
  <c r="D110" i="74"/>
  <c r="L110" i="74" s="1"/>
  <c r="B110" i="74"/>
  <c r="X109" i="74"/>
  <c r="Z109" i="74" s="1"/>
  <c r="L109" i="74"/>
  <c r="N109" i="74" s="1"/>
  <c r="B109" i="74"/>
  <c r="T108" i="74"/>
  <c r="P108" i="74"/>
  <c r="L108" i="74"/>
  <c r="N108" i="74" s="1"/>
  <c r="H108" i="74"/>
  <c r="D108" i="74"/>
  <c r="B108" i="74"/>
  <c r="X107" i="74"/>
  <c r="Z107" i="74" s="1"/>
  <c r="V107" i="74"/>
  <c r="N107" i="74"/>
  <c r="L107" i="74"/>
  <c r="B107" i="74"/>
  <c r="Z106" i="74"/>
  <c r="X106" i="74"/>
  <c r="L106" i="74"/>
  <c r="N106" i="74" s="1"/>
  <c r="B106" i="74"/>
  <c r="Z105" i="74"/>
  <c r="X105" i="74"/>
  <c r="N105" i="74"/>
  <c r="L105" i="74"/>
  <c r="B105" i="74"/>
  <c r="Z104" i="74"/>
  <c r="X104" i="74"/>
  <c r="N104" i="74"/>
  <c r="L104" i="74"/>
  <c r="B104" i="74"/>
  <c r="T103" i="74"/>
  <c r="P103" i="74"/>
  <c r="L103" i="74"/>
  <c r="H103" i="74"/>
  <c r="N103" i="74" s="1"/>
  <c r="D103" i="74"/>
  <c r="B103" i="74"/>
  <c r="X102" i="74"/>
  <c r="Z102" i="74" s="1"/>
  <c r="L102" i="74"/>
  <c r="N102" i="74" s="1"/>
  <c r="B102" i="74"/>
  <c r="T101" i="74"/>
  <c r="P101" i="74"/>
  <c r="X101" i="74" s="1"/>
  <c r="Z101" i="74" s="1"/>
  <c r="H101" i="74"/>
  <c r="D101" i="74"/>
  <c r="L101" i="74" s="1"/>
  <c r="N101" i="74" s="1"/>
  <c r="B101" i="74"/>
  <c r="Z100" i="74"/>
  <c r="X100" i="74"/>
  <c r="L100" i="74"/>
  <c r="N100" i="74" s="1"/>
  <c r="B100" i="74"/>
  <c r="Z99" i="74"/>
  <c r="X99" i="74"/>
  <c r="N99" i="74"/>
  <c r="L99" i="74"/>
  <c r="B99" i="74"/>
  <c r="T98" i="74"/>
  <c r="P98" i="74"/>
  <c r="X98" i="74" s="1"/>
  <c r="H98" i="74"/>
  <c r="D98" i="74"/>
  <c r="L98" i="74" s="1"/>
  <c r="N98" i="74" s="1"/>
  <c r="B98" i="74"/>
  <c r="X97" i="74"/>
  <c r="Z97" i="74" s="1"/>
  <c r="L97" i="74"/>
  <c r="N97" i="74" s="1"/>
  <c r="B97" i="74"/>
  <c r="X96" i="74"/>
  <c r="Z96" i="74" s="1"/>
  <c r="T96" i="74"/>
  <c r="P96" i="74"/>
  <c r="N96" i="74"/>
  <c r="L96" i="74"/>
  <c r="H96" i="74"/>
  <c r="D96" i="74"/>
  <c r="B96" i="74"/>
  <c r="Z95" i="74"/>
  <c r="X95" i="74"/>
  <c r="N95" i="74"/>
  <c r="L95" i="74"/>
  <c r="B95" i="74"/>
  <c r="T94" i="74"/>
  <c r="P94" i="74"/>
  <c r="N94" i="74"/>
  <c r="L94" i="74"/>
  <c r="H94" i="74"/>
  <c r="D94" i="74"/>
  <c r="B94" i="74"/>
  <c r="X93" i="74"/>
  <c r="Z93" i="74" s="1"/>
  <c r="V93" i="74"/>
  <c r="N93" i="74"/>
  <c r="L93" i="74"/>
  <c r="B93" i="74"/>
  <c r="T92" i="74"/>
  <c r="P92" i="74"/>
  <c r="X92" i="74" s="1"/>
  <c r="Z92" i="74" s="1"/>
  <c r="H92" i="74"/>
  <c r="N92" i="74" s="1"/>
  <c r="D92" i="74"/>
  <c r="L92" i="74" s="1"/>
  <c r="B92" i="74"/>
  <c r="X91" i="74"/>
  <c r="Z91" i="74" s="1"/>
  <c r="N91" i="74"/>
  <c r="L91" i="74"/>
  <c r="B91" i="74"/>
  <c r="X90" i="74"/>
  <c r="Z90" i="74" s="1"/>
  <c r="L90" i="74"/>
  <c r="N90" i="74" s="1"/>
  <c r="F90" i="74"/>
  <c r="B90" i="74"/>
  <c r="X89" i="74"/>
  <c r="T89" i="74"/>
  <c r="Z89" i="74" s="1"/>
  <c r="P89" i="74"/>
  <c r="H89" i="74"/>
  <c r="N89" i="74" s="1"/>
  <c r="F89" i="74"/>
  <c r="D89" i="74"/>
  <c r="L89" i="74" s="1"/>
  <c r="B89" i="74"/>
  <c r="Z88" i="74"/>
  <c r="X88" i="74"/>
  <c r="N88" i="74"/>
  <c r="L88" i="74"/>
  <c r="B88" i="74"/>
  <c r="Z87" i="74"/>
  <c r="T87" i="74"/>
  <c r="P87" i="74"/>
  <c r="X87" i="74" s="1"/>
  <c r="H87" i="74"/>
  <c r="D87" i="74"/>
  <c r="L87" i="74" s="1"/>
  <c r="N87" i="74" s="1"/>
  <c r="B87" i="74"/>
  <c r="Z86" i="74"/>
  <c r="X86" i="74"/>
  <c r="N86" i="74"/>
  <c r="L86" i="74"/>
  <c r="B86" i="74"/>
  <c r="X85" i="74"/>
  <c r="Z85" i="74" s="1"/>
  <c r="V85" i="74"/>
  <c r="L85" i="74"/>
  <c r="N85" i="74" s="1"/>
  <c r="B85" i="74"/>
  <c r="Z84" i="74"/>
  <c r="X84" i="74"/>
  <c r="L84" i="74"/>
  <c r="N84" i="74" s="1"/>
  <c r="B84" i="74"/>
  <c r="Z83" i="74"/>
  <c r="X83" i="74"/>
  <c r="N83" i="74"/>
  <c r="L83" i="74"/>
  <c r="B83" i="74"/>
  <c r="Z82" i="74"/>
  <c r="X82" i="74"/>
  <c r="L82" i="74"/>
  <c r="N82" i="74" s="1"/>
  <c r="B82" i="74"/>
  <c r="X81" i="74"/>
  <c r="Z81" i="74" s="1"/>
  <c r="V81" i="74"/>
  <c r="T81" i="74"/>
  <c r="P81" i="74"/>
  <c r="H81" i="74"/>
  <c r="L81" i="74" s="1"/>
  <c r="N81" i="74" s="1"/>
  <c r="D81" i="74"/>
  <c r="B81" i="74"/>
  <c r="X80" i="74"/>
  <c r="Z80" i="74" s="1"/>
  <c r="N80" i="74"/>
  <c r="L80" i="74"/>
  <c r="B80" i="74"/>
  <c r="X79" i="74"/>
  <c r="Z79" i="74" s="1"/>
  <c r="N79" i="74"/>
  <c r="L79" i="74"/>
  <c r="B79" i="74"/>
  <c r="X78" i="74"/>
  <c r="Z78" i="74" s="1"/>
  <c r="N78" i="74"/>
  <c r="L78" i="74"/>
  <c r="F78" i="74"/>
  <c r="B78" i="74"/>
  <c r="X77" i="74"/>
  <c r="Z77" i="74" s="1"/>
  <c r="L77" i="74"/>
  <c r="N77" i="74" s="1"/>
  <c r="B77" i="74"/>
  <c r="X76" i="74"/>
  <c r="Z76" i="74" s="1"/>
  <c r="N76" i="74"/>
  <c r="L76" i="74"/>
  <c r="B76" i="74"/>
  <c r="X75" i="74"/>
  <c r="Z75" i="74" s="1"/>
  <c r="N75" i="74"/>
  <c r="L75" i="74"/>
  <c r="B75" i="74"/>
  <c r="X74" i="74"/>
  <c r="Z74" i="74" s="1"/>
  <c r="L74" i="74"/>
  <c r="N74" i="74" s="1"/>
  <c r="F74" i="74"/>
  <c r="B74" i="74"/>
  <c r="X73" i="74"/>
  <c r="Z73" i="74" s="1"/>
  <c r="L73" i="74"/>
  <c r="N73" i="74" s="1"/>
  <c r="B73" i="74"/>
  <c r="X72" i="74"/>
  <c r="Z72" i="74" s="1"/>
  <c r="T72" i="74"/>
  <c r="P72" i="74"/>
  <c r="L72" i="74"/>
  <c r="N72" i="74" s="1"/>
  <c r="H72" i="74"/>
  <c r="D72" i="74"/>
  <c r="B72" i="74"/>
  <c r="T71" i="74"/>
  <c r="P71" i="74"/>
  <c r="X71" i="74" s="1"/>
  <c r="Z71" i="74" s="1"/>
  <c r="H71" i="74"/>
  <c r="D71" i="74"/>
  <c r="L71" i="74" s="1"/>
  <c r="Z67" i="74"/>
  <c r="X67" i="74"/>
  <c r="L67" i="74"/>
  <c r="N67" i="74" s="1"/>
  <c r="B67" i="74"/>
  <c r="Z66" i="74"/>
  <c r="X66" i="74"/>
  <c r="N66" i="74"/>
  <c r="L66" i="74"/>
  <c r="B66" i="74"/>
  <c r="X65" i="74"/>
  <c r="Z65" i="74" s="1"/>
  <c r="N65" i="74"/>
  <c r="L65" i="74"/>
  <c r="B65" i="74"/>
  <c r="Z64" i="74"/>
  <c r="X64" i="74"/>
  <c r="N64" i="74"/>
  <c r="L64" i="74"/>
  <c r="B64" i="74"/>
  <c r="Z63" i="74"/>
  <c r="X63" i="74"/>
  <c r="L63" i="74"/>
  <c r="N63" i="74" s="1"/>
  <c r="B63" i="74"/>
  <c r="Z62" i="74"/>
  <c r="X62" i="74"/>
  <c r="N62" i="74"/>
  <c r="L62" i="74"/>
  <c r="B62" i="74"/>
  <c r="X61" i="74"/>
  <c r="Z61" i="74" s="1"/>
  <c r="L61" i="74"/>
  <c r="N61" i="74" s="1"/>
  <c r="B61" i="74"/>
  <c r="Z60" i="74"/>
  <c r="X60" i="74"/>
  <c r="N60" i="74"/>
  <c r="L60" i="74"/>
  <c r="B60" i="74"/>
  <c r="Z59" i="74"/>
  <c r="X59" i="74"/>
  <c r="L59" i="74"/>
  <c r="N59" i="74" s="1"/>
  <c r="B59" i="74"/>
  <c r="Z58" i="74"/>
  <c r="X58" i="74"/>
  <c r="L58" i="74"/>
  <c r="N58" i="74" s="1"/>
  <c r="B58" i="74"/>
  <c r="X57" i="74"/>
  <c r="Z57" i="74" s="1"/>
  <c r="L57" i="74"/>
  <c r="N57" i="74" s="1"/>
  <c r="B57" i="74"/>
  <c r="Z56" i="74"/>
  <c r="X56" i="74"/>
  <c r="N56" i="74"/>
  <c r="L56" i="74"/>
  <c r="B56" i="74"/>
  <c r="Z55" i="74"/>
  <c r="X55" i="74"/>
  <c r="L55" i="74"/>
  <c r="N55" i="74" s="1"/>
  <c r="B55" i="74"/>
  <c r="Z54" i="74"/>
  <c r="X54" i="74"/>
  <c r="L54" i="74"/>
  <c r="N54" i="74" s="1"/>
  <c r="B54" i="74"/>
  <c r="Z53" i="74"/>
  <c r="X53" i="74"/>
  <c r="N53" i="74"/>
  <c r="L53" i="74"/>
  <c r="B53" i="74"/>
  <c r="Z52" i="74"/>
  <c r="X52" i="74"/>
  <c r="N52" i="74"/>
  <c r="L52" i="74"/>
  <c r="B52" i="74"/>
  <c r="Z51" i="74"/>
  <c r="X51" i="74"/>
  <c r="N51" i="74"/>
  <c r="L51" i="74"/>
  <c r="B51" i="74"/>
  <c r="T50" i="74"/>
  <c r="P50" i="74"/>
  <c r="N50" i="74"/>
  <c r="L50" i="74"/>
  <c r="H50" i="74"/>
  <c r="D50" i="74"/>
  <c r="T48" i="74"/>
  <c r="Z48" i="74" s="1"/>
  <c r="P48" i="74"/>
  <c r="X48" i="74" s="1"/>
  <c r="H48" i="74"/>
  <c r="N48" i="74" s="1"/>
  <c r="D48" i="74"/>
  <c r="L48" i="74" s="1"/>
  <c r="B48" i="74"/>
  <c r="T47" i="74"/>
  <c r="P47" i="74"/>
  <c r="X47" i="74" s="1"/>
  <c r="H47" i="74"/>
  <c r="D47" i="74"/>
  <c r="B47" i="74"/>
  <c r="T46" i="74"/>
  <c r="X46" i="74" s="1"/>
  <c r="Z46" i="74" s="1"/>
  <c r="P46" i="74"/>
  <c r="H46" i="74"/>
  <c r="D46" i="74"/>
  <c r="B46" i="74"/>
  <c r="T45" i="74"/>
  <c r="P45" i="74"/>
  <c r="X45" i="74" s="1"/>
  <c r="Z45" i="74" s="1"/>
  <c r="L45" i="74"/>
  <c r="N45" i="74" s="1"/>
  <c r="H45" i="74"/>
  <c r="D45" i="74"/>
  <c r="B45" i="74"/>
  <c r="T44" i="74"/>
  <c r="P44" i="74"/>
  <c r="X44" i="74" s="1"/>
  <c r="H44" i="74"/>
  <c r="N44" i="74" s="1"/>
  <c r="D44" i="74"/>
  <c r="L44" i="74" s="1"/>
  <c r="B44" i="74"/>
  <c r="T43" i="74"/>
  <c r="P43" i="74"/>
  <c r="X43" i="74" s="1"/>
  <c r="H43" i="74"/>
  <c r="D43" i="74"/>
  <c r="B43" i="74"/>
  <c r="T42" i="74"/>
  <c r="X42" i="74" s="1"/>
  <c r="Z42" i="74" s="1"/>
  <c r="P42" i="74"/>
  <c r="L42" i="74"/>
  <c r="H42" i="74"/>
  <c r="N42" i="74" s="1"/>
  <c r="D42" i="74"/>
  <c r="B42" i="74"/>
  <c r="T41" i="74"/>
  <c r="P41" i="74"/>
  <c r="X41" i="74" s="1"/>
  <c r="Z41" i="74" s="1"/>
  <c r="L41" i="74"/>
  <c r="N41" i="74" s="1"/>
  <c r="H41" i="74"/>
  <c r="D41" i="74"/>
  <c r="B41" i="74"/>
  <c r="T40" i="74"/>
  <c r="Z40" i="74" s="1"/>
  <c r="P40" i="74"/>
  <c r="X40" i="74" s="1"/>
  <c r="H40" i="74"/>
  <c r="D40" i="74"/>
  <c r="L40" i="74" s="1"/>
  <c r="B40" i="74"/>
  <c r="T39" i="74"/>
  <c r="Z39" i="74" s="1"/>
  <c r="P39" i="74"/>
  <c r="X39" i="74" s="1"/>
  <c r="H39" i="74"/>
  <c r="D39" i="74"/>
  <c r="B39" i="74"/>
  <c r="Z38" i="74"/>
  <c r="T38" i="74"/>
  <c r="X38" i="74" s="1"/>
  <c r="P38" i="74"/>
  <c r="L38" i="74"/>
  <c r="H38" i="74"/>
  <c r="N38" i="74" s="1"/>
  <c r="D38" i="74"/>
  <c r="B38" i="74"/>
  <c r="T37" i="74"/>
  <c r="P37" i="74"/>
  <c r="X37" i="74" s="1"/>
  <c r="Z37" i="74" s="1"/>
  <c r="N37" i="74"/>
  <c r="L37" i="74"/>
  <c r="H37" i="74"/>
  <c r="D37" i="74"/>
  <c r="B37" i="74"/>
  <c r="T36" i="74"/>
  <c r="P36" i="74"/>
  <c r="X36" i="74" s="1"/>
  <c r="H36" i="74"/>
  <c r="N36" i="74" s="1"/>
  <c r="D36" i="74"/>
  <c r="L36" i="74" s="1"/>
  <c r="B36" i="74"/>
  <c r="T35" i="74"/>
  <c r="Z35" i="74" s="1"/>
  <c r="P35" i="74"/>
  <c r="X35" i="74" s="1"/>
  <c r="H35" i="74"/>
  <c r="D35" i="74"/>
  <c r="B35" i="74"/>
  <c r="T34" i="74"/>
  <c r="X34" i="74" s="1"/>
  <c r="Z34" i="74" s="1"/>
  <c r="P34" i="74"/>
  <c r="L34" i="74"/>
  <c r="N34" i="74" s="1"/>
  <c r="H34" i="74"/>
  <c r="D34" i="74"/>
  <c r="B34" i="74"/>
  <c r="T33" i="74"/>
  <c r="P33" i="74"/>
  <c r="X33" i="74" s="1"/>
  <c r="Z33" i="74" s="1"/>
  <c r="L33" i="74"/>
  <c r="N33" i="74" s="1"/>
  <c r="H33" i="74"/>
  <c r="D33" i="74"/>
  <c r="B33" i="74"/>
  <c r="T32" i="74"/>
  <c r="Z32" i="74" s="1"/>
  <c r="P32" i="74"/>
  <c r="X32" i="74" s="1"/>
  <c r="H32" i="74"/>
  <c r="D32" i="74"/>
  <c r="L32" i="74" s="1"/>
  <c r="B32" i="74"/>
  <c r="T31" i="74"/>
  <c r="Z31" i="74" s="1"/>
  <c r="P31" i="74"/>
  <c r="H31" i="74"/>
  <c r="D31" i="74"/>
  <c r="B31" i="74"/>
  <c r="T30" i="74"/>
  <c r="Z30" i="74" s="1"/>
  <c r="P30" i="74"/>
  <c r="N30" i="74"/>
  <c r="L30" i="74"/>
  <c r="H30" i="74"/>
  <c r="D30" i="74"/>
  <c r="B30" i="74"/>
  <c r="Z29" i="74"/>
  <c r="T29" i="74"/>
  <c r="P29" i="74"/>
  <c r="X29" i="74" s="1"/>
  <c r="N29" i="74"/>
  <c r="L29" i="74"/>
  <c r="H29" i="74"/>
  <c r="D29" i="74"/>
  <c r="B29" i="74"/>
  <c r="T28" i="74"/>
  <c r="Z28" i="74" s="1"/>
  <c r="P28" i="74"/>
  <c r="X28" i="74" s="1"/>
  <c r="H28" i="74"/>
  <c r="N28" i="74" s="1"/>
  <c r="D28" i="74"/>
  <c r="L28" i="74" s="1"/>
  <c r="B28" i="74"/>
  <c r="T27" i="74"/>
  <c r="Z27" i="74" s="1"/>
  <c r="P27" i="74"/>
  <c r="H27" i="74"/>
  <c r="D27" i="74"/>
  <c r="B27" i="74"/>
  <c r="T26" i="74"/>
  <c r="Z26" i="74" s="1"/>
  <c r="P26" i="74"/>
  <c r="N26" i="74"/>
  <c r="L26" i="74"/>
  <c r="H26" i="74"/>
  <c r="D26" i="74"/>
  <c r="B26" i="74"/>
  <c r="Z25" i="74"/>
  <c r="T25" i="74"/>
  <c r="P25" i="74"/>
  <c r="X25" i="74" s="1"/>
  <c r="N25" i="74"/>
  <c r="L25" i="74"/>
  <c r="H25" i="74"/>
  <c r="D25" i="74"/>
  <c r="B25" i="74"/>
  <c r="T24" i="74"/>
  <c r="P24" i="74"/>
  <c r="X24" i="74" s="1"/>
  <c r="H24" i="74"/>
  <c r="D24" i="74"/>
  <c r="L24" i="74" s="1"/>
  <c r="B24" i="74"/>
  <c r="T23" i="74"/>
  <c r="P23" i="74"/>
  <c r="H23" i="74"/>
  <c r="D23" i="74"/>
  <c r="B23" i="74"/>
  <c r="T22" i="74"/>
  <c r="P22" i="74"/>
  <c r="L22" i="74"/>
  <c r="N22" i="74" s="1"/>
  <c r="H22" i="74"/>
  <c r="D22" i="74"/>
  <c r="B22" i="74"/>
  <c r="T21" i="74"/>
  <c r="P21" i="74"/>
  <c r="X21" i="74" s="1"/>
  <c r="Z21" i="74" s="1"/>
  <c r="L21" i="74"/>
  <c r="N21" i="74" s="1"/>
  <c r="H21" i="74"/>
  <c r="D21" i="74"/>
  <c r="B21" i="74"/>
  <c r="T20" i="74"/>
  <c r="P20" i="74"/>
  <c r="X20" i="74" s="1"/>
  <c r="H20" i="74"/>
  <c r="D20" i="74"/>
  <c r="B20" i="74"/>
  <c r="T19" i="74"/>
  <c r="P19" i="74"/>
  <c r="H19" i="74"/>
  <c r="D19" i="74"/>
  <c r="B19" i="74"/>
  <c r="T18" i="74"/>
  <c r="Z18" i="74" s="1"/>
  <c r="P18" i="74"/>
  <c r="N18" i="74"/>
  <c r="L18" i="74"/>
  <c r="H18" i="74"/>
  <c r="D18" i="74"/>
  <c r="B18" i="74"/>
  <c r="Z17" i="74"/>
  <c r="T17" i="74"/>
  <c r="P17" i="74"/>
  <c r="X17" i="74" s="1"/>
  <c r="N17" i="74"/>
  <c r="L17" i="74"/>
  <c r="H17" i="74"/>
  <c r="D17" i="74"/>
  <c r="B17" i="74"/>
  <c r="T16" i="74"/>
  <c r="Z16" i="74" s="1"/>
  <c r="P16" i="74"/>
  <c r="X16" i="74" s="1"/>
  <c r="H16" i="74"/>
  <c r="N16" i="74" s="1"/>
  <c r="D16" i="74"/>
  <c r="B16" i="74"/>
  <c r="T15" i="74"/>
  <c r="Z15" i="74" s="1"/>
  <c r="P15" i="74"/>
  <c r="H15" i="74"/>
  <c r="D15" i="74"/>
  <c r="B15" i="74"/>
  <c r="T14" i="74"/>
  <c r="Z14" i="74" s="1"/>
  <c r="P14" i="74"/>
  <c r="N14" i="74"/>
  <c r="L14" i="74"/>
  <c r="H14" i="74"/>
  <c r="D14" i="74"/>
  <c r="B14" i="74"/>
  <c r="Z13" i="74"/>
  <c r="T13" i="74"/>
  <c r="P13" i="74"/>
  <c r="X13" i="74" s="1"/>
  <c r="N13" i="74"/>
  <c r="L13" i="74"/>
  <c r="H13" i="74"/>
  <c r="D13" i="74"/>
  <c r="B13" i="74"/>
  <c r="T12" i="74"/>
  <c r="V96" i="74" s="1"/>
  <c r="D12" i="74"/>
  <c r="D6" i="74"/>
  <c r="D4" i="74"/>
  <c r="X77" i="73"/>
  <c r="Z77" i="73" s="1"/>
  <c r="L77" i="73"/>
  <c r="N77" i="73" s="1"/>
  <c r="Z73" i="73"/>
  <c r="T73" i="73"/>
  <c r="P73" i="73"/>
  <c r="X73" i="73" s="1"/>
  <c r="H73" i="73"/>
  <c r="N73" i="73" s="1"/>
  <c r="D73" i="73"/>
  <c r="L73" i="73" s="1"/>
  <c r="Z71" i="73"/>
  <c r="X71" i="73"/>
  <c r="N71" i="73"/>
  <c r="L71" i="73"/>
  <c r="B71" i="73"/>
  <c r="Z70" i="73"/>
  <c r="T70" i="73"/>
  <c r="P70" i="73"/>
  <c r="X70" i="73" s="1"/>
  <c r="N70" i="73"/>
  <c r="H70" i="73"/>
  <c r="D70" i="73"/>
  <c r="L70" i="73" s="1"/>
  <c r="B70" i="73"/>
  <c r="X69" i="73"/>
  <c r="Z69" i="73" s="1"/>
  <c r="N69" i="73"/>
  <c r="L69" i="73"/>
  <c r="B69" i="73"/>
  <c r="X68" i="73"/>
  <c r="Z68" i="73" s="1"/>
  <c r="V68" i="73"/>
  <c r="T68" i="73"/>
  <c r="P68" i="73"/>
  <c r="N68" i="73"/>
  <c r="L68" i="73"/>
  <c r="H68" i="73"/>
  <c r="D68" i="73"/>
  <c r="B68" i="73"/>
  <c r="X67" i="73"/>
  <c r="Z67" i="73" s="1"/>
  <c r="N67" i="73"/>
  <c r="L67" i="73"/>
  <c r="B67" i="73"/>
  <c r="Z66" i="73"/>
  <c r="X66" i="73"/>
  <c r="N66" i="73"/>
  <c r="L66" i="73"/>
  <c r="B66" i="73"/>
  <c r="T65" i="73"/>
  <c r="X65" i="73" s="1"/>
  <c r="Z65" i="73" s="1"/>
  <c r="P65" i="73"/>
  <c r="L65" i="73"/>
  <c r="N65" i="73" s="1"/>
  <c r="H65" i="73"/>
  <c r="D65" i="73"/>
  <c r="B65" i="73"/>
  <c r="X64" i="73"/>
  <c r="Z64" i="73" s="1"/>
  <c r="L64" i="73"/>
  <c r="N64" i="73" s="1"/>
  <c r="B64" i="73"/>
  <c r="T63" i="73"/>
  <c r="P63" i="73"/>
  <c r="X63" i="73" s="1"/>
  <c r="Z63" i="73" s="1"/>
  <c r="H63" i="73"/>
  <c r="D63" i="73"/>
  <c r="L63" i="73" s="1"/>
  <c r="B63" i="73"/>
  <c r="X62" i="73"/>
  <c r="Z62" i="73" s="1"/>
  <c r="N62" i="73"/>
  <c r="L62" i="73"/>
  <c r="F62" i="73"/>
  <c r="B62" i="73"/>
  <c r="X61" i="73"/>
  <c r="Z61" i="73" s="1"/>
  <c r="N61" i="73"/>
  <c r="L61" i="73"/>
  <c r="B61" i="73"/>
  <c r="X60" i="73"/>
  <c r="V60" i="73"/>
  <c r="T60" i="73"/>
  <c r="Z60" i="73" s="1"/>
  <c r="P60" i="73"/>
  <c r="L60" i="73"/>
  <c r="N60" i="73" s="1"/>
  <c r="H60" i="73"/>
  <c r="D60" i="73"/>
  <c r="B60" i="73"/>
  <c r="X59" i="73"/>
  <c r="Z59" i="73" s="1"/>
  <c r="N59" i="73"/>
  <c r="L59" i="73"/>
  <c r="B59" i="73"/>
  <c r="Z58" i="73"/>
  <c r="X58" i="73"/>
  <c r="N58" i="73"/>
  <c r="L58" i="73"/>
  <c r="B58" i="73"/>
  <c r="Z57" i="73"/>
  <c r="X57" i="73"/>
  <c r="N57" i="73"/>
  <c r="L57" i="73"/>
  <c r="F57" i="73"/>
  <c r="B57" i="73"/>
  <c r="X56" i="73"/>
  <c r="Z56" i="73" s="1"/>
  <c r="L56" i="73"/>
  <c r="N56" i="73" s="1"/>
  <c r="B56" i="73"/>
  <c r="X55" i="73"/>
  <c r="Z55" i="73" s="1"/>
  <c r="N55" i="73"/>
  <c r="L55" i="73"/>
  <c r="B55" i="73"/>
  <c r="Z54" i="73"/>
  <c r="X54" i="73"/>
  <c r="N54" i="73"/>
  <c r="L54" i="73"/>
  <c r="B54" i="73"/>
  <c r="Z53" i="73"/>
  <c r="X53" i="73"/>
  <c r="N53" i="73"/>
  <c r="L53" i="73"/>
  <c r="F53" i="73"/>
  <c r="B53" i="73"/>
  <c r="T52" i="73"/>
  <c r="P52" i="73"/>
  <c r="H52" i="73"/>
  <c r="F52" i="73"/>
  <c r="D52" i="73"/>
  <c r="B52" i="73"/>
  <c r="T51" i="73"/>
  <c r="P51" i="73"/>
  <c r="X51" i="73" s="1"/>
  <c r="Z51" i="73" s="1"/>
  <c r="H51" i="73"/>
  <c r="D51" i="73"/>
  <c r="Z47" i="73"/>
  <c r="X47" i="73"/>
  <c r="N47" i="73"/>
  <c r="L47" i="73"/>
  <c r="B47" i="73"/>
  <c r="Z46" i="73"/>
  <c r="X46" i="73"/>
  <c r="L46" i="73"/>
  <c r="N46" i="73" s="1"/>
  <c r="B46" i="73"/>
  <c r="Z45" i="73"/>
  <c r="X45" i="73"/>
  <c r="N45" i="73"/>
  <c r="L45" i="73"/>
  <c r="B45" i="73"/>
  <c r="Z44" i="73"/>
  <c r="X44" i="73"/>
  <c r="L44" i="73"/>
  <c r="N44" i="73" s="1"/>
  <c r="B44" i="73"/>
  <c r="Z43" i="73"/>
  <c r="X43" i="73"/>
  <c r="L43" i="73"/>
  <c r="N43" i="73" s="1"/>
  <c r="B43" i="73"/>
  <c r="Z42" i="73"/>
  <c r="X42" i="73"/>
  <c r="L42" i="73"/>
  <c r="N42" i="73" s="1"/>
  <c r="B42" i="73"/>
  <c r="Z41" i="73"/>
  <c r="X41" i="73"/>
  <c r="N41" i="73"/>
  <c r="L41" i="73"/>
  <c r="B41" i="73"/>
  <c r="Z40" i="73"/>
  <c r="X40" i="73"/>
  <c r="N40" i="73"/>
  <c r="L40" i="73"/>
  <c r="B40" i="73"/>
  <c r="Z39" i="73"/>
  <c r="X39" i="73"/>
  <c r="N39" i="73"/>
  <c r="L39" i="73"/>
  <c r="B39" i="73"/>
  <c r="Z38" i="73"/>
  <c r="X38" i="73"/>
  <c r="L38" i="73"/>
  <c r="N38" i="73" s="1"/>
  <c r="B38" i="73"/>
  <c r="Z37" i="73"/>
  <c r="X37" i="73"/>
  <c r="L37" i="73"/>
  <c r="N37" i="73" s="1"/>
  <c r="B37" i="73"/>
  <c r="Z36" i="73"/>
  <c r="X36" i="73"/>
  <c r="L36" i="73"/>
  <c r="N36" i="73" s="1"/>
  <c r="B36" i="73"/>
  <c r="Z35" i="73"/>
  <c r="X35" i="73"/>
  <c r="L35" i="73"/>
  <c r="N35" i="73" s="1"/>
  <c r="B35" i="73"/>
  <c r="Z34" i="73"/>
  <c r="X34" i="73"/>
  <c r="L34" i="73"/>
  <c r="N34" i="73" s="1"/>
  <c r="B34" i="73"/>
  <c r="T33" i="73"/>
  <c r="P33" i="73"/>
  <c r="H33" i="73"/>
  <c r="D33" i="73"/>
  <c r="L33" i="73" s="1"/>
  <c r="N33" i="73" s="1"/>
  <c r="T31" i="73"/>
  <c r="Z31" i="73" s="1"/>
  <c r="P31" i="73"/>
  <c r="X31" i="73" s="1"/>
  <c r="L31" i="73"/>
  <c r="H31" i="73"/>
  <c r="N31" i="73" s="1"/>
  <c r="D31" i="73"/>
  <c r="B31" i="73"/>
  <c r="T30" i="73"/>
  <c r="P30" i="73"/>
  <c r="H30" i="73"/>
  <c r="D30" i="73"/>
  <c r="B30" i="73"/>
  <c r="T29" i="73"/>
  <c r="P29" i="73"/>
  <c r="L29" i="73"/>
  <c r="N29" i="73" s="1"/>
  <c r="H29" i="73"/>
  <c r="D29" i="73"/>
  <c r="B29" i="73"/>
  <c r="Z28" i="73"/>
  <c r="T28" i="73"/>
  <c r="P28" i="73"/>
  <c r="X28" i="73" s="1"/>
  <c r="L28" i="73"/>
  <c r="N28" i="73" s="1"/>
  <c r="H28" i="73"/>
  <c r="D28" i="73"/>
  <c r="B28" i="73"/>
  <c r="T27" i="73"/>
  <c r="Z27" i="73" s="1"/>
  <c r="P27" i="73"/>
  <c r="X27" i="73" s="1"/>
  <c r="L27" i="73"/>
  <c r="H27" i="73"/>
  <c r="N27" i="73" s="1"/>
  <c r="D27" i="73"/>
  <c r="B27" i="73"/>
  <c r="T26" i="73"/>
  <c r="P26" i="73"/>
  <c r="H26" i="73"/>
  <c r="D26" i="73"/>
  <c r="B26" i="73"/>
  <c r="T25" i="73"/>
  <c r="P25" i="73"/>
  <c r="L25" i="73"/>
  <c r="N25" i="73" s="1"/>
  <c r="H25" i="73"/>
  <c r="D25" i="73"/>
  <c r="B25" i="73"/>
  <c r="Z24" i="73"/>
  <c r="T24" i="73"/>
  <c r="P24" i="73"/>
  <c r="X24" i="73" s="1"/>
  <c r="L24" i="73"/>
  <c r="N24" i="73" s="1"/>
  <c r="H24" i="73"/>
  <c r="D24" i="73"/>
  <c r="B24" i="73"/>
  <c r="T23" i="73"/>
  <c r="Z23" i="73" s="1"/>
  <c r="P23" i="73"/>
  <c r="X23" i="73" s="1"/>
  <c r="L23" i="73"/>
  <c r="H23" i="73"/>
  <c r="N23" i="73" s="1"/>
  <c r="D23" i="73"/>
  <c r="B23" i="73"/>
  <c r="T22" i="73"/>
  <c r="P22" i="73"/>
  <c r="H22" i="73"/>
  <c r="D22" i="73"/>
  <c r="B22" i="73"/>
  <c r="T21" i="73"/>
  <c r="P21" i="73"/>
  <c r="L21" i="73"/>
  <c r="N21" i="73" s="1"/>
  <c r="H21" i="73"/>
  <c r="D21" i="73"/>
  <c r="B21" i="73"/>
  <c r="Z20" i="73"/>
  <c r="T20" i="73"/>
  <c r="P20" i="73"/>
  <c r="X20" i="73" s="1"/>
  <c r="L20" i="73"/>
  <c r="N20" i="73" s="1"/>
  <c r="H20" i="73"/>
  <c r="D20" i="73"/>
  <c r="B20" i="73"/>
  <c r="T19" i="73"/>
  <c r="Z19" i="73" s="1"/>
  <c r="P19" i="73"/>
  <c r="X19" i="73" s="1"/>
  <c r="L19" i="73"/>
  <c r="H19" i="73"/>
  <c r="N19" i="73" s="1"/>
  <c r="D19" i="73"/>
  <c r="B19" i="73"/>
  <c r="T18" i="73"/>
  <c r="P18" i="73"/>
  <c r="H18" i="73"/>
  <c r="D18" i="73"/>
  <c r="B18" i="73"/>
  <c r="T17" i="73"/>
  <c r="P17" i="73"/>
  <c r="L17" i="73"/>
  <c r="N17" i="73" s="1"/>
  <c r="H17" i="73"/>
  <c r="D17" i="73"/>
  <c r="B17" i="73"/>
  <c r="Z16" i="73"/>
  <c r="T16" i="73"/>
  <c r="P16" i="73"/>
  <c r="X16" i="73" s="1"/>
  <c r="L16" i="73"/>
  <c r="N16" i="73" s="1"/>
  <c r="H16" i="73"/>
  <c r="D16" i="73"/>
  <c r="B16" i="73"/>
  <c r="T15" i="73"/>
  <c r="P15" i="73"/>
  <c r="L15" i="73"/>
  <c r="H15" i="73"/>
  <c r="N15" i="73" s="1"/>
  <c r="D15" i="73"/>
  <c r="B15" i="73"/>
  <c r="T14" i="73"/>
  <c r="P14" i="73"/>
  <c r="H14" i="73"/>
  <c r="D14" i="73"/>
  <c r="B14" i="73"/>
  <c r="T13" i="73"/>
  <c r="T12" i="73" s="1"/>
  <c r="P13" i="73"/>
  <c r="L13" i="73"/>
  <c r="N13" i="73" s="1"/>
  <c r="H13" i="73"/>
  <c r="D13" i="73"/>
  <c r="B13" i="73"/>
  <c r="D12" i="73"/>
  <c r="F82" i="73" s="1"/>
  <c r="D6" i="73"/>
  <c r="D4" i="73"/>
  <c r="X74" i="72"/>
  <c r="Z74" i="72" s="1"/>
  <c r="N74" i="72"/>
  <c r="L74" i="72"/>
  <c r="T70" i="72"/>
  <c r="Z70" i="72" s="1"/>
  <c r="P70" i="72"/>
  <c r="X70" i="72" s="1"/>
  <c r="N70" i="72"/>
  <c r="H70" i="72"/>
  <c r="D70" i="72"/>
  <c r="L70" i="72" s="1"/>
  <c r="X68" i="72"/>
  <c r="Z68" i="72" s="1"/>
  <c r="L68" i="72"/>
  <c r="N68" i="72" s="1"/>
  <c r="J68" i="72"/>
  <c r="B68" i="72"/>
  <c r="T67" i="72"/>
  <c r="P67" i="72"/>
  <c r="X67" i="72" s="1"/>
  <c r="Z67" i="72" s="1"/>
  <c r="H67" i="72"/>
  <c r="D67" i="72"/>
  <c r="L67" i="72" s="1"/>
  <c r="B67" i="72"/>
  <c r="X66" i="72"/>
  <c r="Z66" i="72" s="1"/>
  <c r="N66" i="72"/>
  <c r="L66" i="72"/>
  <c r="B66" i="72"/>
  <c r="X65" i="72"/>
  <c r="T65" i="72"/>
  <c r="Z65" i="72" s="1"/>
  <c r="P65" i="72"/>
  <c r="H65" i="72"/>
  <c r="D65" i="72"/>
  <c r="L65" i="72" s="1"/>
  <c r="N65" i="72" s="1"/>
  <c r="B65" i="72"/>
  <c r="Z64" i="72"/>
  <c r="X64" i="72"/>
  <c r="L64" i="72"/>
  <c r="N64" i="72" s="1"/>
  <c r="B64" i="72"/>
  <c r="X63" i="72"/>
  <c r="Z63" i="72" s="1"/>
  <c r="N63" i="72"/>
  <c r="L63" i="72"/>
  <c r="B63" i="72"/>
  <c r="Z62" i="72"/>
  <c r="X62" i="72"/>
  <c r="N62" i="72"/>
  <c r="L62" i="72"/>
  <c r="B62" i="72"/>
  <c r="Z61" i="72"/>
  <c r="X61" i="72"/>
  <c r="N61" i="72"/>
  <c r="L61" i="72"/>
  <c r="B61" i="72"/>
  <c r="Z60" i="72"/>
  <c r="X60" i="72"/>
  <c r="N60" i="72"/>
  <c r="L60" i="72"/>
  <c r="B60" i="72"/>
  <c r="X59" i="72"/>
  <c r="Z59" i="72" s="1"/>
  <c r="T59" i="72"/>
  <c r="P59" i="72"/>
  <c r="H59" i="72"/>
  <c r="L59" i="72" s="1"/>
  <c r="N59" i="72" s="1"/>
  <c r="D59" i="72"/>
  <c r="B59" i="72"/>
  <c r="Z58" i="72"/>
  <c r="X58" i="72"/>
  <c r="L58" i="72"/>
  <c r="N58" i="72" s="1"/>
  <c r="B58" i="72"/>
  <c r="T57" i="72"/>
  <c r="P57" i="72"/>
  <c r="X57" i="72" s="1"/>
  <c r="H57" i="72"/>
  <c r="D57" i="72"/>
  <c r="L57" i="72" s="1"/>
  <c r="N57" i="72" s="1"/>
  <c r="B57" i="72"/>
  <c r="X56" i="72"/>
  <c r="Z56" i="72" s="1"/>
  <c r="N56" i="72"/>
  <c r="L56" i="72"/>
  <c r="B56" i="72"/>
  <c r="Z55" i="72"/>
  <c r="X55" i="72"/>
  <c r="N55" i="72"/>
  <c r="L55" i="72"/>
  <c r="B55" i="72"/>
  <c r="X54" i="72"/>
  <c r="Z54" i="72" s="1"/>
  <c r="N54" i="72"/>
  <c r="L54" i="72"/>
  <c r="B54" i="72"/>
  <c r="X53" i="72"/>
  <c r="T53" i="72"/>
  <c r="Z53" i="72" s="1"/>
  <c r="P53" i="72"/>
  <c r="H53" i="72"/>
  <c r="D53" i="72"/>
  <c r="L53" i="72" s="1"/>
  <c r="N53" i="72" s="1"/>
  <c r="B53" i="72"/>
  <c r="Z52" i="72"/>
  <c r="X52" i="72"/>
  <c r="N52" i="72"/>
  <c r="L52" i="72"/>
  <c r="B52" i="72"/>
  <c r="X51" i="72"/>
  <c r="Z51" i="72" s="1"/>
  <c r="T51" i="72"/>
  <c r="P51" i="72"/>
  <c r="H51" i="72"/>
  <c r="L51" i="72" s="1"/>
  <c r="N51" i="72" s="1"/>
  <c r="D51" i="72"/>
  <c r="B51" i="72"/>
  <c r="Z50" i="72"/>
  <c r="X50" i="72"/>
  <c r="L50" i="72"/>
  <c r="N50" i="72" s="1"/>
  <c r="B50" i="72"/>
  <c r="T49" i="72"/>
  <c r="P49" i="72"/>
  <c r="X49" i="72" s="1"/>
  <c r="H49" i="72"/>
  <c r="D49" i="72"/>
  <c r="L49" i="72" s="1"/>
  <c r="N49" i="72" s="1"/>
  <c r="B49" i="72"/>
  <c r="X48" i="72"/>
  <c r="Z48" i="72" s="1"/>
  <c r="N48" i="72"/>
  <c r="L48" i="72"/>
  <c r="B48" i="72"/>
  <c r="T47" i="72"/>
  <c r="Z47" i="72" s="1"/>
  <c r="P47" i="72"/>
  <c r="X47" i="72" s="1"/>
  <c r="L47" i="72"/>
  <c r="N47" i="72" s="1"/>
  <c r="H47" i="72"/>
  <c r="D47" i="72"/>
  <c r="B47" i="72"/>
  <c r="Z46" i="72"/>
  <c r="X46" i="72"/>
  <c r="N46" i="72"/>
  <c r="L46" i="72"/>
  <c r="B46" i="72"/>
  <c r="T45" i="72"/>
  <c r="P45" i="72"/>
  <c r="L45" i="72"/>
  <c r="N45" i="72" s="1"/>
  <c r="H45" i="72"/>
  <c r="D45" i="72"/>
  <c r="B45" i="72"/>
  <c r="Z44" i="72"/>
  <c r="X44" i="72"/>
  <c r="L44" i="72"/>
  <c r="N44" i="72" s="1"/>
  <c r="J44" i="72"/>
  <c r="B44" i="72"/>
  <c r="T43" i="72"/>
  <c r="P43" i="72"/>
  <c r="X43" i="72" s="1"/>
  <c r="Z43" i="72" s="1"/>
  <c r="H43" i="72"/>
  <c r="D43" i="72"/>
  <c r="B43" i="72"/>
  <c r="X42" i="72"/>
  <c r="Z42" i="72" s="1"/>
  <c r="N42" i="72"/>
  <c r="L42" i="72"/>
  <c r="B42" i="72"/>
  <c r="X41" i="72"/>
  <c r="T41" i="72"/>
  <c r="Z41" i="72" s="1"/>
  <c r="P41" i="72"/>
  <c r="H41" i="72"/>
  <c r="D41" i="72"/>
  <c r="L41" i="72" s="1"/>
  <c r="N41" i="72" s="1"/>
  <c r="B41" i="72"/>
  <c r="Z40" i="72"/>
  <c r="X40" i="72"/>
  <c r="N40" i="72"/>
  <c r="L40" i="72"/>
  <c r="B40" i="72"/>
  <c r="X39" i="72"/>
  <c r="Z39" i="72" s="1"/>
  <c r="N39" i="72"/>
  <c r="L39" i="72"/>
  <c r="B39" i="72"/>
  <c r="Z38" i="72"/>
  <c r="X38" i="72"/>
  <c r="N38" i="72"/>
  <c r="L38" i="72"/>
  <c r="B38" i="72"/>
  <c r="Z37" i="72"/>
  <c r="X37" i="72"/>
  <c r="N37" i="72"/>
  <c r="L37" i="72"/>
  <c r="J37" i="72"/>
  <c r="F37" i="72"/>
  <c r="B37" i="72"/>
  <c r="Z36" i="72"/>
  <c r="X36" i="72"/>
  <c r="N36" i="72"/>
  <c r="L36" i="72"/>
  <c r="B36" i="72"/>
  <c r="X35" i="72"/>
  <c r="Z35" i="72" s="1"/>
  <c r="T35" i="72"/>
  <c r="P35" i="72"/>
  <c r="H35" i="72"/>
  <c r="D35" i="72"/>
  <c r="B35" i="72"/>
  <c r="Z34" i="72"/>
  <c r="X34" i="72"/>
  <c r="L34" i="72"/>
  <c r="N34" i="72" s="1"/>
  <c r="B34" i="72"/>
  <c r="Z33" i="72"/>
  <c r="X33" i="72"/>
  <c r="L33" i="72"/>
  <c r="N33" i="72" s="1"/>
  <c r="B33" i="72"/>
  <c r="Z32" i="72"/>
  <c r="X32" i="72"/>
  <c r="L32" i="72"/>
  <c r="N32" i="72" s="1"/>
  <c r="J32" i="72"/>
  <c r="B32" i="72"/>
  <c r="Z31" i="72"/>
  <c r="X31" i="72"/>
  <c r="L31" i="72"/>
  <c r="N31" i="72" s="1"/>
  <c r="B31" i="72"/>
  <c r="Z30" i="72"/>
  <c r="X30" i="72"/>
  <c r="L30" i="72"/>
  <c r="N30" i="72" s="1"/>
  <c r="B30" i="72"/>
  <c r="Z29" i="72"/>
  <c r="X29" i="72"/>
  <c r="L29" i="72"/>
  <c r="N29" i="72" s="1"/>
  <c r="B29" i="72"/>
  <c r="Z28" i="72"/>
  <c r="X28" i="72"/>
  <c r="L28" i="72"/>
  <c r="N28" i="72" s="1"/>
  <c r="J28" i="72"/>
  <c r="B28" i="72"/>
  <c r="Z27" i="72"/>
  <c r="X27" i="72"/>
  <c r="L27" i="72"/>
  <c r="N27" i="72" s="1"/>
  <c r="B27" i="72"/>
  <c r="T26" i="72"/>
  <c r="P26" i="72"/>
  <c r="X26" i="72" s="1"/>
  <c r="Z26" i="72" s="1"/>
  <c r="J26" i="72"/>
  <c r="H26" i="72"/>
  <c r="N26" i="72" s="1"/>
  <c r="D26" i="72"/>
  <c r="L26" i="72" s="1"/>
  <c r="B26" i="72"/>
  <c r="X25" i="72"/>
  <c r="T25" i="72"/>
  <c r="Z25" i="72" s="1"/>
  <c r="P25" i="72"/>
  <c r="H25" i="72"/>
  <c r="D25" i="72"/>
  <c r="L25" i="72" s="1"/>
  <c r="X21" i="72"/>
  <c r="Z21" i="72" s="1"/>
  <c r="N21" i="72"/>
  <c r="L21" i="72"/>
  <c r="B21" i="72"/>
  <c r="X20" i="72"/>
  <c r="Z20" i="72" s="1"/>
  <c r="N20" i="72"/>
  <c r="L20" i="72"/>
  <c r="B20" i="72"/>
  <c r="T19" i="72"/>
  <c r="P19" i="72"/>
  <c r="X19" i="72" s="1"/>
  <c r="L19" i="72"/>
  <c r="H19" i="72"/>
  <c r="N19" i="72" s="1"/>
  <c r="D19" i="72"/>
  <c r="X17" i="72"/>
  <c r="T17" i="72"/>
  <c r="Z17" i="72" s="1"/>
  <c r="P17" i="72"/>
  <c r="L17" i="72"/>
  <c r="N17" i="72" s="1"/>
  <c r="H17" i="72"/>
  <c r="D17" i="72"/>
  <c r="B17" i="72"/>
  <c r="X16" i="72"/>
  <c r="T16" i="72"/>
  <c r="Z16" i="72" s="1"/>
  <c r="P16" i="72"/>
  <c r="H16" i="72"/>
  <c r="D16" i="72"/>
  <c r="L16" i="72" s="1"/>
  <c r="N16" i="72" s="1"/>
  <c r="B16" i="72"/>
  <c r="X15" i="72"/>
  <c r="T15" i="72"/>
  <c r="Z15" i="72" s="1"/>
  <c r="P15" i="72"/>
  <c r="H15" i="72"/>
  <c r="D15" i="72"/>
  <c r="L15" i="72" s="1"/>
  <c r="N15" i="72" s="1"/>
  <c r="B15" i="72"/>
  <c r="T14" i="72"/>
  <c r="P14" i="72"/>
  <c r="H14" i="72"/>
  <c r="D14" i="72"/>
  <c r="L14" i="72" s="1"/>
  <c r="N14" i="72" s="1"/>
  <c r="B14" i="72"/>
  <c r="X13" i="72"/>
  <c r="T13" i="72"/>
  <c r="Z13" i="72" s="1"/>
  <c r="P13" i="72"/>
  <c r="P12" i="72" s="1"/>
  <c r="R29" i="72" s="1"/>
  <c r="N13" i="72"/>
  <c r="L13" i="72"/>
  <c r="H13" i="72"/>
  <c r="D13" i="72"/>
  <c r="B13" i="72"/>
  <c r="H12" i="72"/>
  <c r="J63" i="72" s="1"/>
  <c r="D12" i="72"/>
  <c r="D6" i="72"/>
  <c r="D4" i="72"/>
  <c r="Z115" i="70"/>
  <c r="X115" i="70"/>
  <c r="N115" i="70"/>
  <c r="L115" i="70"/>
  <c r="X111" i="70"/>
  <c r="T111" i="70"/>
  <c r="Z111" i="70" s="1"/>
  <c r="P111" i="70"/>
  <c r="L111" i="70"/>
  <c r="H111" i="70"/>
  <c r="N111" i="70" s="1"/>
  <c r="D111" i="70"/>
  <c r="B111" i="70"/>
  <c r="T110" i="70"/>
  <c r="P110" i="70"/>
  <c r="N110" i="70"/>
  <c r="L110" i="70"/>
  <c r="H110" i="70"/>
  <c r="H108" i="70" s="1"/>
  <c r="D110" i="70"/>
  <c r="B110" i="70"/>
  <c r="T109" i="70"/>
  <c r="P109" i="70"/>
  <c r="X109" i="70" s="1"/>
  <c r="Z109" i="70" s="1"/>
  <c r="N109" i="70"/>
  <c r="H109" i="70"/>
  <c r="D109" i="70"/>
  <c r="L109" i="70" s="1"/>
  <c r="B109" i="70"/>
  <c r="P108" i="70"/>
  <c r="D108" i="70"/>
  <c r="Z106" i="70"/>
  <c r="X106" i="70"/>
  <c r="N106" i="70"/>
  <c r="L106" i="70"/>
  <c r="B106" i="70"/>
  <c r="X105" i="70"/>
  <c r="T105" i="70"/>
  <c r="Z105" i="70" s="1"/>
  <c r="P105" i="70"/>
  <c r="L105" i="70"/>
  <c r="H105" i="70"/>
  <c r="N105" i="70" s="1"/>
  <c r="D105" i="70"/>
  <c r="B105" i="70"/>
  <c r="X104" i="70"/>
  <c r="Z104" i="70" s="1"/>
  <c r="N104" i="70"/>
  <c r="L104" i="70"/>
  <c r="B104" i="70"/>
  <c r="T103" i="70"/>
  <c r="P103" i="70"/>
  <c r="H103" i="70"/>
  <c r="N103" i="70" s="1"/>
  <c r="D103" i="70"/>
  <c r="B103" i="70"/>
  <c r="Z102" i="70"/>
  <c r="X102" i="70"/>
  <c r="L102" i="70"/>
  <c r="N102" i="70" s="1"/>
  <c r="B102" i="70"/>
  <c r="Z101" i="70"/>
  <c r="X101" i="70"/>
  <c r="L101" i="70"/>
  <c r="N101" i="70" s="1"/>
  <c r="B101" i="70"/>
  <c r="T100" i="70"/>
  <c r="P100" i="70"/>
  <c r="H100" i="70"/>
  <c r="D100" i="70"/>
  <c r="L100" i="70" s="1"/>
  <c r="B100" i="70"/>
  <c r="X99" i="70"/>
  <c r="Z99" i="70" s="1"/>
  <c r="N99" i="70"/>
  <c r="L99" i="70"/>
  <c r="B99" i="70"/>
  <c r="X98" i="70"/>
  <c r="Z98" i="70" s="1"/>
  <c r="N98" i="70"/>
  <c r="L98" i="70"/>
  <c r="B98" i="70"/>
  <c r="X97" i="70"/>
  <c r="Z97" i="70" s="1"/>
  <c r="N97" i="70"/>
  <c r="L97" i="70"/>
  <c r="B97" i="70"/>
  <c r="X96" i="70"/>
  <c r="Z96" i="70" s="1"/>
  <c r="T96" i="70"/>
  <c r="P96" i="70"/>
  <c r="H96" i="70"/>
  <c r="D96" i="70"/>
  <c r="L96" i="70" s="1"/>
  <c r="N96" i="70" s="1"/>
  <c r="B96" i="70"/>
  <c r="Z95" i="70"/>
  <c r="X95" i="70"/>
  <c r="N95" i="70"/>
  <c r="L95" i="70"/>
  <c r="B95" i="70"/>
  <c r="T94" i="70"/>
  <c r="P94" i="70"/>
  <c r="L94" i="70"/>
  <c r="H94" i="70"/>
  <c r="N94" i="70" s="1"/>
  <c r="D94" i="70"/>
  <c r="B94" i="70"/>
  <c r="Z93" i="70"/>
  <c r="X93" i="70"/>
  <c r="N93" i="70"/>
  <c r="L93" i="70"/>
  <c r="B93" i="70"/>
  <c r="Z92" i="70"/>
  <c r="X92" i="70"/>
  <c r="N92" i="70"/>
  <c r="L92" i="70"/>
  <c r="B92" i="70"/>
  <c r="T91" i="70"/>
  <c r="P91" i="70"/>
  <c r="N91" i="70"/>
  <c r="H91" i="70"/>
  <c r="D91" i="70"/>
  <c r="L91" i="70" s="1"/>
  <c r="B91" i="70"/>
  <c r="X90" i="70"/>
  <c r="Z90" i="70" s="1"/>
  <c r="N90" i="70"/>
  <c r="L90" i="70"/>
  <c r="B90" i="70"/>
  <c r="T89" i="70"/>
  <c r="P89" i="70"/>
  <c r="X89" i="70" s="1"/>
  <c r="H89" i="70"/>
  <c r="D89" i="70"/>
  <c r="B89" i="70"/>
  <c r="X88" i="70"/>
  <c r="Z88" i="70" s="1"/>
  <c r="V88" i="70"/>
  <c r="R88" i="70"/>
  <c r="N88" i="70"/>
  <c r="L88" i="70"/>
  <c r="B88" i="70"/>
  <c r="T87" i="70"/>
  <c r="P87" i="70"/>
  <c r="X87" i="70" s="1"/>
  <c r="Z87" i="70" s="1"/>
  <c r="N87" i="70"/>
  <c r="L87" i="70"/>
  <c r="H87" i="70"/>
  <c r="D87" i="70"/>
  <c r="B87" i="70"/>
  <c r="X86" i="70"/>
  <c r="Z86" i="70" s="1"/>
  <c r="L86" i="70"/>
  <c r="N86" i="70" s="1"/>
  <c r="B86" i="70"/>
  <c r="Z85" i="70"/>
  <c r="X85" i="70"/>
  <c r="N85" i="70"/>
  <c r="L85" i="70"/>
  <c r="B85" i="70"/>
  <c r="T84" i="70"/>
  <c r="P84" i="70"/>
  <c r="X84" i="70" s="1"/>
  <c r="Z84" i="70" s="1"/>
  <c r="L84" i="70"/>
  <c r="H84" i="70"/>
  <c r="D84" i="70"/>
  <c r="B84" i="70"/>
  <c r="X83" i="70"/>
  <c r="Z83" i="70" s="1"/>
  <c r="N83" i="70"/>
  <c r="L83" i="70"/>
  <c r="B83" i="70"/>
  <c r="X82" i="70"/>
  <c r="Z82" i="70" s="1"/>
  <c r="T82" i="70"/>
  <c r="P82" i="70"/>
  <c r="H82" i="70"/>
  <c r="D82" i="70"/>
  <c r="L82" i="70" s="1"/>
  <c r="B82" i="70"/>
  <c r="Z81" i="70"/>
  <c r="X81" i="70"/>
  <c r="N81" i="70"/>
  <c r="L81" i="70"/>
  <c r="B81" i="70"/>
  <c r="T80" i="70"/>
  <c r="P80" i="70"/>
  <c r="H80" i="70"/>
  <c r="N80" i="70" s="1"/>
  <c r="D80" i="70"/>
  <c r="L80" i="70" s="1"/>
  <c r="B80" i="70"/>
  <c r="X79" i="70"/>
  <c r="Z79" i="70" s="1"/>
  <c r="L79" i="70"/>
  <c r="N79" i="70" s="1"/>
  <c r="B79" i="70"/>
  <c r="X78" i="70"/>
  <c r="Z78" i="70" s="1"/>
  <c r="L78" i="70"/>
  <c r="N78" i="70" s="1"/>
  <c r="B78" i="70"/>
  <c r="Z77" i="70"/>
  <c r="X77" i="70"/>
  <c r="T77" i="70"/>
  <c r="P77" i="70"/>
  <c r="L77" i="70"/>
  <c r="N77" i="70" s="1"/>
  <c r="H77" i="70"/>
  <c r="D77" i="70"/>
  <c r="B77" i="70"/>
  <c r="X76" i="70"/>
  <c r="Z76" i="70" s="1"/>
  <c r="R76" i="70"/>
  <c r="L76" i="70"/>
  <c r="N76" i="70" s="1"/>
  <c r="B76" i="70"/>
  <c r="X75" i="70"/>
  <c r="T75" i="70"/>
  <c r="Z75" i="70" s="1"/>
  <c r="P75" i="70"/>
  <c r="H75" i="70"/>
  <c r="D75" i="70"/>
  <c r="B75" i="70"/>
  <c r="X74" i="70"/>
  <c r="Z74" i="70" s="1"/>
  <c r="L74" i="70"/>
  <c r="N74" i="70" s="1"/>
  <c r="B74" i="70"/>
  <c r="Z73" i="70"/>
  <c r="X73" i="70"/>
  <c r="N73" i="70"/>
  <c r="L73" i="70"/>
  <c r="B73" i="70"/>
  <c r="X72" i="70"/>
  <c r="Z72" i="70" s="1"/>
  <c r="N72" i="70"/>
  <c r="L72" i="70"/>
  <c r="B72" i="70"/>
  <c r="Z71" i="70"/>
  <c r="X71" i="70"/>
  <c r="L71" i="70"/>
  <c r="N71" i="70" s="1"/>
  <c r="B71" i="70"/>
  <c r="X70" i="70"/>
  <c r="Z70" i="70" s="1"/>
  <c r="L70" i="70"/>
  <c r="N70" i="70" s="1"/>
  <c r="B70" i="70"/>
  <c r="Z69" i="70"/>
  <c r="X69" i="70"/>
  <c r="N69" i="70"/>
  <c r="L69" i="70"/>
  <c r="B69" i="70"/>
  <c r="T68" i="70"/>
  <c r="P68" i="70"/>
  <c r="H68" i="70"/>
  <c r="D68" i="70"/>
  <c r="L68" i="70" s="1"/>
  <c r="B68" i="70"/>
  <c r="X67" i="70"/>
  <c r="Z67" i="70" s="1"/>
  <c r="L67" i="70"/>
  <c r="N67" i="70" s="1"/>
  <c r="B67" i="70"/>
  <c r="X66" i="70"/>
  <c r="Z66" i="70" s="1"/>
  <c r="N66" i="70"/>
  <c r="L66" i="70"/>
  <c r="B66" i="70"/>
  <c r="Z65" i="70"/>
  <c r="X65" i="70"/>
  <c r="N65" i="70"/>
  <c r="L65" i="70"/>
  <c r="B65" i="70"/>
  <c r="Z64" i="70"/>
  <c r="X64" i="70"/>
  <c r="L64" i="70"/>
  <c r="N64" i="70" s="1"/>
  <c r="B64" i="70"/>
  <c r="X63" i="70"/>
  <c r="Z63" i="70" s="1"/>
  <c r="L63" i="70"/>
  <c r="N63" i="70" s="1"/>
  <c r="B63" i="70"/>
  <c r="X62" i="70"/>
  <c r="Z62" i="70" s="1"/>
  <c r="L62" i="70"/>
  <c r="N62" i="70" s="1"/>
  <c r="B62" i="70"/>
  <c r="Z61" i="70"/>
  <c r="X61" i="70"/>
  <c r="N61" i="70"/>
  <c r="L61" i="70"/>
  <c r="B61" i="70"/>
  <c r="Z60" i="70"/>
  <c r="X60" i="70"/>
  <c r="L60" i="70"/>
  <c r="N60" i="70" s="1"/>
  <c r="B60" i="70"/>
  <c r="X59" i="70"/>
  <c r="Z59" i="70" s="1"/>
  <c r="L59" i="70"/>
  <c r="N59" i="70" s="1"/>
  <c r="B59" i="70"/>
  <c r="T58" i="70"/>
  <c r="P58" i="70"/>
  <c r="X58" i="70" s="1"/>
  <c r="H58" i="70"/>
  <c r="D58" i="70"/>
  <c r="L58" i="70" s="1"/>
  <c r="N58" i="70" s="1"/>
  <c r="B58" i="70"/>
  <c r="T57" i="70"/>
  <c r="P57" i="70"/>
  <c r="H57" i="70"/>
  <c r="D57" i="70"/>
  <c r="Z53" i="70"/>
  <c r="X53" i="70"/>
  <c r="N53" i="70"/>
  <c r="L53" i="70"/>
  <c r="B53" i="70"/>
  <c r="X52" i="70"/>
  <c r="Z52" i="70" s="1"/>
  <c r="L52" i="70"/>
  <c r="N52" i="70" s="1"/>
  <c r="B52" i="70"/>
  <c r="X51" i="70"/>
  <c r="Z51" i="70" s="1"/>
  <c r="N51" i="70"/>
  <c r="L51" i="70"/>
  <c r="B51" i="70"/>
  <c r="X50" i="70"/>
  <c r="Z50" i="70" s="1"/>
  <c r="L50" i="70"/>
  <c r="N50" i="70" s="1"/>
  <c r="B50" i="70"/>
  <c r="Z49" i="70"/>
  <c r="X49" i="70"/>
  <c r="N49" i="70"/>
  <c r="L49" i="70"/>
  <c r="B49" i="70"/>
  <c r="X48" i="70"/>
  <c r="Z48" i="70" s="1"/>
  <c r="N48" i="70"/>
  <c r="L48" i="70"/>
  <c r="B48" i="70"/>
  <c r="X47" i="70"/>
  <c r="Z47" i="70" s="1"/>
  <c r="N47" i="70"/>
  <c r="L47" i="70"/>
  <c r="B47" i="70"/>
  <c r="X46" i="70"/>
  <c r="Z46" i="70" s="1"/>
  <c r="L46" i="70"/>
  <c r="N46" i="70" s="1"/>
  <c r="B46" i="70"/>
  <c r="Z45" i="70"/>
  <c r="X45" i="70"/>
  <c r="N45" i="70"/>
  <c r="L45" i="70"/>
  <c r="B45" i="70"/>
  <c r="X44" i="70"/>
  <c r="Z44" i="70" s="1"/>
  <c r="L44" i="70"/>
  <c r="N44" i="70" s="1"/>
  <c r="B44" i="70"/>
  <c r="X43" i="70"/>
  <c r="Z43" i="70" s="1"/>
  <c r="N43" i="70"/>
  <c r="L43" i="70"/>
  <c r="B43" i="70"/>
  <c r="Z42" i="70"/>
  <c r="X42" i="70"/>
  <c r="L42" i="70"/>
  <c r="N42" i="70" s="1"/>
  <c r="B42" i="70"/>
  <c r="Z41" i="70"/>
  <c r="X41" i="70"/>
  <c r="N41" i="70"/>
  <c r="L41" i="70"/>
  <c r="B41" i="70"/>
  <c r="T40" i="70"/>
  <c r="P40" i="70"/>
  <c r="X40" i="70" s="1"/>
  <c r="N40" i="70"/>
  <c r="L40" i="70"/>
  <c r="H40" i="70"/>
  <c r="D40" i="70"/>
  <c r="T38" i="70"/>
  <c r="P38" i="70"/>
  <c r="X38" i="70" s="1"/>
  <c r="Z38" i="70" s="1"/>
  <c r="H38" i="70"/>
  <c r="D38" i="70"/>
  <c r="L38" i="70" s="1"/>
  <c r="B38" i="70"/>
  <c r="T37" i="70"/>
  <c r="P37" i="70"/>
  <c r="X37" i="70" s="1"/>
  <c r="H37" i="70"/>
  <c r="D37" i="70"/>
  <c r="L37" i="70" s="1"/>
  <c r="B37" i="70"/>
  <c r="X36" i="70"/>
  <c r="Z36" i="70" s="1"/>
  <c r="T36" i="70"/>
  <c r="P36" i="70"/>
  <c r="H36" i="70"/>
  <c r="D36" i="70"/>
  <c r="L36" i="70" s="1"/>
  <c r="B36" i="70"/>
  <c r="T35" i="70"/>
  <c r="P35" i="70"/>
  <c r="X35" i="70" s="1"/>
  <c r="Z35" i="70" s="1"/>
  <c r="N35" i="70"/>
  <c r="L35" i="70"/>
  <c r="H35" i="70"/>
  <c r="D35" i="70"/>
  <c r="B35" i="70"/>
  <c r="T34" i="70"/>
  <c r="P34" i="70"/>
  <c r="X34" i="70" s="1"/>
  <c r="Z34" i="70" s="1"/>
  <c r="H34" i="70"/>
  <c r="D34" i="70"/>
  <c r="B34" i="70"/>
  <c r="T33" i="70"/>
  <c r="P33" i="70"/>
  <c r="X33" i="70" s="1"/>
  <c r="H33" i="70"/>
  <c r="D33" i="70"/>
  <c r="B33" i="70"/>
  <c r="X32" i="70"/>
  <c r="Z32" i="70" s="1"/>
  <c r="T32" i="70"/>
  <c r="P32" i="70"/>
  <c r="H32" i="70"/>
  <c r="N32" i="70" s="1"/>
  <c r="D32" i="70"/>
  <c r="L32" i="70" s="1"/>
  <c r="B32" i="70"/>
  <c r="T31" i="70"/>
  <c r="P31" i="70"/>
  <c r="X31" i="70" s="1"/>
  <c r="Z31" i="70" s="1"/>
  <c r="N31" i="70"/>
  <c r="L31" i="70"/>
  <c r="H31" i="70"/>
  <c r="D31" i="70"/>
  <c r="B31" i="70"/>
  <c r="T30" i="70"/>
  <c r="P30" i="70"/>
  <c r="X30" i="70" s="1"/>
  <c r="Z30" i="70" s="1"/>
  <c r="H30" i="70"/>
  <c r="D30" i="70"/>
  <c r="B30" i="70"/>
  <c r="T29" i="70"/>
  <c r="P29" i="70"/>
  <c r="X29" i="70" s="1"/>
  <c r="H29" i="70"/>
  <c r="D29" i="70"/>
  <c r="B29" i="70"/>
  <c r="Z28" i="70"/>
  <c r="X28" i="70"/>
  <c r="T28" i="70"/>
  <c r="P28" i="70"/>
  <c r="H28" i="70"/>
  <c r="N28" i="70" s="1"/>
  <c r="D28" i="70"/>
  <c r="L28" i="70" s="1"/>
  <c r="B28" i="70"/>
  <c r="Z27" i="70"/>
  <c r="T27" i="70"/>
  <c r="P27" i="70"/>
  <c r="X27" i="70" s="1"/>
  <c r="N27" i="70"/>
  <c r="L27" i="70"/>
  <c r="H27" i="70"/>
  <c r="D27" i="70"/>
  <c r="B27" i="70"/>
  <c r="T26" i="70"/>
  <c r="P26" i="70"/>
  <c r="X26" i="70" s="1"/>
  <c r="Z26" i="70" s="1"/>
  <c r="H26" i="70"/>
  <c r="D26" i="70"/>
  <c r="L26" i="70" s="1"/>
  <c r="B26" i="70"/>
  <c r="T25" i="70"/>
  <c r="Z25" i="70" s="1"/>
  <c r="P25" i="70"/>
  <c r="X25" i="70" s="1"/>
  <c r="H25" i="70"/>
  <c r="D25" i="70"/>
  <c r="B25" i="70"/>
  <c r="X24" i="70"/>
  <c r="Z24" i="70" s="1"/>
  <c r="T24" i="70"/>
  <c r="P24" i="70"/>
  <c r="H24" i="70"/>
  <c r="D24" i="70"/>
  <c r="L24" i="70" s="1"/>
  <c r="B24" i="70"/>
  <c r="Z23" i="70"/>
  <c r="T23" i="70"/>
  <c r="P23" i="70"/>
  <c r="X23" i="70" s="1"/>
  <c r="N23" i="70"/>
  <c r="L23" i="70"/>
  <c r="H23" i="70"/>
  <c r="D23" i="70"/>
  <c r="B23" i="70"/>
  <c r="T22" i="70"/>
  <c r="P22" i="70"/>
  <c r="X22" i="70" s="1"/>
  <c r="Z22" i="70" s="1"/>
  <c r="H22" i="70"/>
  <c r="D22" i="70"/>
  <c r="L22" i="70" s="1"/>
  <c r="B22" i="70"/>
  <c r="T21" i="70"/>
  <c r="P21" i="70"/>
  <c r="X21" i="70" s="1"/>
  <c r="H21" i="70"/>
  <c r="D21" i="70"/>
  <c r="B21" i="70"/>
  <c r="X20" i="70"/>
  <c r="Z20" i="70" s="1"/>
  <c r="T20" i="70"/>
  <c r="P20" i="70"/>
  <c r="H20" i="70"/>
  <c r="D20" i="70"/>
  <c r="L20" i="70" s="1"/>
  <c r="B20" i="70"/>
  <c r="T19" i="70"/>
  <c r="P19" i="70"/>
  <c r="X19" i="70" s="1"/>
  <c r="Z19" i="70" s="1"/>
  <c r="N19" i="70"/>
  <c r="L19" i="70"/>
  <c r="H19" i="70"/>
  <c r="D19" i="70"/>
  <c r="B19" i="70"/>
  <c r="T18" i="70"/>
  <c r="P18" i="70"/>
  <c r="X18" i="70" s="1"/>
  <c r="Z18" i="70" s="1"/>
  <c r="H18" i="70"/>
  <c r="D18" i="70"/>
  <c r="L18" i="70" s="1"/>
  <c r="B18" i="70"/>
  <c r="T17" i="70"/>
  <c r="P17" i="70"/>
  <c r="X17" i="70" s="1"/>
  <c r="H17" i="70"/>
  <c r="D17" i="70"/>
  <c r="B17" i="70"/>
  <c r="Z16" i="70"/>
  <c r="X16" i="70"/>
  <c r="T16" i="70"/>
  <c r="P16" i="70"/>
  <c r="H16" i="70"/>
  <c r="D16" i="70"/>
  <c r="L16" i="70" s="1"/>
  <c r="B16" i="70"/>
  <c r="T15" i="70"/>
  <c r="T12" i="70" s="1"/>
  <c r="P15" i="70"/>
  <c r="X15" i="70" s="1"/>
  <c r="Z15" i="70" s="1"/>
  <c r="N15" i="70"/>
  <c r="L15" i="70"/>
  <c r="H15" i="70"/>
  <c r="D15" i="70"/>
  <c r="B15" i="70"/>
  <c r="T14" i="70"/>
  <c r="P14" i="70"/>
  <c r="X14" i="70" s="1"/>
  <c r="Z14" i="70" s="1"/>
  <c r="H14" i="70"/>
  <c r="D14" i="70"/>
  <c r="B14" i="70"/>
  <c r="T13" i="70"/>
  <c r="Z13" i="70" s="1"/>
  <c r="P13" i="70"/>
  <c r="P12" i="70" s="1"/>
  <c r="R48" i="70" s="1"/>
  <c r="H13" i="70"/>
  <c r="D13" i="70"/>
  <c r="B13" i="70"/>
  <c r="D6" i="70"/>
  <c r="D4" i="70"/>
  <c r="X64" i="69"/>
  <c r="Z64" i="69" s="1"/>
  <c r="N64" i="69"/>
  <c r="L64" i="69"/>
  <c r="T60" i="69"/>
  <c r="Z60" i="69" s="1"/>
  <c r="P60" i="69"/>
  <c r="X60" i="69" s="1"/>
  <c r="N60" i="69"/>
  <c r="L60" i="69"/>
  <c r="H60" i="69"/>
  <c r="D60" i="69"/>
  <c r="X58" i="69"/>
  <c r="Z58" i="69" s="1"/>
  <c r="L58" i="69"/>
  <c r="N58" i="69" s="1"/>
  <c r="B58" i="69"/>
  <c r="T57" i="69"/>
  <c r="P57" i="69"/>
  <c r="X57" i="69" s="1"/>
  <c r="N57" i="69"/>
  <c r="H57" i="69"/>
  <c r="D57" i="69"/>
  <c r="L57" i="69" s="1"/>
  <c r="B57" i="69"/>
  <c r="X56" i="69"/>
  <c r="Z56" i="69" s="1"/>
  <c r="L56" i="69"/>
  <c r="N56" i="69" s="1"/>
  <c r="B56" i="69"/>
  <c r="Z55" i="69"/>
  <c r="X55" i="69"/>
  <c r="N55" i="69"/>
  <c r="L55" i="69"/>
  <c r="B55" i="69"/>
  <c r="X54" i="69"/>
  <c r="Z54" i="69" s="1"/>
  <c r="R54" i="69"/>
  <c r="N54" i="69"/>
  <c r="L54" i="69"/>
  <c r="B54" i="69"/>
  <c r="T53" i="69"/>
  <c r="P53" i="69"/>
  <c r="X53" i="69" s="1"/>
  <c r="Z53" i="69" s="1"/>
  <c r="L53" i="69"/>
  <c r="N53" i="69" s="1"/>
  <c r="H53" i="69"/>
  <c r="D53" i="69"/>
  <c r="B53" i="69"/>
  <c r="X52" i="69"/>
  <c r="Z52" i="69" s="1"/>
  <c r="N52" i="69"/>
  <c r="L52" i="69"/>
  <c r="B52" i="69"/>
  <c r="Z51" i="69"/>
  <c r="X51" i="69"/>
  <c r="N51" i="69"/>
  <c r="L51" i="69"/>
  <c r="B51" i="69"/>
  <c r="Z50" i="69"/>
  <c r="T50" i="69"/>
  <c r="P50" i="69"/>
  <c r="X50" i="69" s="1"/>
  <c r="H50" i="69"/>
  <c r="D50" i="69"/>
  <c r="L50" i="69" s="1"/>
  <c r="B50" i="69"/>
  <c r="X49" i="69"/>
  <c r="Z49" i="69" s="1"/>
  <c r="N49" i="69"/>
  <c r="L49" i="69"/>
  <c r="B49" i="69"/>
  <c r="Z48" i="69"/>
  <c r="X48" i="69"/>
  <c r="N48" i="69"/>
  <c r="L48" i="69"/>
  <c r="B48" i="69"/>
  <c r="T47" i="69"/>
  <c r="R47" i="69"/>
  <c r="P47" i="69"/>
  <c r="X47" i="69" s="1"/>
  <c r="H47" i="69"/>
  <c r="D47" i="69"/>
  <c r="L47" i="69" s="1"/>
  <c r="B47" i="69"/>
  <c r="X46" i="69"/>
  <c r="Z46" i="69" s="1"/>
  <c r="N46" i="69"/>
  <c r="L46" i="69"/>
  <c r="B46" i="69"/>
  <c r="T45" i="69"/>
  <c r="P45" i="69"/>
  <c r="X45" i="69" s="1"/>
  <c r="Z45" i="69" s="1"/>
  <c r="N45" i="69"/>
  <c r="L45" i="69"/>
  <c r="H45" i="69"/>
  <c r="D45" i="69"/>
  <c r="B45" i="69"/>
  <c r="X44" i="69"/>
  <c r="Z44" i="69" s="1"/>
  <c r="L44" i="69"/>
  <c r="N44" i="69" s="1"/>
  <c r="B44" i="69"/>
  <c r="Z43" i="69"/>
  <c r="X43" i="69"/>
  <c r="T43" i="69"/>
  <c r="P43" i="69"/>
  <c r="L43" i="69"/>
  <c r="H43" i="69"/>
  <c r="D43" i="69"/>
  <c r="B43" i="69"/>
  <c r="X42" i="69"/>
  <c r="Z42" i="69" s="1"/>
  <c r="L42" i="69"/>
  <c r="N42" i="69" s="1"/>
  <c r="B42" i="69"/>
  <c r="T41" i="69"/>
  <c r="Z41" i="69" s="1"/>
  <c r="P41" i="69"/>
  <c r="X41" i="69" s="1"/>
  <c r="H41" i="69"/>
  <c r="N41" i="69" s="1"/>
  <c r="D41" i="69"/>
  <c r="L41" i="69" s="1"/>
  <c r="B41" i="69"/>
  <c r="X40" i="69"/>
  <c r="Z40" i="69" s="1"/>
  <c r="L40" i="69"/>
  <c r="N40" i="69" s="1"/>
  <c r="B40" i="69"/>
  <c r="X39" i="69"/>
  <c r="Z39" i="69" s="1"/>
  <c r="T39" i="69"/>
  <c r="P39" i="69"/>
  <c r="H39" i="69"/>
  <c r="D39" i="69"/>
  <c r="L39" i="69" s="1"/>
  <c r="N39" i="69" s="1"/>
  <c r="B39" i="69"/>
  <c r="Z38" i="69"/>
  <c r="X38" i="69"/>
  <c r="L38" i="69"/>
  <c r="N38" i="69" s="1"/>
  <c r="B38" i="69"/>
  <c r="X37" i="69"/>
  <c r="T37" i="69"/>
  <c r="P37" i="69"/>
  <c r="N37" i="69"/>
  <c r="L37" i="69"/>
  <c r="H37" i="69"/>
  <c r="D37" i="69"/>
  <c r="B37" i="69"/>
  <c r="Z36" i="69"/>
  <c r="X36" i="69"/>
  <c r="L36" i="69"/>
  <c r="N36" i="69" s="1"/>
  <c r="B36" i="69"/>
  <c r="Z35" i="69"/>
  <c r="X35" i="69"/>
  <c r="N35" i="69"/>
  <c r="L35" i="69"/>
  <c r="B35" i="69"/>
  <c r="X34" i="69"/>
  <c r="Z34" i="69" s="1"/>
  <c r="R34" i="69"/>
  <c r="L34" i="69"/>
  <c r="N34" i="69" s="1"/>
  <c r="B34" i="69"/>
  <c r="X33" i="69"/>
  <c r="Z33" i="69" s="1"/>
  <c r="N33" i="69"/>
  <c r="L33" i="69"/>
  <c r="B33" i="69"/>
  <c r="X32" i="69"/>
  <c r="Z32" i="69" s="1"/>
  <c r="V32" i="69"/>
  <c r="T32" i="69"/>
  <c r="P32" i="69"/>
  <c r="H32" i="69"/>
  <c r="D32" i="69"/>
  <c r="B32" i="69"/>
  <c r="X31" i="69"/>
  <c r="Z31" i="69" s="1"/>
  <c r="N31" i="69"/>
  <c r="L31" i="69"/>
  <c r="B31" i="69"/>
  <c r="X30" i="69"/>
  <c r="Z30" i="69" s="1"/>
  <c r="V30" i="69"/>
  <c r="N30" i="69"/>
  <c r="L30" i="69"/>
  <c r="B30" i="69"/>
  <c r="Z29" i="69"/>
  <c r="X29" i="69"/>
  <c r="L29" i="69"/>
  <c r="N29" i="69" s="1"/>
  <c r="B29" i="69"/>
  <c r="X28" i="69"/>
  <c r="Z28" i="69" s="1"/>
  <c r="L28" i="69"/>
  <c r="N28" i="69" s="1"/>
  <c r="B28" i="69"/>
  <c r="Z27" i="69"/>
  <c r="X27" i="69"/>
  <c r="N27" i="69"/>
  <c r="L27" i="69"/>
  <c r="B27" i="69"/>
  <c r="X26" i="69"/>
  <c r="Z26" i="69" s="1"/>
  <c r="N26" i="69"/>
  <c r="L26" i="69"/>
  <c r="B26" i="69"/>
  <c r="Z25" i="69"/>
  <c r="X25" i="69"/>
  <c r="L25" i="69"/>
  <c r="N25" i="69" s="1"/>
  <c r="B25" i="69"/>
  <c r="X24" i="69"/>
  <c r="Z24" i="69" s="1"/>
  <c r="L24" i="69"/>
  <c r="N24" i="69" s="1"/>
  <c r="B24" i="69"/>
  <c r="Z23" i="69"/>
  <c r="X23" i="69"/>
  <c r="T23" i="69"/>
  <c r="P23" i="69"/>
  <c r="H23" i="69"/>
  <c r="D23" i="69"/>
  <c r="L23" i="69" s="1"/>
  <c r="N23" i="69" s="1"/>
  <c r="B23" i="69"/>
  <c r="Z22" i="69"/>
  <c r="T22" i="69"/>
  <c r="P22" i="69"/>
  <c r="X22" i="69" s="1"/>
  <c r="L22" i="69"/>
  <c r="H22" i="69"/>
  <c r="N22" i="69" s="1"/>
  <c r="D22" i="69"/>
  <c r="Z18" i="69"/>
  <c r="X18" i="69"/>
  <c r="L18" i="69"/>
  <c r="N18" i="69" s="1"/>
  <c r="B18" i="69"/>
  <c r="X17" i="69"/>
  <c r="Z17" i="69" s="1"/>
  <c r="L17" i="69"/>
  <c r="N17" i="69" s="1"/>
  <c r="B17" i="69"/>
  <c r="T16" i="69"/>
  <c r="R16" i="69"/>
  <c r="P16" i="69"/>
  <c r="X16" i="69" s="1"/>
  <c r="H16" i="69"/>
  <c r="D16" i="69"/>
  <c r="L16" i="69" s="1"/>
  <c r="N16" i="69" s="1"/>
  <c r="X14" i="69"/>
  <c r="Z14" i="69" s="1"/>
  <c r="T14" i="69"/>
  <c r="P14" i="69"/>
  <c r="P12" i="69" s="1"/>
  <c r="R64" i="69" s="1"/>
  <c r="N14" i="69"/>
  <c r="L14" i="69"/>
  <c r="H14" i="69"/>
  <c r="D14" i="69"/>
  <c r="B14" i="69"/>
  <c r="T13" i="69"/>
  <c r="T12" i="69" s="1"/>
  <c r="V26" i="69" s="1"/>
  <c r="P13" i="69"/>
  <c r="H13" i="69"/>
  <c r="D13" i="69"/>
  <c r="B13" i="69"/>
  <c r="D6" i="69"/>
  <c r="D4" i="69"/>
  <c r="X106" i="68"/>
  <c r="Z106" i="68" s="1"/>
  <c r="L106" i="68"/>
  <c r="N106" i="68" s="1"/>
  <c r="T102" i="68"/>
  <c r="Z102" i="68" s="1"/>
  <c r="P102" i="68"/>
  <c r="N102" i="68"/>
  <c r="H102" i="68"/>
  <c r="D102" i="68"/>
  <c r="L102" i="68" s="1"/>
  <c r="X100" i="68"/>
  <c r="Z100" i="68" s="1"/>
  <c r="L100" i="68"/>
  <c r="N100" i="68" s="1"/>
  <c r="B100" i="68"/>
  <c r="Z99" i="68"/>
  <c r="X99" i="68"/>
  <c r="T99" i="68"/>
  <c r="P99" i="68"/>
  <c r="L99" i="68"/>
  <c r="N99" i="68" s="1"/>
  <c r="H99" i="68"/>
  <c r="D99" i="68"/>
  <c r="B99" i="68"/>
  <c r="Z98" i="68"/>
  <c r="X98" i="68"/>
  <c r="N98" i="68"/>
  <c r="L98" i="68"/>
  <c r="B98" i="68"/>
  <c r="X97" i="68"/>
  <c r="Z97" i="68" s="1"/>
  <c r="N97" i="68"/>
  <c r="L97" i="68"/>
  <c r="B97" i="68"/>
  <c r="Z96" i="68"/>
  <c r="X96" i="68"/>
  <c r="N96" i="68"/>
  <c r="L96" i="68"/>
  <c r="B96" i="68"/>
  <c r="T95" i="68"/>
  <c r="P95" i="68"/>
  <c r="X95" i="68" s="1"/>
  <c r="Z95" i="68" s="1"/>
  <c r="H95" i="68"/>
  <c r="D95" i="68"/>
  <c r="L95" i="68" s="1"/>
  <c r="B95" i="68"/>
  <c r="X94" i="68"/>
  <c r="Z94" i="68" s="1"/>
  <c r="N94" i="68"/>
  <c r="L94" i="68"/>
  <c r="B94" i="68"/>
  <c r="Z93" i="68"/>
  <c r="X93" i="68"/>
  <c r="V93" i="68"/>
  <c r="L93" i="68"/>
  <c r="N93" i="68" s="1"/>
  <c r="B93" i="68"/>
  <c r="T92" i="68"/>
  <c r="P92" i="68"/>
  <c r="X92" i="68" s="1"/>
  <c r="L92" i="68"/>
  <c r="H92" i="68"/>
  <c r="D92" i="68"/>
  <c r="B92" i="68"/>
  <c r="Z91" i="68"/>
  <c r="X91" i="68"/>
  <c r="N91" i="68"/>
  <c r="L91" i="68"/>
  <c r="B91" i="68"/>
  <c r="Z90" i="68"/>
  <c r="X90" i="68"/>
  <c r="N90" i="68"/>
  <c r="L90" i="68"/>
  <c r="B90" i="68"/>
  <c r="Z89" i="68"/>
  <c r="X89" i="68"/>
  <c r="T89" i="68"/>
  <c r="P89" i="68"/>
  <c r="N89" i="68"/>
  <c r="L89" i="68"/>
  <c r="H89" i="68"/>
  <c r="D89" i="68"/>
  <c r="B89" i="68"/>
  <c r="X88" i="68"/>
  <c r="Z88" i="68" s="1"/>
  <c r="N88" i="68"/>
  <c r="L88" i="68"/>
  <c r="B88" i="68"/>
  <c r="T87" i="68"/>
  <c r="P87" i="68"/>
  <c r="X87" i="68" s="1"/>
  <c r="Z87" i="68" s="1"/>
  <c r="H87" i="68"/>
  <c r="N87" i="68" s="1"/>
  <c r="D87" i="68"/>
  <c r="L87" i="68" s="1"/>
  <c r="B87" i="68"/>
  <c r="X86" i="68"/>
  <c r="Z86" i="68" s="1"/>
  <c r="N86" i="68"/>
  <c r="L86" i="68"/>
  <c r="B86" i="68"/>
  <c r="T85" i="68"/>
  <c r="P85" i="68"/>
  <c r="X85" i="68" s="1"/>
  <c r="Z85" i="68" s="1"/>
  <c r="N85" i="68"/>
  <c r="L85" i="68"/>
  <c r="H85" i="68"/>
  <c r="D85" i="68"/>
  <c r="B85" i="68"/>
  <c r="Z84" i="68"/>
  <c r="X84" i="68"/>
  <c r="L84" i="68"/>
  <c r="N84" i="68" s="1"/>
  <c r="B84" i="68"/>
  <c r="Z83" i="68"/>
  <c r="X83" i="68"/>
  <c r="N83" i="68"/>
  <c r="L83" i="68"/>
  <c r="B83" i="68"/>
  <c r="T82" i="68"/>
  <c r="P82" i="68"/>
  <c r="X82" i="68" s="1"/>
  <c r="Z82" i="68" s="1"/>
  <c r="L82" i="68"/>
  <c r="H82" i="68"/>
  <c r="D82" i="68"/>
  <c r="B82" i="68"/>
  <c r="X81" i="68"/>
  <c r="Z81" i="68" s="1"/>
  <c r="N81" i="68"/>
  <c r="L81" i="68"/>
  <c r="B81" i="68"/>
  <c r="X80" i="68"/>
  <c r="Z80" i="68" s="1"/>
  <c r="T80" i="68"/>
  <c r="P80" i="68"/>
  <c r="H80" i="68"/>
  <c r="D80" i="68"/>
  <c r="B80" i="68"/>
  <c r="X79" i="68"/>
  <c r="Z79" i="68" s="1"/>
  <c r="N79" i="68"/>
  <c r="L79" i="68"/>
  <c r="B79" i="68"/>
  <c r="X78" i="68"/>
  <c r="V78" i="68"/>
  <c r="T78" i="68"/>
  <c r="P78" i="68"/>
  <c r="H78" i="68"/>
  <c r="N78" i="68" s="1"/>
  <c r="D78" i="68"/>
  <c r="L78" i="68" s="1"/>
  <c r="B78" i="68"/>
  <c r="X77" i="68"/>
  <c r="Z77" i="68" s="1"/>
  <c r="L77" i="68"/>
  <c r="N77" i="68" s="1"/>
  <c r="B77" i="68"/>
  <c r="X76" i="68"/>
  <c r="Z76" i="68" s="1"/>
  <c r="N76" i="68"/>
  <c r="L76" i="68"/>
  <c r="B76" i="68"/>
  <c r="Z75" i="68"/>
  <c r="X75" i="68"/>
  <c r="N75" i="68"/>
  <c r="L75" i="68"/>
  <c r="B75" i="68"/>
  <c r="Z74" i="68"/>
  <c r="X74" i="68"/>
  <c r="L74" i="68"/>
  <c r="N74" i="68" s="1"/>
  <c r="B74" i="68"/>
  <c r="X73" i="68"/>
  <c r="Z73" i="68" s="1"/>
  <c r="T73" i="68"/>
  <c r="P73" i="68"/>
  <c r="N73" i="68"/>
  <c r="L73" i="68"/>
  <c r="H73" i="68"/>
  <c r="D73" i="68"/>
  <c r="B73" i="68"/>
  <c r="X72" i="68"/>
  <c r="Z72" i="68" s="1"/>
  <c r="L72" i="68"/>
  <c r="N72" i="68" s="1"/>
  <c r="B72" i="68"/>
  <c r="Z71" i="68"/>
  <c r="X71" i="68"/>
  <c r="N71" i="68"/>
  <c r="L71" i="68"/>
  <c r="B71" i="68"/>
  <c r="X70" i="68"/>
  <c r="Z70" i="68" s="1"/>
  <c r="L70" i="68"/>
  <c r="N70" i="68" s="1"/>
  <c r="B70" i="68"/>
  <c r="X69" i="68"/>
  <c r="Z69" i="68" s="1"/>
  <c r="N69" i="68"/>
  <c r="L69" i="68"/>
  <c r="B69" i="68"/>
  <c r="Z68" i="68"/>
  <c r="X68" i="68"/>
  <c r="L68" i="68"/>
  <c r="N68" i="68" s="1"/>
  <c r="B68" i="68"/>
  <c r="Z67" i="68"/>
  <c r="X67" i="68"/>
  <c r="V67" i="68"/>
  <c r="L67" i="68"/>
  <c r="N67" i="68" s="1"/>
  <c r="B67" i="68"/>
  <c r="X66" i="68"/>
  <c r="Z66" i="68" s="1"/>
  <c r="L66" i="68"/>
  <c r="N66" i="68" s="1"/>
  <c r="B66" i="68"/>
  <c r="X65" i="68"/>
  <c r="Z65" i="68" s="1"/>
  <c r="N65" i="68"/>
  <c r="L65" i="68"/>
  <c r="B65" i="68"/>
  <c r="Z64" i="68"/>
  <c r="X64" i="68"/>
  <c r="T64" i="68"/>
  <c r="P64" i="68"/>
  <c r="H64" i="68"/>
  <c r="D64" i="68"/>
  <c r="L64" i="68" s="1"/>
  <c r="B64" i="68"/>
  <c r="Z63" i="68"/>
  <c r="X63" i="68"/>
  <c r="T63" i="68"/>
  <c r="P63" i="68"/>
  <c r="H63" i="68"/>
  <c r="D63" i="68"/>
  <c r="L63" i="68" s="1"/>
  <c r="N63" i="68" s="1"/>
  <c r="X59" i="68"/>
  <c r="Z59" i="68" s="1"/>
  <c r="N59" i="68"/>
  <c r="L59" i="68"/>
  <c r="B59" i="68"/>
  <c r="X58" i="68"/>
  <c r="Z58" i="68" s="1"/>
  <c r="N58" i="68"/>
  <c r="L58" i="68"/>
  <c r="B58" i="68"/>
  <c r="Z57" i="68"/>
  <c r="X57" i="68"/>
  <c r="N57" i="68"/>
  <c r="L57" i="68"/>
  <c r="B57" i="68"/>
  <c r="X56" i="68"/>
  <c r="Z56" i="68" s="1"/>
  <c r="L56" i="68"/>
  <c r="N56" i="68" s="1"/>
  <c r="B56" i="68"/>
  <c r="Z55" i="68"/>
  <c r="X55" i="68"/>
  <c r="N55" i="68"/>
  <c r="L55" i="68"/>
  <c r="B55" i="68"/>
  <c r="X54" i="68"/>
  <c r="Z54" i="68" s="1"/>
  <c r="N54" i="68"/>
  <c r="L54" i="68"/>
  <c r="B54" i="68"/>
  <c r="Z53" i="68"/>
  <c r="X53" i="68"/>
  <c r="L53" i="68"/>
  <c r="N53" i="68" s="1"/>
  <c r="B53" i="68"/>
  <c r="X52" i="68"/>
  <c r="Z52" i="68" s="1"/>
  <c r="L52" i="68"/>
  <c r="N52" i="68" s="1"/>
  <c r="B52" i="68"/>
  <c r="Z51" i="68"/>
  <c r="X51" i="68"/>
  <c r="N51" i="68"/>
  <c r="L51" i="68"/>
  <c r="B51" i="68"/>
  <c r="X50" i="68"/>
  <c r="Z50" i="68" s="1"/>
  <c r="N50" i="68"/>
  <c r="L50" i="68"/>
  <c r="B50" i="68"/>
  <c r="Z49" i="68"/>
  <c r="X49" i="68"/>
  <c r="L49" i="68"/>
  <c r="N49" i="68" s="1"/>
  <c r="B49" i="68"/>
  <c r="X48" i="68"/>
  <c r="Z48" i="68" s="1"/>
  <c r="L48" i="68"/>
  <c r="N48" i="68" s="1"/>
  <c r="B48" i="68"/>
  <c r="X47" i="68"/>
  <c r="Z47" i="68" s="1"/>
  <c r="N47" i="68"/>
  <c r="L47" i="68"/>
  <c r="B47" i="68"/>
  <c r="X46" i="68"/>
  <c r="Z46" i="68" s="1"/>
  <c r="N46" i="68"/>
  <c r="L46" i="68"/>
  <c r="B46" i="68"/>
  <c r="Z45" i="68"/>
  <c r="X45" i="68"/>
  <c r="V45" i="68"/>
  <c r="N45" i="68"/>
  <c r="L45" i="68"/>
  <c r="B45" i="68"/>
  <c r="X44" i="68"/>
  <c r="Z44" i="68" s="1"/>
  <c r="L44" i="68"/>
  <c r="N44" i="68" s="1"/>
  <c r="B44" i="68"/>
  <c r="X43" i="68"/>
  <c r="Z43" i="68" s="1"/>
  <c r="N43" i="68"/>
  <c r="L43" i="68"/>
  <c r="B43" i="68"/>
  <c r="X42" i="68"/>
  <c r="T42" i="68"/>
  <c r="P42" i="68"/>
  <c r="H42" i="68"/>
  <c r="D42" i="68"/>
  <c r="L42" i="68" s="1"/>
  <c r="T40" i="68"/>
  <c r="P40" i="68"/>
  <c r="X40" i="68" s="1"/>
  <c r="N40" i="68"/>
  <c r="H40" i="68"/>
  <c r="D40" i="68"/>
  <c r="L40" i="68" s="1"/>
  <c r="B40" i="68"/>
  <c r="T39" i="68"/>
  <c r="P39" i="68"/>
  <c r="H39" i="68"/>
  <c r="D39" i="68"/>
  <c r="B39" i="68"/>
  <c r="X38" i="68"/>
  <c r="T38" i="68"/>
  <c r="Z38" i="68" s="1"/>
  <c r="P38" i="68"/>
  <c r="L38" i="68"/>
  <c r="H38" i="68"/>
  <c r="N38" i="68" s="1"/>
  <c r="D38" i="68"/>
  <c r="B38" i="68"/>
  <c r="X37" i="68"/>
  <c r="Z37" i="68" s="1"/>
  <c r="T37" i="68"/>
  <c r="P37" i="68"/>
  <c r="H37" i="68"/>
  <c r="L37" i="68" s="1"/>
  <c r="N37" i="68" s="1"/>
  <c r="D37" i="68"/>
  <c r="B37" i="68"/>
  <c r="T36" i="68"/>
  <c r="P36" i="68"/>
  <c r="X36" i="68" s="1"/>
  <c r="N36" i="68"/>
  <c r="H36" i="68"/>
  <c r="D36" i="68"/>
  <c r="L36" i="68" s="1"/>
  <c r="B36" i="68"/>
  <c r="T35" i="68"/>
  <c r="P35" i="68"/>
  <c r="L35" i="68"/>
  <c r="H35" i="68"/>
  <c r="D35" i="68"/>
  <c r="B35" i="68"/>
  <c r="X34" i="68"/>
  <c r="T34" i="68"/>
  <c r="Z34" i="68" s="1"/>
  <c r="P34" i="68"/>
  <c r="H34" i="68"/>
  <c r="D34" i="68"/>
  <c r="L34" i="68" s="1"/>
  <c r="B34" i="68"/>
  <c r="X33" i="68"/>
  <c r="Z33" i="68" s="1"/>
  <c r="T33" i="68"/>
  <c r="P33" i="68"/>
  <c r="H33" i="68"/>
  <c r="L33" i="68" s="1"/>
  <c r="N33" i="68" s="1"/>
  <c r="D33" i="68"/>
  <c r="B33" i="68"/>
  <c r="T32" i="68"/>
  <c r="P32" i="68"/>
  <c r="X32" i="68" s="1"/>
  <c r="N32" i="68"/>
  <c r="H32" i="68"/>
  <c r="D32" i="68"/>
  <c r="L32" i="68" s="1"/>
  <c r="B32" i="68"/>
  <c r="T31" i="68"/>
  <c r="P31" i="68"/>
  <c r="L31" i="68"/>
  <c r="N31" i="68" s="1"/>
  <c r="H31" i="68"/>
  <c r="D31" i="68"/>
  <c r="B31" i="68"/>
  <c r="X30" i="68"/>
  <c r="T30" i="68"/>
  <c r="Z30" i="68" s="1"/>
  <c r="P30" i="68"/>
  <c r="H30" i="68"/>
  <c r="D30" i="68"/>
  <c r="L30" i="68" s="1"/>
  <c r="B30" i="68"/>
  <c r="X29" i="68"/>
  <c r="Z29" i="68" s="1"/>
  <c r="T29" i="68"/>
  <c r="P29" i="68"/>
  <c r="H29" i="68"/>
  <c r="L29" i="68" s="1"/>
  <c r="N29" i="68" s="1"/>
  <c r="D29" i="68"/>
  <c r="B29" i="68"/>
  <c r="T28" i="68"/>
  <c r="P28" i="68"/>
  <c r="N28" i="68"/>
  <c r="H28" i="68"/>
  <c r="D28" i="68"/>
  <c r="L28" i="68" s="1"/>
  <c r="B28" i="68"/>
  <c r="T27" i="68"/>
  <c r="P27" i="68"/>
  <c r="H27" i="68"/>
  <c r="D27" i="68"/>
  <c r="B27" i="68"/>
  <c r="X26" i="68"/>
  <c r="T26" i="68"/>
  <c r="Z26" i="68" s="1"/>
  <c r="P26" i="68"/>
  <c r="L26" i="68"/>
  <c r="H26" i="68"/>
  <c r="N26" i="68" s="1"/>
  <c r="D26" i="68"/>
  <c r="B26" i="68"/>
  <c r="X25" i="68"/>
  <c r="Z25" i="68" s="1"/>
  <c r="T25" i="68"/>
  <c r="P25" i="68"/>
  <c r="H25" i="68"/>
  <c r="L25" i="68" s="1"/>
  <c r="N25" i="68" s="1"/>
  <c r="D25" i="68"/>
  <c r="B25" i="68"/>
  <c r="T24" i="68"/>
  <c r="P24" i="68"/>
  <c r="H24" i="68"/>
  <c r="D24" i="68"/>
  <c r="L24" i="68" s="1"/>
  <c r="N24" i="68" s="1"/>
  <c r="B24" i="68"/>
  <c r="T23" i="68"/>
  <c r="P23" i="68"/>
  <c r="X23" i="68" s="1"/>
  <c r="L23" i="68"/>
  <c r="N23" i="68" s="1"/>
  <c r="H23" i="68"/>
  <c r="D23" i="68"/>
  <c r="B23" i="68"/>
  <c r="X22" i="68"/>
  <c r="T22" i="68"/>
  <c r="P22" i="68"/>
  <c r="L22" i="68"/>
  <c r="H22" i="68"/>
  <c r="N22" i="68" s="1"/>
  <c r="D22" i="68"/>
  <c r="B22" i="68"/>
  <c r="X21" i="68"/>
  <c r="Z21" i="68" s="1"/>
  <c r="T21" i="68"/>
  <c r="P21" i="68"/>
  <c r="N21" i="68"/>
  <c r="L21" i="68"/>
  <c r="H21" i="68"/>
  <c r="D21" i="68"/>
  <c r="B21" i="68"/>
  <c r="X20" i="68"/>
  <c r="T20" i="68"/>
  <c r="P20" i="68"/>
  <c r="N20" i="68"/>
  <c r="H20" i="68"/>
  <c r="D20" i="68"/>
  <c r="L20" i="68" s="1"/>
  <c r="B20" i="68"/>
  <c r="T19" i="68"/>
  <c r="P19" i="68"/>
  <c r="H19" i="68"/>
  <c r="N19" i="68" s="1"/>
  <c r="D19" i="68"/>
  <c r="L19" i="68" s="1"/>
  <c r="B19" i="68"/>
  <c r="X18" i="68"/>
  <c r="T18" i="68"/>
  <c r="Z18" i="68" s="1"/>
  <c r="P18" i="68"/>
  <c r="H18" i="68"/>
  <c r="D18" i="68"/>
  <c r="L18" i="68" s="1"/>
  <c r="B18" i="68"/>
  <c r="Z17" i="68"/>
  <c r="X17" i="68"/>
  <c r="T17" i="68"/>
  <c r="P17" i="68"/>
  <c r="N17" i="68"/>
  <c r="L17" i="68"/>
  <c r="H17" i="68"/>
  <c r="D17" i="68"/>
  <c r="B17" i="68"/>
  <c r="T16" i="68"/>
  <c r="T12" i="68" s="1"/>
  <c r="V80" i="68" s="1"/>
  <c r="P16" i="68"/>
  <c r="H16" i="68"/>
  <c r="D16" i="68"/>
  <c r="L16" i="68" s="1"/>
  <c r="N16" i="68" s="1"/>
  <c r="B16" i="68"/>
  <c r="T15" i="68"/>
  <c r="P15" i="68"/>
  <c r="X15" i="68" s="1"/>
  <c r="N15" i="68"/>
  <c r="L15" i="68"/>
  <c r="H15" i="68"/>
  <c r="D15" i="68"/>
  <c r="B15" i="68"/>
  <c r="X14" i="68"/>
  <c r="T14" i="68"/>
  <c r="P14" i="68"/>
  <c r="L14" i="68"/>
  <c r="H14" i="68"/>
  <c r="N14" i="68" s="1"/>
  <c r="D14" i="68"/>
  <c r="B14" i="68"/>
  <c r="Z13" i="68"/>
  <c r="X13" i="68"/>
  <c r="T13" i="68"/>
  <c r="P13" i="68"/>
  <c r="N13" i="68"/>
  <c r="L13" i="68"/>
  <c r="H13" i="68"/>
  <c r="D13" i="68"/>
  <c r="B13" i="68"/>
  <c r="D12" i="68"/>
  <c r="D6" i="68"/>
  <c r="D4" i="68"/>
  <c r="R52" i="67"/>
  <c r="Z50" i="67"/>
  <c r="X50" i="67"/>
  <c r="N50" i="67"/>
  <c r="L50" i="67"/>
  <c r="J50" i="67"/>
  <c r="J48" i="67"/>
  <c r="X46" i="67"/>
  <c r="T46" i="67"/>
  <c r="Z46" i="67" s="1"/>
  <c r="P46" i="67"/>
  <c r="J46" i="67"/>
  <c r="H46" i="67"/>
  <c r="D46" i="67"/>
  <c r="X44" i="67"/>
  <c r="Z44" i="67" s="1"/>
  <c r="L44" i="67"/>
  <c r="N44" i="67" s="1"/>
  <c r="B44" i="67"/>
  <c r="Z43" i="67"/>
  <c r="X43" i="67"/>
  <c r="T43" i="67"/>
  <c r="P43" i="67"/>
  <c r="J43" i="67"/>
  <c r="H43" i="67"/>
  <c r="D43" i="67"/>
  <c r="L43" i="67" s="1"/>
  <c r="N43" i="67" s="1"/>
  <c r="B43" i="67"/>
  <c r="Z42" i="67"/>
  <c r="X42" i="67"/>
  <c r="R42" i="67"/>
  <c r="N42" i="67"/>
  <c r="L42" i="67"/>
  <c r="B42" i="67"/>
  <c r="Z41" i="67"/>
  <c r="X41" i="67"/>
  <c r="R41" i="67"/>
  <c r="N41" i="67"/>
  <c r="L41" i="67"/>
  <c r="J41" i="67"/>
  <c r="F41" i="67"/>
  <c r="B41" i="67"/>
  <c r="T40" i="67"/>
  <c r="R40" i="67"/>
  <c r="P40" i="67"/>
  <c r="X40" i="67" s="1"/>
  <c r="H40" i="67"/>
  <c r="F40" i="67"/>
  <c r="D40" i="67"/>
  <c r="L40" i="67" s="1"/>
  <c r="B40" i="67"/>
  <c r="Z39" i="67"/>
  <c r="X39" i="67"/>
  <c r="L39" i="67"/>
  <c r="N39" i="67" s="1"/>
  <c r="B39" i="67"/>
  <c r="T38" i="67"/>
  <c r="P38" i="67"/>
  <c r="L38" i="67"/>
  <c r="N38" i="67" s="1"/>
  <c r="J38" i="67"/>
  <c r="H38" i="67"/>
  <c r="D38" i="67"/>
  <c r="B38" i="67"/>
  <c r="Z37" i="67"/>
  <c r="X37" i="67"/>
  <c r="N37" i="67"/>
  <c r="L37" i="67"/>
  <c r="J37" i="67"/>
  <c r="B37" i="67"/>
  <c r="X36" i="67"/>
  <c r="T36" i="67"/>
  <c r="P36" i="67"/>
  <c r="L36" i="67"/>
  <c r="J36" i="67"/>
  <c r="H36" i="67"/>
  <c r="N36" i="67" s="1"/>
  <c r="D36" i="67"/>
  <c r="B36" i="67"/>
  <c r="X35" i="67"/>
  <c r="Z35" i="67" s="1"/>
  <c r="N35" i="67"/>
  <c r="L35" i="67"/>
  <c r="J35" i="67"/>
  <c r="B35" i="67"/>
  <c r="Z34" i="67"/>
  <c r="X34" i="67"/>
  <c r="R34" i="67"/>
  <c r="N34" i="67"/>
  <c r="L34" i="67"/>
  <c r="B34" i="67"/>
  <c r="Z33" i="67"/>
  <c r="X33" i="67"/>
  <c r="R33" i="67"/>
  <c r="N33" i="67"/>
  <c r="L33" i="67"/>
  <c r="J33" i="67"/>
  <c r="F33" i="67"/>
  <c r="B33" i="67"/>
  <c r="X32" i="67"/>
  <c r="Z32" i="67" s="1"/>
  <c r="R32" i="67"/>
  <c r="N32" i="67"/>
  <c r="L32" i="67"/>
  <c r="J32" i="67"/>
  <c r="B32" i="67"/>
  <c r="Z31" i="67"/>
  <c r="X31" i="67"/>
  <c r="N31" i="67"/>
  <c r="L31" i="67"/>
  <c r="J31" i="67"/>
  <c r="B31" i="67"/>
  <c r="Z30" i="67"/>
  <c r="X30" i="67"/>
  <c r="L30" i="67"/>
  <c r="N30" i="67" s="1"/>
  <c r="F30" i="67"/>
  <c r="B30" i="67"/>
  <c r="X29" i="67"/>
  <c r="Z29" i="67" s="1"/>
  <c r="V29" i="67"/>
  <c r="T29" i="67"/>
  <c r="P29" i="67"/>
  <c r="N29" i="67"/>
  <c r="L29" i="67"/>
  <c r="J29" i="67"/>
  <c r="H29" i="67"/>
  <c r="D29" i="67"/>
  <c r="B29" i="67"/>
  <c r="X28" i="67"/>
  <c r="Z28" i="67" s="1"/>
  <c r="V28" i="67"/>
  <c r="L28" i="67"/>
  <c r="N28" i="67" s="1"/>
  <c r="J28" i="67"/>
  <c r="F28" i="67"/>
  <c r="B28" i="67"/>
  <c r="Z27" i="67"/>
  <c r="X27" i="67"/>
  <c r="R27" i="67"/>
  <c r="L27" i="67"/>
  <c r="N27" i="67" s="1"/>
  <c r="B27" i="67"/>
  <c r="Z26" i="67"/>
  <c r="X26" i="67"/>
  <c r="R26" i="67"/>
  <c r="L26" i="67"/>
  <c r="N26" i="67" s="1"/>
  <c r="J26" i="67"/>
  <c r="B26" i="67"/>
  <c r="Z25" i="67"/>
  <c r="X25" i="67"/>
  <c r="R25" i="67"/>
  <c r="N25" i="67"/>
  <c r="L25" i="67"/>
  <c r="J25" i="67"/>
  <c r="B25" i="67"/>
  <c r="Z24" i="67"/>
  <c r="X24" i="67"/>
  <c r="L24" i="67"/>
  <c r="N24" i="67" s="1"/>
  <c r="J24" i="67"/>
  <c r="F24" i="67"/>
  <c r="B24" i="67"/>
  <c r="Z23" i="67"/>
  <c r="X23" i="67"/>
  <c r="V23" i="67"/>
  <c r="R23" i="67"/>
  <c r="L23" i="67"/>
  <c r="N23" i="67" s="1"/>
  <c r="B23" i="67"/>
  <c r="Z22" i="67"/>
  <c r="X22" i="67"/>
  <c r="R22" i="67"/>
  <c r="L22" i="67"/>
  <c r="N22" i="67" s="1"/>
  <c r="J22" i="67"/>
  <c r="B22" i="67"/>
  <c r="X21" i="67"/>
  <c r="Z21" i="67" s="1"/>
  <c r="R21" i="67"/>
  <c r="N21" i="67"/>
  <c r="L21" i="67"/>
  <c r="J21" i="67"/>
  <c r="B21" i="67"/>
  <c r="X20" i="67"/>
  <c r="Z20" i="67" s="1"/>
  <c r="L20" i="67"/>
  <c r="N20" i="67" s="1"/>
  <c r="J20" i="67"/>
  <c r="F20" i="67"/>
  <c r="B20" i="67"/>
  <c r="T19" i="67"/>
  <c r="P19" i="67"/>
  <c r="J19" i="67"/>
  <c r="H19" i="67"/>
  <c r="D19" i="67"/>
  <c r="B19" i="67"/>
  <c r="X18" i="67"/>
  <c r="T18" i="67"/>
  <c r="R18" i="67"/>
  <c r="P18" i="67"/>
  <c r="J18" i="67"/>
  <c r="H18" i="67"/>
  <c r="D18" i="67"/>
  <c r="L18" i="67" s="1"/>
  <c r="T16" i="67"/>
  <c r="R16" i="67"/>
  <c r="J16" i="67"/>
  <c r="T14" i="67"/>
  <c r="Z14" i="67" s="1"/>
  <c r="R14" i="67"/>
  <c r="P14" i="67"/>
  <c r="J14" i="67"/>
  <c r="H14" i="67"/>
  <c r="D14" i="67"/>
  <c r="T12" i="67"/>
  <c r="V39" i="67" s="1"/>
  <c r="P12" i="67"/>
  <c r="R55" i="67" s="1"/>
  <c r="N12" i="67"/>
  <c r="H12" i="67"/>
  <c r="J39" i="67" s="1"/>
  <c r="D12" i="67"/>
  <c r="F46" i="67" s="1"/>
  <c r="D6" i="67"/>
  <c r="D4" i="67"/>
  <c r="Z99" i="63"/>
  <c r="X99" i="63"/>
  <c r="N99" i="63"/>
  <c r="L99" i="63"/>
  <c r="J99" i="63"/>
  <c r="F99" i="63"/>
  <c r="V97" i="63"/>
  <c r="X95" i="63"/>
  <c r="Z95" i="63" s="1"/>
  <c r="V95" i="63"/>
  <c r="T95" i="63"/>
  <c r="T93" i="63" s="1"/>
  <c r="P95" i="63"/>
  <c r="H95" i="63"/>
  <c r="D95" i="63"/>
  <c r="D93" i="63" s="1"/>
  <c r="B95" i="63"/>
  <c r="X94" i="63"/>
  <c r="Z94" i="63" s="1"/>
  <c r="T94" i="63"/>
  <c r="P94" i="63"/>
  <c r="H94" i="63"/>
  <c r="H93" i="63" s="1"/>
  <c r="D94" i="63"/>
  <c r="B94" i="63"/>
  <c r="P93" i="63"/>
  <c r="X93" i="63" s="1"/>
  <c r="J93" i="63"/>
  <c r="Z91" i="63"/>
  <c r="X91" i="63"/>
  <c r="L91" i="63"/>
  <c r="N91" i="63" s="1"/>
  <c r="B91" i="63"/>
  <c r="Z90" i="63"/>
  <c r="T90" i="63"/>
  <c r="X90" i="63" s="1"/>
  <c r="P90" i="63"/>
  <c r="J90" i="63"/>
  <c r="H90" i="63"/>
  <c r="N90" i="63" s="1"/>
  <c r="D90" i="63"/>
  <c r="L90" i="63" s="1"/>
  <c r="B90" i="63"/>
  <c r="X89" i="63"/>
  <c r="Z89" i="63" s="1"/>
  <c r="V89" i="63"/>
  <c r="L89" i="63"/>
  <c r="N89" i="63" s="1"/>
  <c r="B89" i="63"/>
  <c r="X88" i="63"/>
  <c r="Z88" i="63" s="1"/>
  <c r="V88" i="63"/>
  <c r="L88" i="63"/>
  <c r="N88" i="63" s="1"/>
  <c r="B88" i="63"/>
  <c r="T87" i="63"/>
  <c r="P87" i="63"/>
  <c r="X87" i="63" s="1"/>
  <c r="Z87" i="63" s="1"/>
  <c r="L87" i="63"/>
  <c r="N87" i="63" s="1"/>
  <c r="H87" i="63"/>
  <c r="D87" i="63"/>
  <c r="B87" i="63"/>
  <c r="Z86" i="63"/>
  <c r="X86" i="63"/>
  <c r="N86" i="63"/>
  <c r="L86" i="63"/>
  <c r="B86" i="63"/>
  <c r="T85" i="63"/>
  <c r="P85" i="63"/>
  <c r="X85" i="63" s="1"/>
  <c r="L85" i="63"/>
  <c r="N85" i="63" s="1"/>
  <c r="H85" i="63"/>
  <c r="D85" i="63"/>
  <c r="B85" i="63"/>
  <c r="X84" i="63"/>
  <c r="Z84" i="63" s="1"/>
  <c r="V84" i="63"/>
  <c r="L84" i="63"/>
  <c r="N84" i="63" s="1"/>
  <c r="J84" i="63"/>
  <c r="B84" i="63"/>
  <c r="T83" i="63"/>
  <c r="P83" i="63"/>
  <c r="X83" i="63" s="1"/>
  <c r="Z83" i="63" s="1"/>
  <c r="J83" i="63"/>
  <c r="H83" i="63"/>
  <c r="D83" i="63"/>
  <c r="B83" i="63"/>
  <c r="Z82" i="63"/>
  <c r="X82" i="63"/>
  <c r="N82" i="63"/>
  <c r="L82" i="63"/>
  <c r="F82" i="63"/>
  <c r="B82" i="63"/>
  <c r="X81" i="63"/>
  <c r="Z81" i="63" s="1"/>
  <c r="V81" i="63"/>
  <c r="N81" i="63"/>
  <c r="L81" i="63"/>
  <c r="B81" i="63"/>
  <c r="X80" i="63"/>
  <c r="Z80" i="63" s="1"/>
  <c r="V80" i="63"/>
  <c r="L80" i="63"/>
  <c r="N80" i="63" s="1"/>
  <c r="B80" i="63"/>
  <c r="X79" i="63"/>
  <c r="Z79" i="63" s="1"/>
  <c r="L79" i="63"/>
  <c r="N79" i="63" s="1"/>
  <c r="B79" i="63"/>
  <c r="Z78" i="63"/>
  <c r="X78" i="63"/>
  <c r="N78" i="63"/>
  <c r="L78" i="63"/>
  <c r="F78" i="63"/>
  <c r="B78" i="63"/>
  <c r="X77" i="63"/>
  <c r="Z77" i="63" s="1"/>
  <c r="V77" i="63"/>
  <c r="N77" i="63"/>
  <c r="L77" i="63"/>
  <c r="B77" i="63"/>
  <c r="X76" i="63"/>
  <c r="V76" i="63"/>
  <c r="T76" i="63"/>
  <c r="Z76" i="63" s="1"/>
  <c r="P76" i="63"/>
  <c r="H76" i="63"/>
  <c r="N76" i="63" s="1"/>
  <c r="F76" i="63"/>
  <c r="D76" i="63"/>
  <c r="L76" i="63" s="1"/>
  <c r="B76" i="63"/>
  <c r="Z75" i="63"/>
  <c r="X75" i="63"/>
  <c r="N75" i="63"/>
  <c r="L75" i="63"/>
  <c r="B75" i="63"/>
  <c r="T74" i="63"/>
  <c r="P74" i="63"/>
  <c r="X74" i="63" s="1"/>
  <c r="Z74" i="63" s="1"/>
  <c r="L74" i="63"/>
  <c r="N74" i="63" s="1"/>
  <c r="H74" i="63"/>
  <c r="D74" i="63"/>
  <c r="B74" i="63"/>
  <c r="X73" i="63"/>
  <c r="Z73" i="63" s="1"/>
  <c r="V73" i="63"/>
  <c r="R73" i="63"/>
  <c r="L73" i="63"/>
  <c r="N73" i="63" s="1"/>
  <c r="B73" i="63"/>
  <c r="X72" i="63"/>
  <c r="Z72" i="63" s="1"/>
  <c r="V72" i="63"/>
  <c r="L72" i="63"/>
  <c r="N72" i="63" s="1"/>
  <c r="J72" i="63"/>
  <c r="B72" i="63"/>
  <c r="Z71" i="63"/>
  <c r="X71" i="63"/>
  <c r="L71" i="63"/>
  <c r="N71" i="63" s="1"/>
  <c r="B71" i="63"/>
  <c r="Z70" i="63"/>
  <c r="V70" i="63"/>
  <c r="T70" i="63"/>
  <c r="X70" i="63" s="1"/>
  <c r="P70" i="63"/>
  <c r="J70" i="63"/>
  <c r="H70" i="63"/>
  <c r="N70" i="63" s="1"/>
  <c r="D70" i="63"/>
  <c r="L70" i="63" s="1"/>
  <c r="B70" i="63"/>
  <c r="X69" i="63"/>
  <c r="Z69" i="63" s="1"/>
  <c r="V69" i="63"/>
  <c r="N69" i="63"/>
  <c r="L69" i="63"/>
  <c r="F69" i="63"/>
  <c r="B69" i="63"/>
  <c r="X68" i="63"/>
  <c r="Z68" i="63" s="1"/>
  <c r="V68" i="63"/>
  <c r="N68" i="63"/>
  <c r="L68" i="63"/>
  <c r="B68" i="63"/>
  <c r="Z67" i="63"/>
  <c r="X67" i="63"/>
  <c r="N67" i="63"/>
  <c r="L67" i="63"/>
  <c r="B67" i="63"/>
  <c r="Z66" i="63"/>
  <c r="X66" i="63"/>
  <c r="N66" i="63"/>
  <c r="L66" i="63"/>
  <c r="B66" i="63"/>
  <c r="X65" i="63"/>
  <c r="Z65" i="63" s="1"/>
  <c r="V65" i="63"/>
  <c r="T65" i="63"/>
  <c r="P65" i="63"/>
  <c r="H65" i="63"/>
  <c r="F65" i="63"/>
  <c r="D65" i="63"/>
  <c r="L65" i="63" s="1"/>
  <c r="N65" i="63" s="1"/>
  <c r="B65" i="63"/>
  <c r="X64" i="63"/>
  <c r="Z64" i="63" s="1"/>
  <c r="L64" i="63"/>
  <c r="N64" i="63" s="1"/>
  <c r="J64" i="63"/>
  <c r="B64" i="63"/>
  <c r="X63" i="63"/>
  <c r="Z63" i="63" s="1"/>
  <c r="T63" i="63"/>
  <c r="P63" i="63"/>
  <c r="H63" i="63"/>
  <c r="D63" i="63"/>
  <c r="L63" i="63" s="1"/>
  <c r="B63" i="63"/>
  <c r="Z62" i="63"/>
  <c r="X62" i="63"/>
  <c r="V62" i="63"/>
  <c r="N62" i="63"/>
  <c r="L62" i="63"/>
  <c r="B62" i="63"/>
  <c r="V61" i="63"/>
  <c r="T61" i="63"/>
  <c r="P61" i="63"/>
  <c r="N61" i="63"/>
  <c r="H61" i="63"/>
  <c r="D61" i="63"/>
  <c r="L61" i="63" s="1"/>
  <c r="B61" i="63"/>
  <c r="X60" i="63"/>
  <c r="Z60" i="63" s="1"/>
  <c r="V60" i="63"/>
  <c r="L60" i="63"/>
  <c r="N60" i="63" s="1"/>
  <c r="B60" i="63"/>
  <c r="X59" i="63"/>
  <c r="Z59" i="63" s="1"/>
  <c r="T59" i="63"/>
  <c r="P59" i="63"/>
  <c r="L59" i="63"/>
  <c r="N59" i="63" s="1"/>
  <c r="H59" i="63"/>
  <c r="D59" i="63"/>
  <c r="B59" i="63"/>
  <c r="Z58" i="63"/>
  <c r="X58" i="63"/>
  <c r="R58" i="63"/>
  <c r="N58" i="63"/>
  <c r="L58" i="63"/>
  <c r="B58" i="63"/>
  <c r="V57" i="63"/>
  <c r="T57" i="63"/>
  <c r="P57" i="63"/>
  <c r="X57" i="63" s="1"/>
  <c r="N57" i="63"/>
  <c r="L57" i="63"/>
  <c r="H57" i="63"/>
  <c r="D57" i="63"/>
  <c r="B57" i="63"/>
  <c r="Z56" i="63"/>
  <c r="X56" i="63"/>
  <c r="V56" i="63"/>
  <c r="N56" i="63"/>
  <c r="L56" i="63"/>
  <c r="J56" i="63"/>
  <c r="B56" i="63"/>
  <c r="Z55" i="63"/>
  <c r="T55" i="63"/>
  <c r="P55" i="63"/>
  <c r="X55" i="63" s="1"/>
  <c r="J55" i="63"/>
  <c r="H55" i="63"/>
  <c r="N55" i="63" s="1"/>
  <c r="D55" i="63"/>
  <c r="L55" i="63" s="1"/>
  <c r="B55" i="63"/>
  <c r="Z54" i="63"/>
  <c r="X54" i="63"/>
  <c r="N54" i="63"/>
  <c r="L54" i="63"/>
  <c r="B54" i="63"/>
  <c r="Z53" i="63"/>
  <c r="X53" i="63"/>
  <c r="V53" i="63"/>
  <c r="T53" i="63"/>
  <c r="P53" i="63"/>
  <c r="N53" i="63"/>
  <c r="H53" i="63"/>
  <c r="F53" i="63"/>
  <c r="D53" i="63"/>
  <c r="L53" i="63" s="1"/>
  <c r="B53" i="63"/>
  <c r="X52" i="63"/>
  <c r="Z52" i="63" s="1"/>
  <c r="L52" i="63"/>
  <c r="N52" i="63" s="1"/>
  <c r="J52" i="63"/>
  <c r="B52" i="63"/>
  <c r="X51" i="63"/>
  <c r="Z51" i="63" s="1"/>
  <c r="T51" i="63"/>
  <c r="P51" i="63"/>
  <c r="H51" i="63"/>
  <c r="D51" i="63"/>
  <c r="B51" i="63"/>
  <c r="Z50" i="63"/>
  <c r="X50" i="63"/>
  <c r="V50" i="63"/>
  <c r="N50" i="63"/>
  <c r="L50" i="63"/>
  <c r="B50" i="63"/>
  <c r="V49" i="63"/>
  <c r="T49" i="63"/>
  <c r="P49" i="63"/>
  <c r="H49" i="63"/>
  <c r="D49" i="63"/>
  <c r="L49" i="63" s="1"/>
  <c r="N49" i="63" s="1"/>
  <c r="B49" i="63"/>
  <c r="X48" i="63"/>
  <c r="Z48" i="63" s="1"/>
  <c r="V48" i="63"/>
  <c r="L48" i="63"/>
  <c r="N48" i="63" s="1"/>
  <c r="B48" i="63"/>
  <c r="X47" i="63"/>
  <c r="Z47" i="63" s="1"/>
  <c r="L47" i="63"/>
  <c r="N47" i="63" s="1"/>
  <c r="B47" i="63"/>
  <c r="T46" i="63"/>
  <c r="P46" i="63"/>
  <c r="X46" i="63" s="1"/>
  <c r="L46" i="63"/>
  <c r="J46" i="63"/>
  <c r="H46" i="63"/>
  <c r="N46" i="63" s="1"/>
  <c r="D46" i="63"/>
  <c r="B46" i="63"/>
  <c r="X45" i="63"/>
  <c r="Z45" i="63" s="1"/>
  <c r="V45" i="63"/>
  <c r="R45" i="63"/>
  <c r="L45" i="63"/>
  <c r="N45" i="63" s="1"/>
  <c r="J45" i="63"/>
  <c r="F45" i="63"/>
  <c r="B45" i="63"/>
  <c r="X44" i="63"/>
  <c r="Z44" i="63" s="1"/>
  <c r="L44" i="63"/>
  <c r="N44" i="63" s="1"/>
  <c r="J44" i="63"/>
  <c r="B44" i="63"/>
  <c r="Z43" i="63"/>
  <c r="X43" i="63"/>
  <c r="T43" i="63"/>
  <c r="P43" i="63"/>
  <c r="H43" i="63"/>
  <c r="D43" i="63"/>
  <c r="B43" i="63"/>
  <c r="Z42" i="63"/>
  <c r="X42" i="63"/>
  <c r="V42" i="63"/>
  <c r="N42" i="63"/>
  <c r="L42" i="63"/>
  <c r="B42" i="63"/>
  <c r="V41" i="63"/>
  <c r="T41" i="63"/>
  <c r="P41" i="63"/>
  <c r="X41" i="63" s="1"/>
  <c r="H41" i="63"/>
  <c r="D41" i="63"/>
  <c r="L41" i="63" s="1"/>
  <c r="N41" i="63" s="1"/>
  <c r="B41" i="63"/>
  <c r="X40" i="63"/>
  <c r="Z40" i="63" s="1"/>
  <c r="V40" i="63"/>
  <c r="L40" i="63"/>
  <c r="N40" i="63" s="1"/>
  <c r="B40" i="63"/>
  <c r="T39" i="63"/>
  <c r="P39" i="63"/>
  <c r="X39" i="63" s="1"/>
  <c r="Z39" i="63" s="1"/>
  <c r="L39" i="63"/>
  <c r="N39" i="63" s="1"/>
  <c r="J39" i="63"/>
  <c r="H39" i="63"/>
  <c r="D39" i="63"/>
  <c r="B39" i="63"/>
  <c r="Z38" i="63"/>
  <c r="X38" i="63"/>
  <c r="R38" i="63"/>
  <c r="N38" i="63"/>
  <c r="L38" i="63"/>
  <c r="B38" i="63"/>
  <c r="V37" i="63"/>
  <c r="T37" i="63"/>
  <c r="P37" i="63"/>
  <c r="L37" i="63"/>
  <c r="N37" i="63" s="1"/>
  <c r="H37" i="63"/>
  <c r="D37" i="63"/>
  <c r="B37" i="63"/>
  <c r="X36" i="63"/>
  <c r="Z36" i="63" s="1"/>
  <c r="V36" i="63"/>
  <c r="L36" i="63"/>
  <c r="N36" i="63" s="1"/>
  <c r="J36" i="63"/>
  <c r="B36" i="63"/>
  <c r="Z35" i="63"/>
  <c r="X35" i="63"/>
  <c r="L35" i="63"/>
  <c r="N35" i="63" s="1"/>
  <c r="B35" i="63"/>
  <c r="Z34" i="63"/>
  <c r="X34" i="63"/>
  <c r="V34" i="63"/>
  <c r="N34" i="63"/>
  <c r="L34" i="63"/>
  <c r="B34" i="63"/>
  <c r="X33" i="63"/>
  <c r="Z33" i="63" s="1"/>
  <c r="V33" i="63"/>
  <c r="R33" i="63"/>
  <c r="L33" i="63"/>
  <c r="N33" i="63" s="1"/>
  <c r="J33" i="63"/>
  <c r="B33" i="63"/>
  <c r="X32" i="63"/>
  <c r="Z32" i="63" s="1"/>
  <c r="V32" i="63"/>
  <c r="L32" i="63"/>
  <c r="N32" i="63" s="1"/>
  <c r="J32" i="63"/>
  <c r="B32" i="63"/>
  <c r="Z31" i="63"/>
  <c r="X31" i="63"/>
  <c r="L31" i="63"/>
  <c r="N31" i="63" s="1"/>
  <c r="B31" i="63"/>
  <c r="Z30" i="63"/>
  <c r="X30" i="63"/>
  <c r="V30" i="63"/>
  <c r="N30" i="63"/>
  <c r="L30" i="63"/>
  <c r="B30" i="63"/>
  <c r="V29" i="63"/>
  <c r="T29" i="63"/>
  <c r="P29" i="63"/>
  <c r="X29" i="63" s="1"/>
  <c r="H29" i="63"/>
  <c r="D29" i="63"/>
  <c r="L29" i="63" s="1"/>
  <c r="N29" i="63" s="1"/>
  <c r="B29" i="63"/>
  <c r="X28" i="63"/>
  <c r="Z28" i="63" s="1"/>
  <c r="V28" i="63"/>
  <c r="L28" i="63"/>
  <c r="N28" i="63" s="1"/>
  <c r="B28" i="63"/>
  <c r="X27" i="63"/>
  <c r="Z27" i="63" s="1"/>
  <c r="L27" i="63"/>
  <c r="N27" i="63" s="1"/>
  <c r="B27" i="63"/>
  <c r="Z26" i="63"/>
  <c r="X26" i="63"/>
  <c r="N26" i="63"/>
  <c r="L26" i="63"/>
  <c r="F26" i="63"/>
  <c r="B26" i="63"/>
  <c r="Z25" i="63"/>
  <c r="X25" i="63"/>
  <c r="V25" i="63"/>
  <c r="N25" i="63"/>
  <c r="L25" i="63"/>
  <c r="B25" i="63"/>
  <c r="X24" i="63"/>
  <c r="Z24" i="63" s="1"/>
  <c r="V24" i="63"/>
  <c r="L24" i="63"/>
  <c r="N24" i="63" s="1"/>
  <c r="B24" i="63"/>
  <c r="X23" i="63"/>
  <c r="Z23" i="63" s="1"/>
  <c r="N23" i="63"/>
  <c r="L23" i="63"/>
  <c r="B23" i="63"/>
  <c r="Z22" i="63"/>
  <c r="X22" i="63"/>
  <c r="N22" i="63"/>
  <c r="L22" i="63"/>
  <c r="F22" i="63"/>
  <c r="B22" i="63"/>
  <c r="X21" i="63"/>
  <c r="Z21" i="63" s="1"/>
  <c r="V21" i="63"/>
  <c r="L21" i="63"/>
  <c r="N21" i="63" s="1"/>
  <c r="F21" i="63"/>
  <c r="B21" i="63"/>
  <c r="X20" i="63"/>
  <c r="Z20" i="63" s="1"/>
  <c r="V20" i="63"/>
  <c r="L20" i="63"/>
  <c r="N20" i="63" s="1"/>
  <c r="B20" i="63"/>
  <c r="T19" i="63"/>
  <c r="P19" i="63"/>
  <c r="X19" i="63" s="1"/>
  <c r="Z19" i="63" s="1"/>
  <c r="L19" i="63"/>
  <c r="N19" i="63" s="1"/>
  <c r="J19" i="63"/>
  <c r="H19" i="63"/>
  <c r="D19" i="63"/>
  <c r="B19" i="63"/>
  <c r="T18" i="63"/>
  <c r="P18" i="63"/>
  <c r="L18" i="63"/>
  <c r="N18" i="63" s="1"/>
  <c r="H18" i="63"/>
  <c r="D18" i="63"/>
  <c r="Z16" i="63"/>
  <c r="T14" i="63"/>
  <c r="T16" i="63" s="1"/>
  <c r="T97" i="63" s="1"/>
  <c r="R14" i="63"/>
  <c r="P14" i="63"/>
  <c r="N14" i="63"/>
  <c r="L14" i="63"/>
  <c r="H14" i="63"/>
  <c r="D14" i="63"/>
  <c r="Z12" i="63"/>
  <c r="T12" i="63"/>
  <c r="V75" i="63" s="1"/>
  <c r="P12" i="63"/>
  <c r="R59" i="63" s="1"/>
  <c r="N12" i="63"/>
  <c r="H12" i="63"/>
  <c r="J104" i="63" s="1"/>
  <c r="D12" i="63"/>
  <c r="F25" i="63" s="1"/>
  <c r="D6" i="63"/>
  <c r="D4" i="63"/>
  <c r="V29" i="62"/>
  <c r="R29" i="62"/>
  <c r="V26" i="62"/>
  <c r="R26" i="62"/>
  <c r="P26" i="62"/>
  <c r="P29" i="62" s="1"/>
  <c r="Z24" i="62"/>
  <c r="X24" i="62"/>
  <c r="V24" i="62"/>
  <c r="N24" i="62"/>
  <c r="L24" i="62"/>
  <c r="J24" i="62"/>
  <c r="F24" i="62"/>
  <c r="F22" i="62"/>
  <c r="Z20" i="62"/>
  <c r="X20" i="62"/>
  <c r="T20" i="62"/>
  <c r="P20" i="62"/>
  <c r="H20" i="62"/>
  <c r="N20" i="62" s="1"/>
  <c r="F20" i="62"/>
  <c r="D20" i="62"/>
  <c r="L20" i="62" s="1"/>
  <c r="Z18" i="62"/>
  <c r="X18" i="62"/>
  <c r="T18" i="62"/>
  <c r="P18" i="62"/>
  <c r="H18" i="62"/>
  <c r="N18" i="62" s="1"/>
  <c r="F18" i="62"/>
  <c r="D18" i="62"/>
  <c r="H16" i="62"/>
  <c r="F16" i="62"/>
  <c r="Z14" i="62"/>
  <c r="X14" i="62"/>
  <c r="T14" i="62"/>
  <c r="T16" i="62" s="1"/>
  <c r="X16" i="62" s="1"/>
  <c r="P14" i="62"/>
  <c r="P16" i="62" s="1"/>
  <c r="P22" i="62" s="1"/>
  <c r="H14" i="62"/>
  <c r="N14" i="62" s="1"/>
  <c r="F14" i="62"/>
  <c r="D14" i="62"/>
  <c r="D16" i="62" s="1"/>
  <c r="Z12" i="62"/>
  <c r="X12" i="62"/>
  <c r="T12" i="62"/>
  <c r="V22" i="62" s="1"/>
  <c r="P12" i="62"/>
  <c r="R22" i="62" s="1"/>
  <c r="H12" i="62"/>
  <c r="D12" i="62"/>
  <c r="F29" i="62" s="1"/>
  <c r="D6" i="62"/>
  <c r="D4" i="62"/>
  <c r="J55" i="61"/>
  <c r="J52" i="61"/>
  <c r="Z50" i="61"/>
  <c r="X50" i="61"/>
  <c r="R50" i="61"/>
  <c r="N50" i="61"/>
  <c r="L50" i="61"/>
  <c r="F50" i="61"/>
  <c r="R48" i="61"/>
  <c r="Z46" i="61"/>
  <c r="T46" i="61"/>
  <c r="R46" i="61"/>
  <c r="P46" i="61"/>
  <c r="N46" i="61"/>
  <c r="L46" i="61"/>
  <c r="H46" i="61"/>
  <c r="D46" i="61"/>
  <c r="Z44" i="61"/>
  <c r="X44" i="61"/>
  <c r="R44" i="61"/>
  <c r="N44" i="61"/>
  <c r="L44" i="61"/>
  <c r="J44" i="61"/>
  <c r="F44" i="61"/>
  <c r="B44" i="61"/>
  <c r="T43" i="61"/>
  <c r="P43" i="61"/>
  <c r="N43" i="61"/>
  <c r="L43" i="61"/>
  <c r="J43" i="61"/>
  <c r="H43" i="61"/>
  <c r="F43" i="61"/>
  <c r="D43" i="61"/>
  <c r="B43" i="61"/>
  <c r="X42" i="61"/>
  <c r="Z42" i="61" s="1"/>
  <c r="L42" i="61"/>
  <c r="N42" i="61" s="1"/>
  <c r="J42" i="61"/>
  <c r="F42" i="61"/>
  <c r="B42" i="61"/>
  <c r="Z41" i="61"/>
  <c r="T41" i="61"/>
  <c r="R41" i="61"/>
  <c r="P41" i="61"/>
  <c r="X41" i="61" s="1"/>
  <c r="J41" i="61"/>
  <c r="H41" i="61"/>
  <c r="F41" i="61"/>
  <c r="D41" i="61"/>
  <c r="B41" i="61"/>
  <c r="X40" i="61"/>
  <c r="Z40" i="61" s="1"/>
  <c r="R40" i="61"/>
  <c r="N40" i="61"/>
  <c r="L40" i="61"/>
  <c r="F40" i="61"/>
  <c r="B40" i="61"/>
  <c r="X39" i="61"/>
  <c r="Z39" i="61" s="1"/>
  <c r="N39" i="61"/>
  <c r="L39" i="61"/>
  <c r="J39" i="61"/>
  <c r="F39" i="61"/>
  <c r="B39" i="61"/>
  <c r="T38" i="61"/>
  <c r="P38" i="61"/>
  <c r="X38" i="61" s="1"/>
  <c r="H38" i="61"/>
  <c r="F38" i="61"/>
  <c r="D38" i="61"/>
  <c r="B38" i="61"/>
  <c r="Z37" i="61"/>
  <c r="X37" i="61"/>
  <c r="N37" i="61"/>
  <c r="L37" i="61"/>
  <c r="B37" i="61"/>
  <c r="T36" i="61"/>
  <c r="R36" i="61"/>
  <c r="P36" i="61"/>
  <c r="H36" i="61"/>
  <c r="D36" i="61"/>
  <c r="L36" i="61" s="1"/>
  <c r="N36" i="61" s="1"/>
  <c r="B36" i="61"/>
  <c r="X35" i="61"/>
  <c r="Z35" i="61" s="1"/>
  <c r="V35" i="61"/>
  <c r="R35" i="61"/>
  <c r="L35" i="61"/>
  <c r="N35" i="61" s="1"/>
  <c r="J35" i="61"/>
  <c r="B35" i="61"/>
  <c r="V34" i="61"/>
  <c r="T34" i="61"/>
  <c r="P34" i="61"/>
  <c r="X34" i="61" s="1"/>
  <c r="N34" i="61"/>
  <c r="J34" i="61"/>
  <c r="H34" i="61"/>
  <c r="L34" i="61" s="1"/>
  <c r="D34" i="61"/>
  <c r="B34" i="61"/>
  <c r="X33" i="61"/>
  <c r="Z33" i="61" s="1"/>
  <c r="N33" i="61"/>
  <c r="L33" i="61"/>
  <c r="J33" i="61"/>
  <c r="F33" i="61"/>
  <c r="B33" i="61"/>
  <c r="T32" i="61"/>
  <c r="R32" i="61"/>
  <c r="P32" i="61"/>
  <c r="J32" i="61"/>
  <c r="H32" i="61"/>
  <c r="F32" i="61"/>
  <c r="D32" i="61"/>
  <c r="L32" i="61" s="1"/>
  <c r="B32" i="61"/>
  <c r="Z31" i="61"/>
  <c r="X31" i="61"/>
  <c r="R31" i="61"/>
  <c r="L31" i="61"/>
  <c r="N31" i="61" s="1"/>
  <c r="J31" i="61"/>
  <c r="F31" i="61"/>
  <c r="B31" i="61"/>
  <c r="X30" i="61"/>
  <c r="Z30" i="61" s="1"/>
  <c r="L30" i="61"/>
  <c r="N30" i="61" s="1"/>
  <c r="J30" i="61"/>
  <c r="B30" i="61"/>
  <c r="Z29" i="61"/>
  <c r="X29" i="61"/>
  <c r="N29" i="61"/>
  <c r="L29" i="61"/>
  <c r="B29" i="61"/>
  <c r="Z28" i="61"/>
  <c r="X28" i="61"/>
  <c r="R28" i="61"/>
  <c r="N28" i="61"/>
  <c r="L28" i="61"/>
  <c r="J28" i="61"/>
  <c r="F28" i="61"/>
  <c r="B28" i="61"/>
  <c r="T27" i="61"/>
  <c r="P27" i="61"/>
  <c r="X27" i="61" s="1"/>
  <c r="N27" i="61"/>
  <c r="L27" i="61"/>
  <c r="J27" i="61"/>
  <c r="H27" i="61"/>
  <c r="F27" i="61"/>
  <c r="D27" i="61"/>
  <c r="B27" i="61"/>
  <c r="X26" i="61"/>
  <c r="Z26" i="61" s="1"/>
  <c r="V26" i="61"/>
  <c r="L26" i="61"/>
  <c r="N26" i="61" s="1"/>
  <c r="J26" i="61"/>
  <c r="F26" i="61"/>
  <c r="B26" i="61"/>
  <c r="Z25" i="61"/>
  <c r="X25" i="61"/>
  <c r="N25" i="61"/>
  <c r="L25" i="61"/>
  <c r="F25" i="61"/>
  <c r="B25" i="61"/>
  <c r="Z24" i="61"/>
  <c r="X24" i="61"/>
  <c r="R24" i="61"/>
  <c r="L24" i="61"/>
  <c r="N24" i="61" s="1"/>
  <c r="F24" i="61"/>
  <c r="B24" i="61"/>
  <c r="X23" i="61"/>
  <c r="Z23" i="61" s="1"/>
  <c r="V23" i="61"/>
  <c r="R23" i="61"/>
  <c r="L23" i="61"/>
  <c r="N23" i="61" s="1"/>
  <c r="J23" i="61"/>
  <c r="B23" i="61"/>
  <c r="X22" i="61"/>
  <c r="Z22" i="61" s="1"/>
  <c r="V22" i="61"/>
  <c r="L22" i="61"/>
  <c r="N22" i="61" s="1"/>
  <c r="J22" i="61"/>
  <c r="F22" i="61"/>
  <c r="B22" i="61"/>
  <c r="Z21" i="61"/>
  <c r="X21" i="61"/>
  <c r="N21" i="61"/>
  <c r="L21" i="61"/>
  <c r="F21" i="61"/>
  <c r="B21" i="61"/>
  <c r="Z20" i="61"/>
  <c r="X20" i="61"/>
  <c r="R20" i="61"/>
  <c r="L20" i="61"/>
  <c r="N20" i="61" s="1"/>
  <c r="F20" i="61"/>
  <c r="B20" i="61"/>
  <c r="V19" i="61"/>
  <c r="T19" i="61"/>
  <c r="P19" i="61"/>
  <c r="H19" i="61"/>
  <c r="F19" i="61"/>
  <c r="D19" i="61"/>
  <c r="L19" i="61" s="1"/>
  <c r="N19" i="61" s="1"/>
  <c r="B19" i="61"/>
  <c r="V18" i="61"/>
  <c r="T18" i="61"/>
  <c r="R18" i="61"/>
  <c r="P18" i="61"/>
  <c r="X18" i="61" s="1"/>
  <c r="H18" i="61"/>
  <c r="F18" i="61"/>
  <c r="D18" i="61"/>
  <c r="R16" i="61"/>
  <c r="P16" i="61"/>
  <c r="H16" i="61"/>
  <c r="F16" i="61"/>
  <c r="X14" i="61"/>
  <c r="T14" i="61"/>
  <c r="Z14" i="61" s="1"/>
  <c r="R14" i="61"/>
  <c r="P14" i="61"/>
  <c r="H14" i="61"/>
  <c r="N14" i="61" s="1"/>
  <c r="F14" i="61"/>
  <c r="D14" i="61"/>
  <c r="L14" i="61" s="1"/>
  <c r="X12" i="61"/>
  <c r="T12" i="61"/>
  <c r="V39" i="61" s="1"/>
  <c r="P12" i="61"/>
  <c r="R19" i="61" s="1"/>
  <c r="N12" i="61"/>
  <c r="L12" i="61"/>
  <c r="H12" i="61"/>
  <c r="J48" i="61" s="1"/>
  <c r="D12" i="61"/>
  <c r="F35" i="61" s="1"/>
  <c r="D6" i="61"/>
  <c r="D4" i="61"/>
  <c r="R56" i="60"/>
  <c r="T53" i="60"/>
  <c r="T56" i="60" s="1"/>
  <c r="R53" i="60"/>
  <c r="Z51" i="60"/>
  <c r="X51" i="60"/>
  <c r="R51" i="60"/>
  <c r="N51" i="60"/>
  <c r="L51" i="60"/>
  <c r="F51" i="60"/>
  <c r="T49" i="60"/>
  <c r="R49" i="60"/>
  <c r="J49" i="60"/>
  <c r="T47" i="60"/>
  <c r="Z47" i="60" s="1"/>
  <c r="R47" i="60"/>
  <c r="P47" i="60"/>
  <c r="L47" i="60"/>
  <c r="H47" i="60"/>
  <c r="N47" i="60" s="1"/>
  <c r="F47" i="60"/>
  <c r="D47" i="60"/>
  <c r="X45" i="60"/>
  <c r="Z45" i="60" s="1"/>
  <c r="R45" i="60"/>
  <c r="N45" i="60"/>
  <c r="L45" i="60"/>
  <c r="F45" i="60"/>
  <c r="B45" i="60"/>
  <c r="X44" i="60"/>
  <c r="Z44" i="60" s="1"/>
  <c r="V44" i="60"/>
  <c r="T44" i="60"/>
  <c r="P44" i="60"/>
  <c r="H44" i="60"/>
  <c r="D44" i="60"/>
  <c r="L44" i="60" s="1"/>
  <c r="N44" i="60" s="1"/>
  <c r="B44" i="60"/>
  <c r="Z43" i="60"/>
  <c r="X43" i="60"/>
  <c r="L43" i="60"/>
  <c r="N43" i="60" s="1"/>
  <c r="B43" i="60"/>
  <c r="Z42" i="60"/>
  <c r="X42" i="60"/>
  <c r="V42" i="60"/>
  <c r="T42" i="60"/>
  <c r="R42" i="60"/>
  <c r="P42" i="60"/>
  <c r="H42" i="60"/>
  <c r="D42" i="60"/>
  <c r="B42" i="60"/>
  <c r="X41" i="60"/>
  <c r="Z41" i="60" s="1"/>
  <c r="V41" i="60"/>
  <c r="R41" i="60"/>
  <c r="N41" i="60"/>
  <c r="L41" i="60"/>
  <c r="B41" i="60"/>
  <c r="X40" i="60"/>
  <c r="Z40" i="60" s="1"/>
  <c r="V40" i="60"/>
  <c r="R40" i="60"/>
  <c r="N40" i="60"/>
  <c r="L40" i="60"/>
  <c r="B40" i="60"/>
  <c r="X39" i="60"/>
  <c r="V39" i="60"/>
  <c r="T39" i="60"/>
  <c r="P39" i="60"/>
  <c r="J39" i="60"/>
  <c r="H39" i="60"/>
  <c r="D39" i="60"/>
  <c r="B39" i="60"/>
  <c r="X38" i="60"/>
  <c r="Z38" i="60" s="1"/>
  <c r="N38" i="60"/>
  <c r="L38" i="60"/>
  <c r="J38" i="60"/>
  <c r="B38" i="60"/>
  <c r="T37" i="60"/>
  <c r="R37" i="60"/>
  <c r="P37" i="60"/>
  <c r="X37" i="60" s="1"/>
  <c r="H37" i="60"/>
  <c r="F37" i="60"/>
  <c r="D37" i="60"/>
  <c r="L37" i="60" s="1"/>
  <c r="B37" i="60"/>
  <c r="Z36" i="60"/>
  <c r="X36" i="60"/>
  <c r="V36" i="60"/>
  <c r="R36" i="60"/>
  <c r="N36" i="60"/>
  <c r="L36" i="60"/>
  <c r="J36" i="60"/>
  <c r="B36" i="60"/>
  <c r="X35" i="60"/>
  <c r="Z35" i="60" s="1"/>
  <c r="N35" i="60"/>
  <c r="L35" i="60"/>
  <c r="J35" i="60"/>
  <c r="B35" i="60"/>
  <c r="X34" i="60"/>
  <c r="V34" i="60"/>
  <c r="T34" i="60"/>
  <c r="Z34" i="60" s="1"/>
  <c r="R34" i="60"/>
  <c r="P34" i="60"/>
  <c r="J34" i="60"/>
  <c r="H34" i="60"/>
  <c r="N34" i="60" s="1"/>
  <c r="D34" i="60"/>
  <c r="B34" i="60"/>
  <c r="Z33" i="60"/>
  <c r="X33" i="60"/>
  <c r="V33" i="60"/>
  <c r="R33" i="60"/>
  <c r="N33" i="60"/>
  <c r="L33" i="60"/>
  <c r="B33" i="60"/>
  <c r="V32" i="60"/>
  <c r="T32" i="60"/>
  <c r="R32" i="60"/>
  <c r="P32" i="60"/>
  <c r="H32" i="60"/>
  <c r="D32" i="60"/>
  <c r="L32" i="60" s="1"/>
  <c r="N32" i="60" s="1"/>
  <c r="B32" i="60"/>
  <c r="X31" i="60"/>
  <c r="Z31" i="60" s="1"/>
  <c r="V31" i="60"/>
  <c r="R31" i="60"/>
  <c r="N31" i="60"/>
  <c r="L31" i="60"/>
  <c r="B31" i="60"/>
  <c r="T30" i="60"/>
  <c r="R30" i="60"/>
  <c r="P30" i="60"/>
  <c r="X30" i="60" s="1"/>
  <c r="Z30" i="60" s="1"/>
  <c r="L30" i="60"/>
  <c r="N30" i="60" s="1"/>
  <c r="J30" i="60"/>
  <c r="H30" i="60"/>
  <c r="D30" i="60"/>
  <c r="B30" i="60"/>
  <c r="Z29" i="60"/>
  <c r="X29" i="60"/>
  <c r="V29" i="60"/>
  <c r="R29" i="60"/>
  <c r="L29" i="60"/>
  <c r="N29" i="60" s="1"/>
  <c r="B29" i="60"/>
  <c r="V28" i="60"/>
  <c r="T28" i="60"/>
  <c r="P28" i="60"/>
  <c r="L28" i="60"/>
  <c r="J28" i="60"/>
  <c r="H28" i="60"/>
  <c r="N28" i="60" s="1"/>
  <c r="D28" i="60"/>
  <c r="B28" i="60"/>
  <c r="X27" i="60"/>
  <c r="Z27" i="60" s="1"/>
  <c r="V27" i="60"/>
  <c r="L27" i="60"/>
  <c r="N27" i="60" s="1"/>
  <c r="J27" i="60"/>
  <c r="F27" i="60"/>
  <c r="B27" i="60"/>
  <c r="Z26" i="60"/>
  <c r="X26" i="60"/>
  <c r="L26" i="60"/>
  <c r="N26" i="60" s="1"/>
  <c r="B26" i="60"/>
  <c r="X25" i="60"/>
  <c r="Z25" i="60" s="1"/>
  <c r="V25" i="60"/>
  <c r="R25" i="60"/>
  <c r="N25" i="60"/>
  <c r="L25" i="60"/>
  <c r="B25" i="60"/>
  <c r="X24" i="60"/>
  <c r="Z24" i="60" s="1"/>
  <c r="V24" i="60"/>
  <c r="R24" i="60"/>
  <c r="N24" i="60"/>
  <c r="L24" i="60"/>
  <c r="J24" i="60"/>
  <c r="B24" i="60"/>
  <c r="X23" i="60"/>
  <c r="Z23" i="60" s="1"/>
  <c r="V23" i="60"/>
  <c r="L23" i="60"/>
  <c r="N23" i="60" s="1"/>
  <c r="F23" i="60"/>
  <c r="B23" i="60"/>
  <c r="Z22" i="60"/>
  <c r="X22" i="60"/>
  <c r="N22" i="60"/>
  <c r="L22" i="60"/>
  <c r="B22" i="60"/>
  <c r="X21" i="60"/>
  <c r="Z21" i="60" s="1"/>
  <c r="V21" i="60"/>
  <c r="R21" i="60"/>
  <c r="N21" i="60"/>
  <c r="L21" i="60"/>
  <c r="B21" i="60"/>
  <c r="X20" i="60"/>
  <c r="Z20" i="60" s="1"/>
  <c r="V20" i="60"/>
  <c r="R20" i="60"/>
  <c r="N20" i="60"/>
  <c r="L20" i="60"/>
  <c r="J20" i="60"/>
  <c r="B20" i="60"/>
  <c r="X19" i="60"/>
  <c r="V19" i="60"/>
  <c r="T19" i="60"/>
  <c r="P19" i="60"/>
  <c r="J19" i="60"/>
  <c r="H19" i="60"/>
  <c r="D19" i="60"/>
  <c r="B19" i="60"/>
  <c r="X18" i="60"/>
  <c r="Z18" i="60" s="1"/>
  <c r="T18" i="60"/>
  <c r="R18" i="60"/>
  <c r="P18" i="60"/>
  <c r="N18" i="60"/>
  <c r="L18" i="60"/>
  <c r="H18" i="60"/>
  <c r="D18" i="60"/>
  <c r="Z16" i="60"/>
  <c r="R16" i="60"/>
  <c r="P16" i="60"/>
  <c r="J16" i="60"/>
  <c r="Z14" i="60"/>
  <c r="X14" i="60"/>
  <c r="T14" i="60"/>
  <c r="T16" i="60" s="1"/>
  <c r="R14" i="60"/>
  <c r="P14" i="60"/>
  <c r="N14" i="60"/>
  <c r="L14" i="60"/>
  <c r="J14" i="60"/>
  <c r="H14" i="60"/>
  <c r="D14" i="60"/>
  <c r="Z12" i="60"/>
  <c r="X12" i="60"/>
  <c r="T12" i="60"/>
  <c r="V43" i="60" s="1"/>
  <c r="P12" i="60"/>
  <c r="R44" i="60" s="1"/>
  <c r="L12" i="60"/>
  <c r="H12" i="60"/>
  <c r="J43" i="60" s="1"/>
  <c r="D12" i="60"/>
  <c r="F36" i="60" s="1"/>
  <c r="D6" i="60"/>
  <c r="D4" i="60"/>
  <c r="V65" i="59"/>
  <c r="J65" i="59"/>
  <c r="V62" i="59"/>
  <c r="F62" i="59"/>
  <c r="Z60" i="59"/>
  <c r="X60" i="59"/>
  <c r="V60" i="59"/>
  <c r="N60" i="59"/>
  <c r="L60" i="59"/>
  <c r="F60" i="59"/>
  <c r="V58" i="59"/>
  <c r="F58" i="59"/>
  <c r="Z56" i="59"/>
  <c r="X56" i="59"/>
  <c r="V56" i="59"/>
  <c r="T56" i="59"/>
  <c r="P56" i="59"/>
  <c r="N56" i="59"/>
  <c r="L56" i="59"/>
  <c r="H56" i="59"/>
  <c r="F56" i="59"/>
  <c r="D56" i="59"/>
  <c r="Z54" i="59"/>
  <c r="X54" i="59"/>
  <c r="N54" i="59"/>
  <c r="L54" i="59"/>
  <c r="F54" i="59"/>
  <c r="B54" i="59"/>
  <c r="X53" i="59"/>
  <c r="Z53" i="59" s="1"/>
  <c r="V53" i="59"/>
  <c r="R53" i="59"/>
  <c r="L53" i="59"/>
  <c r="N53" i="59" s="1"/>
  <c r="B53" i="59"/>
  <c r="T52" i="59"/>
  <c r="P52" i="59"/>
  <c r="X52" i="59" s="1"/>
  <c r="Z52" i="59" s="1"/>
  <c r="L52" i="59"/>
  <c r="N52" i="59" s="1"/>
  <c r="J52" i="59"/>
  <c r="H52" i="59"/>
  <c r="D52" i="59"/>
  <c r="B52" i="59"/>
  <c r="Z51" i="59"/>
  <c r="X51" i="59"/>
  <c r="N51" i="59"/>
  <c r="L51" i="59"/>
  <c r="J51" i="59"/>
  <c r="B51" i="59"/>
  <c r="V50" i="59"/>
  <c r="T50" i="59"/>
  <c r="P50" i="59"/>
  <c r="N50" i="59"/>
  <c r="L50" i="59"/>
  <c r="H50" i="59"/>
  <c r="F50" i="59"/>
  <c r="D50" i="59"/>
  <c r="B50" i="59"/>
  <c r="X49" i="59"/>
  <c r="Z49" i="59" s="1"/>
  <c r="L49" i="59"/>
  <c r="N49" i="59" s="1"/>
  <c r="J49" i="59"/>
  <c r="B49" i="59"/>
  <c r="Z48" i="59"/>
  <c r="X48" i="59"/>
  <c r="L48" i="59"/>
  <c r="N48" i="59" s="1"/>
  <c r="B48" i="59"/>
  <c r="V47" i="59"/>
  <c r="T47" i="59"/>
  <c r="P47" i="59"/>
  <c r="J47" i="59"/>
  <c r="H47" i="59"/>
  <c r="D47" i="59"/>
  <c r="L47" i="59" s="1"/>
  <c r="B47" i="59"/>
  <c r="Z46" i="59"/>
  <c r="X46" i="59"/>
  <c r="L46" i="59"/>
  <c r="N46" i="59" s="1"/>
  <c r="J46" i="59"/>
  <c r="B46" i="59"/>
  <c r="T45" i="59"/>
  <c r="P45" i="59"/>
  <c r="X45" i="59" s="1"/>
  <c r="H45" i="59"/>
  <c r="D45" i="59"/>
  <c r="L45" i="59" s="1"/>
  <c r="B45" i="59"/>
  <c r="X44" i="59"/>
  <c r="Z44" i="59" s="1"/>
  <c r="V44" i="59"/>
  <c r="N44" i="59"/>
  <c r="L44" i="59"/>
  <c r="B44" i="59"/>
  <c r="Z43" i="59"/>
  <c r="X43" i="59"/>
  <c r="R43" i="59"/>
  <c r="N43" i="59"/>
  <c r="L43" i="59"/>
  <c r="J43" i="59"/>
  <c r="F43" i="59"/>
  <c r="B43" i="59"/>
  <c r="X42" i="59"/>
  <c r="Z42" i="59" s="1"/>
  <c r="V42" i="59"/>
  <c r="L42" i="59"/>
  <c r="N42" i="59" s="1"/>
  <c r="B42" i="59"/>
  <c r="T41" i="59"/>
  <c r="P41" i="59"/>
  <c r="X41" i="59" s="1"/>
  <c r="Z41" i="59" s="1"/>
  <c r="H41" i="59"/>
  <c r="D41" i="59"/>
  <c r="B41" i="59"/>
  <c r="Z40" i="59"/>
  <c r="X40" i="59"/>
  <c r="N40" i="59"/>
  <c r="L40" i="59"/>
  <c r="F40" i="59"/>
  <c r="B40" i="59"/>
  <c r="V39" i="59"/>
  <c r="T39" i="59"/>
  <c r="P39" i="59"/>
  <c r="L39" i="59"/>
  <c r="H39" i="59"/>
  <c r="N39" i="59" s="1"/>
  <c r="F39" i="59"/>
  <c r="D39" i="59"/>
  <c r="B39" i="59"/>
  <c r="Z38" i="59"/>
  <c r="X38" i="59"/>
  <c r="L38" i="59"/>
  <c r="N38" i="59" s="1"/>
  <c r="F38" i="59"/>
  <c r="B38" i="59"/>
  <c r="X37" i="59"/>
  <c r="Z37" i="59" s="1"/>
  <c r="V37" i="59"/>
  <c r="T37" i="59"/>
  <c r="P37" i="59"/>
  <c r="H37" i="59"/>
  <c r="D37" i="59"/>
  <c r="L37" i="59" s="1"/>
  <c r="B37" i="59"/>
  <c r="Z36" i="59"/>
  <c r="X36" i="59"/>
  <c r="V36" i="59"/>
  <c r="R36" i="59"/>
  <c r="N36" i="59"/>
  <c r="L36" i="59"/>
  <c r="B36" i="59"/>
  <c r="Z35" i="59"/>
  <c r="T35" i="59"/>
  <c r="P35" i="59"/>
  <c r="X35" i="59" s="1"/>
  <c r="H35" i="59"/>
  <c r="D35" i="59"/>
  <c r="L35" i="59" s="1"/>
  <c r="N35" i="59" s="1"/>
  <c r="B35" i="59"/>
  <c r="X34" i="59"/>
  <c r="Z34" i="59" s="1"/>
  <c r="V34" i="59"/>
  <c r="N34" i="59"/>
  <c r="L34" i="59"/>
  <c r="J34" i="59"/>
  <c r="B34" i="59"/>
  <c r="X33" i="59"/>
  <c r="Z33" i="59" s="1"/>
  <c r="V33" i="59"/>
  <c r="L33" i="59"/>
  <c r="N33" i="59" s="1"/>
  <c r="J33" i="59"/>
  <c r="B33" i="59"/>
  <c r="Z32" i="59"/>
  <c r="X32" i="59"/>
  <c r="L32" i="59"/>
  <c r="N32" i="59" s="1"/>
  <c r="B32" i="59"/>
  <c r="X31" i="59"/>
  <c r="Z31" i="59" s="1"/>
  <c r="V31" i="59"/>
  <c r="R31" i="59"/>
  <c r="N31" i="59"/>
  <c r="L31" i="59"/>
  <c r="F31" i="59"/>
  <c r="B31" i="59"/>
  <c r="X30" i="59"/>
  <c r="Z30" i="59" s="1"/>
  <c r="V30" i="59"/>
  <c r="N30" i="59"/>
  <c r="L30" i="59"/>
  <c r="F30" i="59"/>
  <c r="B30" i="59"/>
  <c r="V29" i="59"/>
  <c r="T29" i="59"/>
  <c r="P29" i="59"/>
  <c r="X29" i="59" s="1"/>
  <c r="J29" i="59"/>
  <c r="H29" i="59"/>
  <c r="L29" i="59" s="1"/>
  <c r="N29" i="59" s="1"/>
  <c r="D29" i="59"/>
  <c r="B29" i="59"/>
  <c r="X28" i="59"/>
  <c r="Z28" i="59" s="1"/>
  <c r="N28" i="59"/>
  <c r="L28" i="59"/>
  <c r="J28" i="59"/>
  <c r="B28" i="59"/>
  <c r="Z27" i="59"/>
  <c r="X27" i="59"/>
  <c r="R27" i="59"/>
  <c r="N27" i="59"/>
  <c r="L27" i="59"/>
  <c r="J27" i="59"/>
  <c r="F27" i="59"/>
  <c r="B27" i="59"/>
  <c r="X26" i="59"/>
  <c r="Z26" i="59" s="1"/>
  <c r="N26" i="59"/>
  <c r="L26" i="59"/>
  <c r="J26" i="59"/>
  <c r="F26" i="59"/>
  <c r="B26" i="59"/>
  <c r="Z25" i="59"/>
  <c r="X25" i="59"/>
  <c r="V25" i="59"/>
  <c r="N25" i="59"/>
  <c r="L25" i="59"/>
  <c r="J25" i="59"/>
  <c r="B25" i="59"/>
  <c r="X24" i="59"/>
  <c r="Z24" i="59" s="1"/>
  <c r="V24" i="59"/>
  <c r="N24" i="59"/>
  <c r="L24" i="59"/>
  <c r="B24" i="59"/>
  <c r="Z23" i="59"/>
  <c r="X23" i="59"/>
  <c r="L23" i="59"/>
  <c r="N23" i="59" s="1"/>
  <c r="J23" i="59"/>
  <c r="B23" i="59"/>
  <c r="Z22" i="59"/>
  <c r="X22" i="59"/>
  <c r="N22" i="59"/>
  <c r="L22" i="59"/>
  <c r="B22" i="59"/>
  <c r="Z21" i="59"/>
  <c r="X21" i="59"/>
  <c r="V21" i="59"/>
  <c r="N21" i="59"/>
  <c r="L21" i="59"/>
  <c r="J21" i="59"/>
  <c r="B21" i="59"/>
  <c r="Z20" i="59"/>
  <c r="X20" i="59"/>
  <c r="V20" i="59"/>
  <c r="R20" i="59"/>
  <c r="N20" i="59"/>
  <c r="L20" i="59"/>
  <c r="J20" i="59"/>
  <c r="F20" i="59"/>
  <c r="B20" i="59"/>
  <c r="X19" i="59"/>
  <c r="T19" i="59"/>
  <c r="Z19" i="59" s="1"/>
  <c r="P19" i="59"/>
  <c r="L19" i="59"/>
  <c r="N19" i="59" s="1"/>
  <c r="J19" i="59"/>
  <c r="H19" i="59"/>
  <c r="F19" i="59"/>
  <c r="D19" i="59"/>
  <c r="B19" i="59"/>
  <c r="V18" i="59"/>
  <c r="T18" i="59"/>
  <c r="Z18" i="59" s="1"/>
  <c r="P18" i="59"/>
  <c r="X18" i="59" s="1"/>
  <c r="L18" i="59"/>
  <c r="N18" i="59" s="1"/>
  <c r="J18" i="59"/>
  <c r="H18" i="59"/>
  <c r="F18" i="59"/>
  <c r="D18" i="59"/>
  <c r="J16" i="59"/>
  <c r="T14" i="59"/>
  <c r="Z14" i="59" s="1"/>
  <c r="P14" i="59"/>
  <c r="X14" i="59" s="1"/>
  <c r="J14" i="59"/>
  <c r="H14" i="59"/>
  <c r="N14" i="59" s="1"/>
  <c r="D14" i="59"/>
  <c r="D16" i="59" s="1"/>
  <c r="Z12" i="59"/>
  <c r="T12" i="59"/>
  <c r="V26" i="59" s="1"/>
  <c r="P12" i="59"/>
  <c r="R52" i="59" s="1"/>
  <c r="L12" i="59"/>
  <c r="H12" i="59"/>
  <c r="J62" i="59" s="1"/>
  <c r="D12" i="59"/>
  <c r="D6" i="59"/>
  <c r="D4" i="59"/>
  <c r="F78" i="58"/>
  <c r="F75" i="58"/>
  <c r="Z73" i="58"/>
  <c r="X73" i="58"/>
  <c r="N73" i="58"/>
  <c r="L73" i="58"/>
  <c r="F73" i="58"/>
  <c r="T69" i="58"/>
  <c r="Z69" i="58" s="1"/>
  <c r="P69" i="58"/>
  <c r="X69" i="58" s="1"/>
  <c r="H69" i="58"/>
  <c r="N69" i="58" s="1"/>
  <c r="D69" i="58"/>
  <c r="L69" i="58" s="1"/>
  <c r="Z67" i="58"/>
  <c r="X67" i="58"/>
  <c r="V67" i="58"/>
  <c r="R67" i="58"/>
  <c r="L67" i="58"/>
  <c r="N67" i="58" s="1"/>
  <c r="J67" i="58"/>
  <c r="B67" i="58"/>
  <c r="T66" i="58"/>
  <c r="P66" i="58"/>
  <c r="X66" i="58" s="1"/>
  <c r="Z66" i="58" s="1"/>
  <c r="J66" i="58"/>
  <c r="H66" i="58"/>
  <c r="D66" i="58"/>
  <c r="L66" i="58" s="1"/>
  <c r="N66" i="58" s="1"/>
  <c r="B66" i="58"/>
  <c r="X65" i="58"/>
  <c r="Z65" i="58" s="1"/>
  <c r="N65" i="58"/>
  <c r="L65" i="58"/>
  <c r="F65" i="58"/>
  <c r="B65" i="58"/>
  <c r="T64" i="58"/>
  <c r="R64" i="58"/>
  <c r="P64" i="58"/>
  <c r="X64" i="58" s="1"/>
  <c r="Z64" i="58" s="1"/>
  <c r="L64" i="58"/>
  <c r="N64" i="58" s="1"/>
  <c r="J64" i="58"/>
  <c r="H64" i="58"/>
  <c r="F64" i="58"/>
  <c r="D64" i="58"/>
  <c r="B64" i="58"/>
  <c r="X63" i="58"/>
  <c r="Z63" i="58" s="1"/>
  <c r="R63" i="58"/>
  <c r="N63" i="58"/>
  <c r="L63" i="58"/>
  <c r="J63" i="58"/>
  <c r="F63" i="58"/>
  <c r="B63" i="58"/>
  <c r="Z62" i="58"/>
  <c r="X62" i="58"/>
  <c r="T62" i="58"/>
  <c r="R62" i="58"/>
  <c r="P62" i="58"/>
  <c r="H62" i="58"/>
  <c r="F62" i="58"/>
  <c r="D62" i="58"/>
  <c r="B62" i="58"/>
  <c r="Z61" i="58"/>
  <c r="X61" i="58"/>
  <c r="R61" i="58"/>
  <c r="L61" i="58"/>
  <c r="N61" i="58" s="1"/>
  <c r="B61" i="58"/>
  <c r="Z60" i="58"/>
  <c r="X60" i="58"/>
  <c r="R60" i="58"/>
  <c r="N60" i="58"/>
  <c r="L60" i="58"/>
  <c r="J60" i="58"/>
  <c r="B60" i="58"/>
  <c r="Z59" i="58"/>
  <c r="X59" i="58"/>
  <c r="V59" i="58"/>
  <c r="R59" i="58"/>
  <c r="L59" i="58"/>
  <c r="N59" i="58" s="1"/>
  <c r="J59" i="58"/>
  <c r="B59" i="58"/>
  <c r="Z58" i="58"/>
  <c r="X58" i="58"/>
  <c r="N58" i="58"/>
  <c r="L58" i="58"/>
  <c r="J58" i="58"/>
  <c r="B58" i="58"/>
  <c r="T57" i="58"/>
  <c r="P57" i="58"/>
  <c r="X57" i="58" s="1"/>
  <c r="J57" i="58"/>
  <c r="H57" i="58"/>
  <c r="D57" i="58"/>
  <c r="B57" i="58"/>
  <c r="Z56" i="58"/>
  <c r="X56" i="58"/>
  <c r="N56" i="58"/>
  <c r="L56" i="58"/>
  <c r="F56" i="58"/>
  <c r="B56" i="58"/>
  <c r="X55" i="58"/>
  <c r="T55" i="58"/>
  <c r="Z55" i="58" s="1"/>
  <c r="P55" i="58"/>
  <c r="H55" i="58"/>
  <c r="N55" i="58" s="1"/>
  <c r="F55" i="58"/>
  <c r="D55" i="58"/>
  <c r="L55" i="58" s="1"/>
  <c r="B55" i="58"/>
  <c r="Z54" i="58"/>
  <c r="X54" i="58"/>
  <c r="N54" i="58"/>
  <c r="L54" i="58"/>
  <c r="J54" i="58"/>
  <c r="B54" i="58"/>
  <c r="Z53" i="58"/>
  <c r="X53" i="58"/>
  <c r="R53" i="58"/>
  <c r="N53" i="58"/>
  <c r="L53" i="58"/>
  <c r="F53" i="58"/>
  <c r="B53" i="58"/>
  <c r="T52" i="58"/>
  <c r="R52" i="58"/>
  <c r="P52" i="58"/>
  <c r="N52" i="58"/>
  <c r="L52" i="58"/>
  <c r="H52" i="58"/>
  <c r="F52" i="58"/>
  <c r="D52" i="58"/>
  <c r="B52" i="58"/>
  <c r="Z51" i="58"/>
  <c r="X51" i="58"/>
  <c r="R51" i="58"/>
  <c r="L51" i="58"/>
  <c r="N51" i="58" s="1"/>
  <c r="J51" i="58"/>
  <c r="B51" i="58"/>
  <c r="Z50" i="58"/>
  <c r="X50" i="58"/>
  <c r="L50" i="58"/>
  <c r="N50" i="58" s="1"/>
  <c r="J50" i="58"/>
  <c r="B50" i="58"/>
  <c r="T49" i="58"/>
  <c r="Z49" i="58" s="1"/>
  <c r="P49" i="58"/>
  <c r="X49" i="58" s="1"/>
  <c r="J49" i="58"/>
  <c r="H49" i="58"/>
  <c r="D49" i="58"/>
  <c r="L49" i="58" s="1"/>
  <c r="B49" i="58"/>
  <c r="Z48" i="58"/>
  <c r="X48" i="58"/>
  <c r="N48" i="58"/>
  <c r="L48" i="58"/>
  <c r="F48" i="58"/>
  <c r="B48" i="58"/>
  <c r="X47" i="58"/>
  <c r="T47" i="58"/>
  <c r="Z47" i="58" s="1"/>
  <c r="P47" i="58"/>
  <c r="H47" i="58"/>
  <c r="F47" i="58"/>
  <c r="D47" i="58"/>
  <c r="L47" i="58" s="1"/>
  <c r="B47" i="58"/>
  <c r="Z46" i="58"/>
  <c r="X46" i="58"/>
  <c r="N46" i="58"/>
  <c r="L46" i="58"/>
  <c r="J46" i="58"/>
  <c r="B46" i="58"/>
  <c r="Z45" i="58"/>
  <c r="X45" i="58"/>
  <c r="T45" i="58"/>
  <c r="R45" i="58"/>
  <c r="P45" i="58"/>
  <c r="L45" i="58"/>
  <c r="H45" i="58"/>
  <c r="N45" i="58" s="1"/>
  <c r="D45" i="58"/>
  <c r="B45" i="58"/>
  <c r="Z44" i="58"/>
  <c r="X44" i="58"/>
  <c r="R44" i="58"/>
  <c r="N44" i="58"/>
  <c r="L44" i="58"/>
  <c r="J44" i="58"/>
  <c r="B44" i="58"/>
  <c r="T43" i="58"/>
  <c r="P43" i="58"/>
  <c r="X43" i="58" s="1"/>
  <c r="H43" i="58"/>
  <c r="N43" i="58" s="1"/>
  <c r="D43" i="58"/>
  <c r="L43" i="58" s="1"/>
  <c r="B43" i="58"/>
  <c r="X42" i="58"/>
  <c r="Z42" i="58" s="1"/>
  <c r="V42" i="58"/>
  <c r="N42" i="58"/>
  <c r="L42" i="58"/>
  <c r="B42" i="58"/>
  <c r="T41" i="58"/>
  <c r="Z41" i="58" s="1"/>
  <c r="R41" i="58"/>
  <c r="P41" i="58"/>
  <c r="X41" i="58" s="1"/>
  <c r="L41" i="58"/>
  <c r="J41" i="58"/>
  <c r="H41" i="58"/>
  <c r="N41" i="58" s="1"/>
  <c r="D41" i="58"/>
  <c r="B41" i="58"/>
  <c r="Z40" i="58"/>
  <c r="X40" i="58"/>
  <c r="R40" i="58"/>
  <c r="N40" i="58"/>
  <c r="L40" i="58"/>
  <c r="J40" i="58"/>
  <c r="F40" i="58"/>
  <c r="B40" i="58"/>
  <c r="X39" i="58"/>
  <c r="T39" i="58"/>
  <c r="Z39" i="58" s="1"/>
  <c r="P39" i="58"/>
  <c r="L39" i="58"/>
  <c r="N39" i="58" s="1"/>
  <c r="H39" i="58"/>
  <c r="F39" i="58"/>
  <c r="D39" i="58"/>
  <c r="B39" i="58"/>
  <c r="Z38" i="58"/>
  <c r="X38" i="58"/>
  <c r="L38" i="58"/>
  <c r="N38" i="58" s="1"/>
  <c r="J38" i="58"/>
  <c r="B38" i="58"/>
  <c r="T37" i="58"/>
  <c r="Z37" i="58" s="1"/>
  <c r="P37" i="58"/>
  <c r="X37" i="58" s="1"/>
  <c r="J37" i="58"/>
  <c r="H37" i="58"/>
  <c r="D37" i="58"/>
  <c r="B37" i="58"/>
  <c r="Z36" i="58"/>
  <c r="X36" i="58"/>
  <c r="N36" i="58"/>
  <c r="L36" i="58"/>
  <c r="F36" i="58"/>
  <c r="B36" i="58"/>
  <c r="X35" i="58"/>
  <c r="T35" i="58"/>
  <c r="P35" i="58"/>
  <c r="H35" i="58"/>
  <c r="N35" i="58" s="1"/>
  <c r="F35" i="58"/>
  <c r="D35" i="58"/>
  <c r="L35" i="58" s="1"/>
  <c r="B35" i="58"/>
  <c r="Z34" i="58"/>
  <c r="X34" i="58"/>
  <c r="N34" i="58"/>
  <c r="L34" i="58"/>
  <c r="J34" i="58"/>
  <c r="B34" i="58"/>
  <c r="X33" i="58"/>
  <c r="Z33" i="58" s="1"/>
  <c r="R33" i="58"/>
  <c r="N33" i="58"/>
  <c r="L33" i="58"/>
  <c r="F33" i="58"/>
  <c r="B33" i="58"/>
  <c r="Z32" i="58"/>
  <c r="X32" i="58"/>
  <c r="R32" i="58"/>
  <c r="N32" i="58"/>
  <c r="L32" i="58"/>
  <c r="J32" i="58"/>
  <c r="F32" i="58"/>
  <c r="B32" i="58"/>
  <c r="X31" i="58"/>
  <c r="Z31" i="58" s="1"/>
  <c r="R31" i="58"/>
  <c r="L31" i="58"/>
  <c r="N31" i="58" s="1"/>
  <c r="J31" i="58"/>
  <c r="F31" i="58"/>
  <c r="B31" i="58"/>
  <c r="Z30" i="58"/>
  <c r="X30" i="58"/>
  <c r="T30" i="58"/>
  <c r="R30" i="58"/>
  <c r="P30" i="58"/>
  <c r="H30" i="58"/>
  <c r="F30" i="58"/>
  <c r="D30" i="58"/>
  <c r="B30" i="58"/>
  <c r="Z29" i="58"/>
  <c r="X29" i="58"/>
  <c r="R29" i="58"/>
  <c r="L29" i="58"/>
  <c r="N29" i="58" s="1"/>
  <c r="B29" i="58"/>
  <c r="Z28" i="58"/>
  <c r="X28" i="58"/>
  <c r="V28" i="58"/>
  <c r="R28" i="58"/>
  <c r="N28" i="58"/>
  <c r="L28" i="58"/>
  <c r="J28" i="58"/>
  <c r="B28" i="58"/>
  <c r="X27" i="58"/>
  <c r="Z27" i="58" s="1"/>
  <c r="R27" i="58"/>
  <c r="L27" i="58"/>
  <c r="N27" i="58" s="1"/>
  <c r="J27" i="58"/>
  <c r="B27" i="58"/>
  <c r="Z26" i="58"/>
  <c r="X26" i="58"/>
  <c r="L26" i="58"/>
  <c r="N26" i="58" s="1"/>
  <c r="J26" i="58"/>
  <c r="B26" i="58"/>
  <c r="Z25" i="58"/>
  <c r="X25" i="58"/>
  <c r="R25" i="58"/>
  <c r="L25" i="58"/>
  <c r="N25" i="58" s="1"/>
  <c r="B25" i="58"/>
  <c r="Z24" i="58"/>
  <c r="X24" i="58"/>
  <c r="V24" i="58"/>
  <c r="R24" i="58"/>
  <c r="N24" i="58"/>
  <c r="L24" i="58"/>
  <c r="J24" i="58"/>
  <c r="F24" i="58"/>
  <c r="B24" i="58"/>
  <c r="X23" i="58"/>
  <c r="Z23" i="58" s="1"/>
  <c r="V23" i="58"/>
  <c r="R23" i="58"/>
  <c r="L23" i="58"/>
  <c r="N23" i="58" s="1"/>
  <c r="J23" i="58"/>
  <c r="B23" i="58"/>
  <c r="Z22" i="58"/>
  <c r="X22" i="58"/>
  <c r="L22" i="58"/>
  <c r="N22" i="58" s="1"/>
  <c r="J22" i="58"/>
  <c r="B22" i="58"/>
  <c r="Z21" i="58"/>
  <c r="X21" i="58"/>
  <c r="R21" i="58"/>
  <c r="L21" i="58"/>
  <c r="N21" i="58" s="1"/>
  <c r="F21" i="58"/>
  <c r="B21" i="58"/>
  <c r="Z20" i="58"/>
  <c r="X20" i="58"/>
  <c r="R20" i="58"/>
  <c r="N20" i="58"/>
  <c r="L20" i="58"/>
  <c r="J20" i="58"/>
  <c r="F20" i="58"/>
  <c r="B20" i="58"/>
  <c r="T19" i="58"/>
  <c r="P19" i="58"/>
  <c r="H19" i="58"/>
  <c r="N19" i="58" s="1"/>
  <c r="F19" i="58"/>
  <c r="D19" i="58"/>
  <c r="L19" i="58" s="1"/>
  <c r="B19" i="58"/>
  <c r="X18" i="58"/>
  <c r="T18" i="58"/>
  <c r="R18" i="58"/>
  <c r="P18" i="58"/>
  <c r="J18" i="58"/>
  <c r="H18" i="58"/>
  <c r="F18" i="58"/>
  <c r="D18" i="58"/>
  <c r="L18" i="58" s="1"/>
  <c r="R16" i="58"/>
  <c r="J16" i="58"/>
  <c r="F16" i="58"/>
  <c r="X14" i="58"/>
  <c r="T14" i="58"/>
  <c r="Z14" i="58" s="1"/>
  <c r="R14" i="58"/>
  <c r="P14" i="58"/>
  <c r="P16" i="58" s="1"/>
  <c r="P71" i="58" s="1"/>
  <c r="J14" i="58"/>
  <c r="H14" i="58"/>
  <c r="N14" i="58" s="1"/>
  <c r="F14" i="58"/>
  <c r="D14" i="58"/>
  <c r="L14" i="58" s="1"/>
  <c r="T12" i="58"/>
  <c r="V69" i="58" s="1"/>
  <c r="P12" i="58"/>
  <c r="R71" i="58" s="1"/>
  <c r="N12" i="58"/>
  <c r="L12" i="58"/>
  <c r="H12" i="58"/>
  <c r="J65" i="58" s="1"/>
  <c r="D12" i="58"/>
  <c r="F58" i="58" s="1"/>
  <c r="D6" i="58"/>
  <c r="D4" i="58"/>
  <c r="R71" i="57"/>
  <c r="F71" i="57"/>
  <c r="R68" i="57"/>
  <c r="F68" i="57"/>
  <c r="Z66" i="57"/>
  <c r="X66" i="57"/>
  <c r="R66" i="57"/>
  <c r="N66" i="57"/>
  <c r="L66" i="57"/>
  <c r="F66" i="57"/>
  <c r="R64" i="57"/>
  <c r="F64" i="57"/>
  <c r="T62" i="57"/>
  <c r="Z62" i="57" s="1"/>
  <c r="R62" i="57"/>
  <c r="P62" i="57"/>
  <c r="X62" i="57" s="1"/>
  <c r="L62" i="57"/>
  <c r="H62" i="57"/>
  <c r="N62" i="57" s="1"/>
  <c r="F62" i="57"/>
  <c r="D62" i="57"/>
  <c r="Z60" i="57"/>
  <c r="X60" i="57"/>
  <c r="N60" i="57"/>
  <c r="L60" i="57"/>
  <c r="F60" i="57"/>
  <c r="B60" i="57"/>
  <c r="Z59" i="57"/>
  <c r="X59" i="57"/>
  <c r="T59" i="57"/>
  <c r="P59" i="57"/>
  <c r="N59" i="57"/>
  <c r="H59" i="57"/>
  <c r="F59" i="57"/>
  <c r="D59" i="57"/>
  <c r="L59" i="57" s="1"/>
  <c r="B59" i="57"/>
  <c r="Z58" i="57"/>
  <c r="X58" i="57"/>
  <c r="N58" i="57"/>
  <c r="L58" i="57"/>
  <c r="B58" i="57"/>
  <c r="X57" i="57"/>
  <c r="T57" i="57"/>
  <c r="Z57" i="57" s="1"/>
  <c r="R57" i="57"/>
  <c r="P57" i="57"/>
  <c r="L57" i="57"/>
  <c r="H57" i="57"/>
  <c r="N57" i="57" s="1"/>
  <c r="D57" i="57"/>
  <c r="B57" i="57"/>
  <c r="Z56" i="57"/>
  <c r="X56" i="57"/>
  <c r="R56" i="57"/>
  <c r="N56" i="57"/>
  <c r="L56" i="57"/>
  <c r="B56" i="57"/>
  <c r="T55" i="57"/>
  <c r="P55" i="57"/>
  <c r="H55" i="57"/>
  <c r="D55" i="57"/>
  <c r="L55" i="57" s="1"/>
  <c r="B55" i="57"/>
  <c r="X54" i="57"/>
  <c r="Z54" i="57" s="1"/>
  <c r="N54" i="57"/>
  <c r="L54" i="57"/>
  <c r="B54" i="57"/>
  <c r="X53" i="57"/>
  <c r="Z53" i="57" s="1"/>
  <c r="L53" i="57"/>
  <c r="N53" i="57" s="1"/>
  <c r="F53" i="57"/>
  <c r="B53" i="57"/>
  <c r="Z52" i="57"/>
  <c r="X52" i="57"/>
  <c r="N52" i="57"/>
  <c r="L52" i="57"/>
  <c r="F52" i="57"/>
  <c r="B52" i="57"/>
  <c r="T51" i="57"/>
  <c r="P51" i="57"/>
  <c r="X51" i="57" s="1"/>
  <c r="Z51" i="57" s="1"/>
  <c r="H51" i="57"/>
  <c r="F51" i="57"/>
  <c r="D51" i="57"/>
  <c r="L51" i="57" s="1"/>
  <c r="N51" i="57" s="1"/>
  <c r="B51" i="57"/>
  <c r="Z50" i="57"/>
  <c r="X50" i="57"/>
  <c r="N50" i="57"/>
  <c r="L50" i="57"/>
  <c r="B50" i="57"/>
  <c r="T49" i="57"/>
  <c r="R49" i="57"/>
  <c r="P49" i="57"/>
  <c r="L49" i="57"/>
  <c r="H49" i="57"/>
  <c r="N49" i="57" s="1"/>
  <c r="D49" i="57"/>
  <c r="B49" i="57"/>
  <c r="Z48" i="57"/>
  <c r="X48" i="57"/>
  <c r="R48" i="57"/>
  <c r="N48" i="57"/>
  <c r="L48" i="57"/>
  <c r="B48" i="57"/>
  <c r="T47" i="57"/>
  <c r="P47" i="57"/>
  <c r="H47" i="57"/>
  <c r="D47" i="57"/>
  <c r="B47" i="57"/>
  <c r="X46" i="57"/>
  <c r="Z46" i="57" s="1"/>
  <c r="N46" i="57"/>
  <c r="L46" i="57"/>
  <c r="B46" i="57"/>
  <c r="Z45" i="57"/>
  <c r="X45" i="57"/>
  <c r="N45" i="57"/>
  <c r="L45" i="57"/>
  <c r="F45" i="57"/>
  <c r="B45" i="57"/>
  <c r="V44" i="57"/>
  <c r="T44" i="57"/>
  <c r="Z44" i="57" s="1"/>
  <c r="R44" i="57"/>
  <c r="P44" i="57"/>
  <c r="X44" i="57" s="1"/>
  <c r="L44" i="57"/>
  <c r="H44" i="57"/>
  <c r="F44" i="57"/>
  <c r="D44" i="57"/>
  <c r="B44" i="57"/>
  <c r="X43" i="57"/>
  <c r="Z43" i="57" s="1"/>
  <c r="R43" i="57"/>
  <c r="N43" i="57"/>
  <c r="L43" i="57"/>
  <c r="F43" i="57"/>
  <c r="B43" i="57"/>
  <c r="Z42" i="57"/>
  <c r="X42" i="57"/>
  <c r="T42" i="57"/>
  <c r="R42" i="57"/>
  <c r="P42" i="57"/>
  <c r="H42" i="57"/>
  <c r="N42" i="57" s="1"/>
  <c r="F42" i="57"/>
  <c r="D42" i="57"/>
  <c r="L42" i="57" s="1"/>
  <c r="B42" i="57"/>
  <c r="Z41" i="57"/>
  <c r="X41" i="57"/>
  <c r="R41" i="57"/>
  <c r="L41" i="57"/>
  <c r="N41" i="57" s="1"/>
  <c r="B41" i="57"/>
  <c r="T40" i="57"/>
  <c r="X40" i="57" s="1"/>
  <c r="Z40" i="57" s="1"/>
  <c r="P40" i="57"/>
  <c r="H40" i="57"/>
  <c r="D40" i="57"/>
  <c r="L40" i="57" s="1"/>
  <c r="N40" i="57" s="1"/>
  <c r="B40" i="57"/>
  <c r="X39" i="57"/>
  <c r="Z39" i="57" s="1"/>
  <c r="L39" i="57"/>
  <c r="N39" i="57" s="1"/>
  <c r="F39" i="57"/>
  <c r="B39" i="57"/>
  <c r="Z38" i="57"/>
  <c r="X38" i="57"/>
  <c r="N38" i="57"/>
  <c r="L38" i="57"/>
  <c r="B38" i="57"/>
  <c r="T37" i="57"/>
  <c r="R37" i="57"/>
  <c r="P37" i="57"/>
  <c r="X37" i="57" s="1"/>
  <c r="Z37" i="57" s="1"/>
  <c r="L37" i="57"/>
  <c r="N37" i="57" s="1"/>
  <c r="H37" i="57"/>
  <c r="D37" i="57"/>
  <c r="B37" i="57"/>
  <c r="Z36" i="57"/>
  <c r="X36" i="57"/>
  <c r="R36" i="57"/>
  <c r="N36" i="57"/>
  <c r="L36" i="57"/>
  <c r="F36" i="57"/>
  <c r="B36" i="57"/>
  <c r="X35" i="57"/>
  <c r="T35" i="57"/>
  <c r="P35" i="57"/>
  <c r="L35" i="57"/>
  <c r="H35" i="57"/>
  <c r="N35" i="57" s="1"/>
  <c r="F35" i="57"/>
  <c r="D35" i="57"/>
  <c r="B35" i="57"/>
  <c r="Z34" i="57"/>
  <c r="X34" i="57"/>
  <c r="L34" i="57"/>
  <c r="N34" i="57" s="1"/>
  <c r="J34" i="57"/>
  <c r="B34" i="57"/>
  <c r="T33" i="57"/>
  <c r="P33" i="57"/>
  <c r="X33" i="57" s="1"/>
  <c r="J33" i="57"/>
  <c r="H33" i="57"/>
  <c r="D33" i="57"/>
  <c r="L33" i="57" s="1"/>
  <c r="B33" i="57"/>
  <c r="Z32" i="57"/>
  <c r="X32" i="57"/>
  <c r="N32" i="57"/>
  <c r="L32" i="57"/>
  <c r="F32" i="57"/>
  <c r="B32" i="57"/>
  <c r="X31" i="57"/>
  <c r="Z31" i="57" s="1"/>
  <c r="L31" i="57"/>
  <c r="N31" i="57" s="1"/>
  <c r="F31" i="57"/>
  <c r="B31" i="57"/>
  <c r="X30" i="57"/>
  <c r="Z30" i="57" s="1"/>
  <c r="V30" i="57"/>
  <c r="N30" i="57"/>
  <c r="L30" i="57"/>
  <c r="B30" i="57"/>
  <c r="X29" i="57"/>
  <c r="Z29" i="57" s="1"/>
  <c r="N29" i="57"/>
  <c r="L29" i="57"/>
  <c r="F29" i="57"/>
  <c r="B29" i="57"/>
  <c r="T28" i="57"/>
  <c r="R28" i="57"/>
  <c r="P28" i="57"/>
  <c r="X28" i="57" s="1"/>
  <c r="L28" i="57"/>
  <c r="H28" i="57"/>
  <c r="N28" i="57" s="1"/>
  <c r="F28" i="57"/>
  <c r="D28" i="57"/>
  <c r="B28" i="57"/>
  <c r="X27" i="57"/>
  <c r="Z27" i="57" s="1"/>
  <c r="R27" i="57"/>
  <c r="N27" i="57"/>
  <c r="L27" i="57"/>
  <c r="F27" i="57"/>
  <c r="B27" i="57"/>
  <c r="Z26" i="57"/>
  <c r="X26" i="57"/>
  <c r="N26" i="57"/>
  <c r="L26" i="57"/>
  <c r="B26" i="57"/>
  <c r="X25" i="57"/>
  <c r="Z25" i="57" s="1"/>
  <c r="R25" i="57"/>
  <c r="N25" i="57"/>
  <c r="L25" i="57"/>
  <c r="F25" i="57"/>
  <c r="B25" i="57"/>
  <c r="Z24" i="57"/>
  <c r="X24" i="57"/>
  <c r="R24" i="57"/>
  <c r="N24" i="57"/>
  <c r="L24" i="57"/>
  <c r="F24" i="57"/>
  <c r="B24" i="57"/>
  <c r="X23" i="57"/>
  <c r="Z23" i="57" s="1"/>
  <c r="R23" i="57"/>
  <c r="N23" i="57"/>
  <c r="L23" i="57"/>
  <c r="F23" i="57"/>
  <c r="B23" i="57"/>
  <c r="Z22" i="57"/>
  <c r="X22" i="57"/>
  <c r="N22" i="57"/>
  <c r="L22" i="57"/>
  <c r="B22" i="57"/>
  <c r="Z21" i="57"/>
  <c r="X21" i="57"/>
  <c r="R21" i="57"/>
  <c r="N21" i="57"/>
  <c r="L21" i="57"/>
  <c r="F21" i="57"/>
  <c r="B21" i="57"/>
  <c r="Z20" i="57"/>
  <c r="X20" i="57"/>
  <c r="R20" i="57"/>
  <c r="N20" i="57"/>
  <c r="L20" i="57"/>
  <c r="J20" i="57"/>
  <c r="F20" i="57"/>
  <c r="B20" i="57"/>
  <c r="X19" i="57"/>
  <c r="T19" i="57"/>
  <c r="P19" i="57"/>
  <c r="L19" i="57"/>
  <c r="N19" i="57" s="1"/>
  <c r="H19" i="57"/>
  <c r="F19" i="57"/>
  <c r="D19" i="57"/>
  <c r="B19" i="57"/>
  <c r="T18" i="57"/>
  <c r="P18" i="57"/>
  <c r="X18" i="57" s="1"/>
  <c r="Z18" i="57" s="1"/>
  <c r="J18" i="57"/>
  <c r="H18" i="57"/>
  <c r="D18" i="57"/>
  <c r="L18" i="57" s="1"/>
  <c r="N18" i="57" s="1"/>
  <c r="P16" i="57"/>
  <c r="J16" i="57"/>
  <c r="Z14" i="57"/>
  <c r="V14" i="57"/>
  <c r="T14" i="57"/>
  <c r="P14" i="57"/>
  <c r="X14" i="57" s="1"/>
  <c r="N14" i="57"/>
  <c r="J14" i="57"/>
  <c r="H14" i="57"/>
  <c r="D14" i="57"/>
  <c r="L14" i="57" s="1"/>
  <c r="T12" i="57"/>
  <c r="V52" i="57" s="1"/>
  <c r="P12" i="57"/>
  <c r="R55" i="57" s="1"/>
  <c r="L12" i="57"/>
  <c r="H12" i="57"/>
  <c r="D12" i="57"/>
  <c r="F34" i="57" s="1"/>
  <c r="D6" i="57"/>
  <c r="D4" i="57"/>
  <c r="R75" i="56"/>
  <c r="F75" i="56"/>
  <c r="R72" i="56"/>
  <c r="J72" i="56"/>
  <c r="F72" i="56"/>
  <c r="Z70" i="56"/>
  <c r="X70" i="56"/>
  <c r="N70" i="56"/>
  <c r="L70" i="56"/>
  <c r="F70" i="56"/>
  <c r="T66" i="56"/>
  <c r="Z66" i="56" s="1"/>
  <c r="P66" i="56"/>
  <c r="N66" i="56"/>
  <c r="J66" i="56"/>
  <c r="H66" i="56"/>
  <c r="D66" i="56"/>
  <c r="L66" i="56" s="1"/>
  <c r="Z64" i="56"/>
  <c r="X64" i="56"/>
  <c r="R64" i="56"/>
  <c r="L64" i="56"/>
  <c r="N64" i="56" s="1"/>
  <c r="B64" i="56"/>
  <c r="T63" i="56"/>
  <c r="P63" i="56"/>
  <c r="X63" i="56" s="1"/>
  <c r="H63" i="56"/>
  <c r="D63" i="56"/>
  <c r="B63" i="56"/>
  <c r="X62" i="56"/>
  <c r="Z62" i="56" s="1"/>
  <c r="L62" i="56"/>
  <c r="N62" i="56" s="1"/>
  <c r="B62" i="56"/>
  <c r="T61" i="56"/>
  <c r="R61" i="56"/>
  <c r="P61" i="56"/>
  <c r="X61" i="56" s="1"/>
  <c r="Z61" i="56" s="1"/>
  <c r="H61" i="56"/>
  <c r="D61" i="56"/>
  <c r="L61" i="56" s="1"/>
  <c r="N61" i="56" s="1"/>
  <c r="B61" i="56"/>
  <c r="Z60" i="56"/>
  <c r="X60" i="56"/>
  <c r="R60" i="56"/>
  <c r="N60" i="56"/>
  <c r="L60" i="56"/>
  <c r="J60" i="56"/>
  <c r="F60" i="56"/>
  <c r="B60" i="56"/>
  <c r="X59" i="56"/>
  <c r="Z59" i="56" s="1"/>
  <c r="R59" i="56"/>
  <c r="N59" i="56"/>
  <c r="L59" i="56"/>
  <c r="F59" i="56"/>
  <c r="B59" i="56"/>
  <c r="Z58" i="56"/>
  <c r="X58" i="56"/>
  <c r="N58" i="56"/>
  <c r="L58" i="56"/>
  <c r="B58" i="56"/>
  <c r="Z57" i="56"/>
  <c r="X57" i="56"/>
  <c r="R57" i="56"/>
  <c r="N57" i="56"/>
  <c r="L57" i="56"/>
  <c r="F57" i="56"/>
  <c r="B57" i="56"/>
  <c r="T56" i="56"/>
  <c r="X56" i="56" s="1"/>
  <c r="R56" i="56"/>
  <c r="P56" i="56"/>
  <c r="L56" i="56"/>
  <c r="N56" i="56" s="1"/>
  <c r="H56" i="56"/>
  <c r="F56" i="56"/>
  <c r="D56" i="56"/>
  <c r="B56" i="56"/>
  <c r="Z55" i="56"/>
  <c r="X55" i="56"/>
  <c r="R55" i="56"/>
  <c r="N55" i="56"/>
  <c r="L55" i="56"/>
  <c r="B55" i="56"/>
  <c r="Z54" i="56"/>
  <c r="T54" i="56"/>
  <c r="P54" i="56"/>
  <c r="X54" i="56" s="1"/>
  <c r="N54" i="56"/>
  <c r="H54" i="56"/>
  <c r="D54" i="56"/>
  <c r="L54" i="56" s="1"/>
  <c r="B54" i="56"/>
  <c r="X53" i="56"/>
  <c r="Z53" i="56" s="1"/>
  <c r="N53" i="56"/>
  <c r="L53" i="56"/>
  <c r="F53" i="56"/>
  <c r="B53" i="56"/>
  <c r="X52" i="56"/>
  <c r="Z52" i="56" s="1"/>
  <c r="N52" i="56"/>
  <c r="L52" i="56"/>
  <c r="F52" i="56"/>
  <c r="B52" i="56"/>
  <c r="X51" i="56"/>
  <c r="Z51" i="56" s="1"/>
  <c r="L51" i="56"/>
  <c r="N51" i="56" s="1"/>
  <c r="F51" i="56"/>
  <c r="B51" i="56"/>
  <c r="T50" i="56"/>
  <c r="R50" i="56"/>
  <c r="P50" i="56"/>
  <c r="X50" i="56" s="1"/>
  <c r="Z50" i="56" s="1"/>
  <c r="H50" i="56"/>
  <c r="N50" i="56" s="1"/>
  <c r="F50" i="56"/>
  <c r="D50" i="56"/>
  <c r="L50" i="56" s="1"/>
  <c r="B50" i="56"/>
  <c r="Z49" i="56"/>
  <c r="X49" i="56"/>
  <c r="R49" i="56"/>
  <c r="N49" i="56"/>
  <c r="L49" i="56"/>
  <c r="F49" i="56"/>
  <c r="B49" i="56"/>
  <c r="Z48" i="56"/>
  <c r="X48" i="56"/>
  <c r="R48" i="56"/>
  <c r="N48" i="56"/>
  <c r="L48" i="56"/>
  <c r="J48" i="56"/>
  <c r="F48" i="56"/>
  <c r="B48" i="56"/>
  <c r="X47" i="56"/>
  <c r="Z47" i="56" s="1"/>
  <c r="R47" i="56"/>
  <c r="N47" i="56"/>
  <c r="L47" i="56"/>
  <c r="F47" i="56"/>
  <c r="B47" i="56"/>
  <c r="Z46" i="56"/>
  <c r="X46" i="56"/>
  <c r="T46" i="56"/>
  <c r="R46" i="56"/>
  <c r="P46" i="56"/>
  <c r="H46" i="56"/>
  <c r="L46" i="56" s="1"/>
  <c r="F46" i="56"/>
  <c r="D46" i="56"/>
  <c r="B46" i="56"/>
  <c r="Z45" i="56"/>
  <c r="X45" i="56"/>
  <c r="R45" i="56"/>
  <c r="L45" i="56"/>
  <c r="N45" i="56" s="1"/>
  <c r="B45" i="56"/>
  <c r="Z44" i="56"/>
  <c r="T44" i="56"/>
  <c r="P44" i="56"/>
  <c r="X44" i="56" s="1"/>
  <c r="H44" i="56"/>
  <c r="D44" i="56"/>
  <c r="L44" i="56" s="1"/>
  <c r="N44" i="56" s="1"/>
  <c r="B44" i="56"/>
  <c r="X43" i="56"/>
  <c r="Z43" i="56" s="1"/>
  <c r="L43" i="56"/>
  <c r="N43" i="56" s="1"/>
  <c r="F43" i="56"/>
  <c r="B43" i="56"/>
  <c r="X42" i="56"/>
  <c r="Z42" i="56" s="1"/>
  <c r="T42" i="56"/>
  <c r="R42" i="56"/>
  <c r="P42" i="56"/>
  <c r="J42" i="56"/>
  <c r="H42" i="56"/>
  <c r="N42" i="56" s="1"/>
  <c r="F42" i="56"/>
  <c r="D42" i="56"/>
  <c r="L42" i="56" s="1"/>
  <c r="B42" i="56"/>
  <c r="Z41" i="56"/>
  <c r="X41" i="56"/>
  <c r="R41" i="56"/>
  <c r="N41" i="56"/>
  <c r="L41" i="56"/>
  <c r="F41" i="56"/>
  <c r="B41" i="56"/>
  <c r="Z40" i="56"/>
  <c r="T40" i="56"/>
  <c r="X40" i="56" s="1"/>
  <c r="R40" i="56"/>
  <c r="P40" i="56"/>
  <c r="N40" i="56"/>
  <c r="L40" i="56"/>
  <c r="H40" i="56"/>
  <c r="F40" i="56"/>
  <c r="D40" i="56"/>
  <c r="B40" i="56"/>
  <c r="Z39" i="56"/>
  <c r="X39" i="56"/>
  <c r="V39" i="56"/>
  <c r="R39" i="56"/>
  <c r="L39" i="56"/>
  <c r="N39" i="56" s="1"/>
  <c r="B39" i="56"/>
  <c r="Z38" i="56"/>
  <c r="T38" i="56"/>
  <c r="P38" i="56"/>
  <c r="X38" i="56" s="1"/>
  <c r="H38" i="56"/>
  <c r="D38" i="56"/>
  <c r="L38" i="56" s="1"/>
  <c r="N38" i="56" s="1"/>
  <c r="B38" i="56"/>
  <c r="X37" i="56"/>
  <c r="Z37" i="56" s="1"/>
  <c r="L37" i="56"/>
  <c r="N37" i="56" s="1"/>
  <c r="F37" i="56"/>
  <c r="B37" i="56"/>
  <c r="T36" i="56"/>
  <c r="Z36" i="56" s="1"/>
  <c r="R36" i="56"/>
  <c r="P36" i="56"/>
  <c r="X36" i="56" s="1"/>
  <c r="L36" i="56"/>
  <c r="N36" i="56" s="1"/>
  <c r="J36" i="56"/>
  <c r="H36" i="56"/>
  <c r="F36" i="56"/>
  <c r="D36" i="56"/>
  <c r="B36" i="56"/>
  <c r="X35" i="56"/>
  <c r="Z35" i="56" s="1"/>
  <c r="R35" i="56"/>
  <c r="N35" i="56"/>
  <c r="L35" i="56"/>
  <c r="F35" i="56"/>
  <c r="B35" i="56"/>
  <c r="Z34" i="56"/>
  <c r="X34" i="56"/>
  <c r="T34" i="56"/>
  <c r="R34" i="56"/>
  <c r="P34" i="56"/>
  <c r="N34" i="56"/>
  <c r="H34" i="56"/>
  <c r="L34" i="56" s="1"/>
  <c r="F34" i="56"/>
  <c r="D34" i="56"/>
  <c r="B34" i="56"/>
  <c r="Z33" i="56"/>
  <c r="X33" i="56"/>
  <c r="R33" i="56"/>
  <c r="L33" i="56"/>
  <c r="N33" i="56" s="1"/>
  <c r="B33" i="56"/>
  <c r="V32" i="56"/>
  <c r="T32" i="56"/>
  <c r="P32" i="56"/>
  <c r="N32" i="56"/>
  <c r="H32" i="56"/>
  <c r="D32" i="56"/>
  <c r="L32" i="56" s="1"/>
  <c r="B32" i="56"/>
  <c r="X31" i="56"/>
  <c r="Z31" i="56" s="1"/>
  <c r="L31" i="56"/>
  <c r="N31" i="56" s="1"/>
  <c r="F31" i="56"/>
  <c r="B31" i="56"/>
  <c r="X30" i="56"/>
  <c r="Z30" i="56" s="1"/>
  <c r="L30" i="56"/>
  <c r="N30" i="56" s="1"/>
  <c r="B30" i="56"/>
  <c r="X29" i="56"/>
  <c r="Z29" i="56" s="1"/>
  <c r="L29" i="56"/>
  <c r="N29" i="56" s="1"/>
  <c r="F29" i="56"/>
  <c r="B29" i="56"/>
  <c r="T28" i="56"/>
  <c r="Z28" i="56" s="1"/>
  <c r="R28" i="56"/>
  <c r="P28" i="56"/>
  <c r="X28" i="56" s="1"/>
  <c r="J28" i="56"/>
  <c r="H28" i="56"/>
  <c r="F28" i="56"/>
  <c r="D28" i="56"/>
  <c r="L28" i="56" s="1"/>
  <c r="N28" i="56" s="1"/>
  <c r="B28" i="56"/>
  <c r="X27" i="56"/>
  <c r="Z27" i="56" s="1"/>
  <c r="R27" i="56"/>
  <c r="N27" i="56"/>
  <c r="L27" i="56"/>
  <c r="J27" i="56"/>
  <c r="F27" i="56"/>
  <c r="B27" i="56"/>
  <c r="X26" i="56"/>
  <c r="Z26" i="56" s="1"/>
  <c r="N26" i="56"/>
  <c r="L26" i="56"/>
  <c r="J26" i="56"/>
  <c r="B26" i="56"/>
  <c r="Z25" i="56"/>
  <c r="X25" i="56"/>
  <c r="R25" i="56"/>
  <c r="N25" i="56"/>
  <c r="L25" i="56"/>
  <c r="F25" i="56"/>
  <c r="B25" i="56"/>
  <c r="Z24" i="56"/>
  <c r="X24" i="56"/>
  <c r="R24" i="56"/>
  <c r="N24" i="56"/>
  <c r="L24" i="56"/>
  <c r="J24" i="56"/>
  <c r="F24" i="56"/>
  <c r="B24" i="56"/>
  <c r="X23" i="56"/>
  <c r="Z23" i="56" s="1"/>
  <c r="R23" i="56"/>
  <c r="N23" i="56"/>
  <c r="L23" i="56"/>
  <c r="J23" i="56"/>
  <c r="F23" i="56"/>
  <c r="B23" i="56"/>
  <c r="Z22" i="56"/>
  <c r="X22" i="56"/>
  <c r="N22" i="56"/>
  <c r="L22" i="56"/>
  <c r="J22" i="56"/>
  <c r="B22" i="56"/>
  <c r="X21" i="56"/>
  <c r="Z21" i="56" s="1"/>
  <c r="R21" i="56"/>
  <c r="N21" i="56"/>
  <c r="L21" i="56"/>
  <c r="F21" i="56"/>
  <c r="B21" i="56"/>
  <c r="Z20" i="56"/>
  <c r="X20" i="56"/>
  <c r="R20" i="56"/>
  <c r="N20" i="56"/>
  <c r="L20" i="56"/>
  <c r="F20" i="56"/>
  <c r="B20" i="56"/>
  <c r="X19" i="56"/>
  <c r="T19" i="56"/>
  <c r="P19" i="56"/>
  <c r="H19" i="56"/>
  <c r="L19" i="56" s="1"/>
  <c r="N19" i="56" s="1"/>
  <c r="F19" i="56"/>
  <c r="D19" i="56"/>
  <c r="B19" i="56"/>
  <c r="T18" i="56"/>
  <c r="P18" i="56"/>
  <c r="X18" i="56" s="1"/>
  <c r="Z18" i="56" s="1"/>
  <c r="H18" i="56"/>
  <c r="F18" i="56"/>
  <c r="D18" i="56"/>
  <c r="V16" i="56"/>
  <c r="P16" i="56"/>
  <c r="F16" i="56"/>
  <c r="Z14" i="56"/>
  <c r="T14" i="56"/>
  <c r="P14" i="56"/>
  <c r="X14" i="56" s="1"/>
  <c r="H14" i="56"/>
  <c r="F14" i="56"/>
  <c r="D14" i="56"/>
  <c r="T12" i="56"/>
  <c r="V70" i="56" s="1"/>
  <c r="P12" i="56"/>
  <c r="R63" i="56" s="1"/>
  <c r="H12" i="56"/>
  <c r="J58" i="56" s="1"/>
  <c r="D12" i="56"/>
  <c r="F55" i="56" s="1"/>
  <c r="D6" i="56"/>
  <c r="D4" i="56"/>
  <c r="R38" i="55"/>
  <c r="J38" i="55"/>
  <c r="R35" i="55"/>
  <c r="J35" i="55"/>
  <c r="Z33" i="55"/>
  <c r="X33" i="55"/>
  <c r="N33" i="55"/>
  <c r="L33" i="55"/>
  <c r="J31" i="55"/>
  <c r="T29" i="55"/>
  <c r="Z29" i="55" s="1"/>
  <c r="P29" i="55"/>
  <c r="N29" i="55"/>
  <c r="J29" i="55"/>
  <c r="H29" i="55"/>
  <c r="D29" i="55"/>
  <c r="L29" i="55" s="1"/>
  <c r="Z27" i="55"/>
  <c r="X27" i="55"/>
  <c r="R27" i="55"/>
  <c r="L27" i="55"/>
  <c r="N27" i="55" s="1"/>
  <c r="J27" i="55"/>
  <c r="B27" i="55"/>
  <c r="Z26" i="55"/>
  <c r="X26" i="55"/>
  <c r="R26" i="55"/>
  <c r="N26" i="55"/>
  <c r="L26" i="55"/>
  <c r="J26" i="55"/>
  <c r="B26" i="55"/>
  <c r="Z25" i="55"/>
  <c r="T25" i="55"/>
  <c r="P25" i="55"/>
  <c r="X25" i="55" s="1"/>
  <c r="J25" i="55"/>
  <c r="H25" i="55"/>
  <c r="N25" i="55" s="1"/>
  <c r="D25" i="55"/>
  <c r="L25" i="55" s="1"/>
  <c r="B25" i="55"/>
  <c r="X24" i="55"/>
  <c r="Z24" i="55" s="1"/>
  <c r="N24" i="55"/>
  <c r="L24" i="55"/>
  <c r="B24" i="55"/>
  <c r="X23" i="55"/>
  <c r="T23" i="55"/>
  <c r="Z23" i="55" s="1"/>
  <c r="R23" i="55"/>
  <c r="P23" i="55"/>
  <c r="L23" i="55"/>
  <c r="N23" i="55" s="1"/>
  <c r="J23" i="55"/>
  <c r="H23" i="55"/>
  <c r="F23" i="55"/>
  <c r="D23" i="55"/>
  <c r="B23" i="55"/>
  <c r="X22" i="55"/>
  <c r="Z22" i="55" s="1"/>
  <c r="R22" i="55"/>
  <c r="N22" i="55"/>
  <c r="L22" i="55"/>
  <c r="J22" i="55"/>
  <c r="B22" i="55"/>
  <c r="X21" i="55"/>
  <c r="Z21" i="55" s="1"/>
  <c r="T21" i="55"/>
  <c r="R21" i="55"/>
  <c r="P21" i="55"/>
  <c r="H21" i="55"/>
  <c r="D21" i="55"/>
  <c r="B21" i="55"/>
  <c r="Z20" i="55"/>
  <c r="X20" i="55"/>
  <c r="R20" i="55"/>
  <c r="L20" i="55"/>
  <c r="N20" i="55" s="1"/>
  <c r="J20" i="55"/>
  <c r="B20" i="55"/>
  <c r="T19" i="55"/>
  <c r="P19" i="55"/>
  <c r="J19" i="55"/>
  <c r="H19" i="55"/>
  <c r="D19" i="55"/>
  <c r="L19" i="55" s="1"/>
  <c r="N19" i="55" s="1"/>
  <c r="B19" i="55"/>
  <c r="T18" i="55"/>
  <c r="R18" i="55"/>
  <c r="P18" i="55"/>
  <c r="X18" i="55" s="1"/>
  <c r="L18" i="55"/>
  <c r="J18" i="55"/>
  <c r="H18" i="55"/>
  <c r="D18" i="55"/>
  <c r="R16" i="55"/>
  <c r="P16" i="55"/>
  <c r="P31" i="55" s="1"/>
  <c r="J16" i="55"/>
  <c r="D16" i="55"/>
  <c r="X14" i="55"/>
  <c r="T14" i="55"/>
  <c r="Z14" i="55" s="1"/>
  <c r="R14" i="55"/>
  <c r="P14" i="55"/>
  <c r="J14" i="55"/>
  <c r="H14" i="55"/>
  <c r="N14" i="55" s="1"/>
  <c r="D14" i="55"/>
  <c r="L14" i="55" s="1"/>
  <c r="T12" i="55"/>
  <c r="P12" i="55"/>
  <c r="R31" i="55" s="1"/>
  <c r="N12" i="55"/>
  <c r="H12" i="55"/>
  <c r="J24" i="55" s="1"/>
  <c r="D12" i="55"/>
  <c r="F35" i="55" s="1"/>
  <c r="D6" i="55"/>
  <c r="D4" i="55"/>
  <c r="R31" i="54"/>
  <c r="T29" i="54"/>
  <c r="R29" i="54"/>
  <c r="P29" i="54"/>
  <c r="H29" i="54"/>
  <c r="D29" i="54"/>
  <c r="T28" i="54"/>
  <c r="R28" i="54"/>
  <c r="P28" i="54"/>
  <c r="H28" i="54"/>
  <c r="D28" i="54"/>
  <c r="R26" i="54"/>
  <c r="Z24" i="54"/>
  <c r="X24" i="54"/>
  <c r="R24" i="54"/>
  <c r="N24" i="54"/>
  <c r="L24" i="54"/>
  <c r="J24" i="54"/>
  <c r="R22" i="54"/>
  <c r="J22" i="54"/>
  <c r="X20" i="54"/>
  <c r="T20" i="54"/>
  <c r="Z20" i="54" s="1"/>
  <c r="R20" i="54"/>
  <c r="P20" i="54"/>
  <c r="J20" i="54"/>
  <c r="H20" i="54"/>
  <c r="N20" i="54" s="1"/>
  <c r="D20" i="54"/>
  <c r="L20" i="54" s="1"/>
  <c r="T18" i="54"/>
  <c r="Z18" i="54" s="1"/>
  <c r="R18" i="54"/>
  <c r="P18" i="54"/>
  <c r="L18" i="54"/>
  <c r="J18" i="54"/>
  <c r="H18" i="54"/>
  <c r="N18" i="54" s="1"/>
  <c r="D18" i="54"/>
  <c r="R16" i="54"/>
  <c r="P16" i="54"/>
  <c r="J16" i="54"/>
  <c r="X14" i="54"/>
  <c r="T14" i="54"/>
  <c r="Z14" i="54" s="1"/>
  <c r="R14" i="54"/>
  <c r="P14" i="54"/>
  <c r="L14" i="54"/>
  <c r="J14" i="54"/>
  <c r="H14" i="54"/>
  <c r="N14" i="54" s="1"/>
  <c r="D14" i="54"/>
  <c r="X12" i="54"/>
  <c r="T12" i="54"/>
  <c r="V31" i="54" s="1"/>
  <c r="P12" i="54"/>
  <c r="N12" i="54"/>
  <c r="H12" i="54"/>
  <c r="J31" i="54" s="1"/>
  <c r="D12" i="54"/>
  <c r="F24" i="54" s="1"/>
  <c r="D6" i="54"/>
  <c r="D4" i="54"/>
  <c r="X101" i="51"/>
  <c r="Z101" i="51" s="1"/>
  <c r="N101" i="51"/>
  <c r="L101" i="51"/>
  <c r="T97" i="51"/>
  <c r="Z97" i="51" s="1"/>
  <c r="P97" i="51"/>
  <c r="X97" i="51" s="1"/>
  <c r="L97" i="51"/>
  <c r="N97" i="51" s="1"/>
  <c r="H97" i="51"/>
  <c r="D97" i="51"/>
  <c r="B97" i="51"/>
  <c r="T96" i="51"/>
  <c r="P96" i="51"/>
  <c r="N96" i="51"/>
  <c r="L96" i="51"/>
  <c r="H96" i="51"/>
  <c r="D96" i="51"/>
  <c r="D94" i="51" s="1"/>
  <c r="L94" i="51" s="1"/>
  <c r="B96" i="51"/>
  <c r="T95" i="51"/>
  <c r="P95" i="51"/>
  <c r="H95" i="51"/>
  <c r="D95" i="51"/>
  <c r="L95" i="51" s="1"/>
  <c r="N95" i="51" s="1"/>
  <c r="B95" i="51"/>
  <c r="H94" i="51"/>
  <c r="N94" i="51" s="1"/>
  <c r="Z92" i="51"/>
  <c r="X92" i="51"/>
  <c r="N92" i="51"/>
  <c r="L92" i="51"/>
  <c r="B92" i="51"/>
  <c r="T91" i="51"/>
  <c r="P91" i="51"/>
  <c r="X91" i="51" s="1"/>
  <c r="L91" i="51"/>
  <c r="N91" i="51" s="1"/>
  <c r="H91" i="51"/>
  <c r="D91" i="51"/>
  <c r="B91" i="51"/>
  <c r="X90" i="51"/>
  <c r="Z90" i="51" s="1"/>
  <c r="N90" i="51"/>
  <c r="L90" i="51"/>
  <c r="J90" i="51"/>
  <c r="B90" i="51"/>
  <c r="X89" i="51"/>
  <c r="Z89" i="51" s="1"/>
  <c r="L89" i="51"/>
  <c r="N89" i="51" s="1"/>
  <c r="B89" i="51"/>
  <c r="Z88" i="51"/>
  <c r="X88" i="51"/>
  <c r="N88" i="51"/>
  <c r="L88" i="51"/>
  <c r="B88" i="51"/>
  <c r="T87" i="51"/>
  <c r="P87" i="51"/>
  <c r="H87" i="51"/>
  <c r="D87" i="51"/>
  <c r="L87" i="51" s="1"/>
  <c r="N87" i="51" s="1"/>
  <c r="B87" i="51"/>
  <c r="Z86" i="51"/>
  <c r="X86" i="51"/>
  <c r="N86" i="51"/>
  <c r="L86" i="51"/>
  <c r="B86" i="51"/>
  <c r="T85" i="51"/>
  <c r="Z85" i="51" s="1"/>
  <c r="P85" i="51"/>
  <c r="X85" i="51" s="1"/>
  <c r="N85" i="51"/>
  <c r="H85" i="51"/>
  <c r="D85" i="51"/>
  <c r="L85" i="51" s="1"/>
  <c r="B85" i="51"/>
  <c r="Z84" i="51"/>
  <c r="X84" i="51"/>
  <c r="N84" i="51"/>
  <c r="L84" i="51"/>
  <c r="B84" i="51"/>
  <c r="T83" i="51"/>
  <c r="Z83" i="51" s="1"/>
  <c r="P83" i="51"/>
  <c r="X83" i="51" s="1"/>
  <c r="N83" i="51"/>
  <c r="L83" i="51"/>
  <c r="H83" i="51"/>
  <c r="D83" i="51"/>
  <c r="B83" i="51"/>
  <c r="Z82" i="51"/>
  <c r="X82" i="51"/>
  <c r="N82" i="51"/>
  <c r="L82" i="51"/>
  <c r="J82" i="51"/>
  <c r="B82" i="51"/>
  <c r="Z81" i="51"/>
  <c r="T81" i="51"/>
  <c r="P81" i="51"/>
  <c r="X81" i="51" s="1"/>
  <c r="H81" i="51"/>
  <c r="D81" i="51"/>
  <c r="B81" i="51"/>
  <c r="Z80" i="51"/>
  <c r="X80" i="51"/>
  <c r="N80" i="51"/>
  <c r="L80" i="51"/>
  <c r="B80" i="51"/>
  <c r="Z79" i="51"/>
  <c r="X79" i="51"/>
  <c r="N79" i="51"/>
  <c r="L79" i="51"/>
  <c r="B79" i="51"/>
  <c r="T78" i="51"/>
  <c r="X78" i="51" s="1"/>
  <c r="Z78" i="51" s="1"/>
  <c r="P78" i="51"/>
  <c r="L78" i="51"/>
  <c r="N78" i="51" s="1"/>
  <c r="H78" i="51"/>
  <c r="D78" i="51"/>
  <c r="B78" i="51"/>
  <c r="X77" i="51"/>
  <c r="Z77" i="51" s="1"/>
  <c r="L77" i="51"/>
  <c r="N77" i="51" s="1"/>
  <c r="B77" i="51"/>
  <c r="T76" i="51"/>
  <c r="P76" i="51"/>
  <c r="X76" i="51" s="1"/>
  <c r="Z76" i="51" s="1"/>
  <c r="H76" i="51"/>
  <c r="N76" i="51" s="1"/>
  <c r="D76" i="51"/>
  <c r="L76" i="51" s="1"/>
  <c r="B76" i="51"/>
  <c r="X75" i="51"/>
  <c r="Z75" i="51" s="1"/>
  <c r="R75" i="51"/>
  <c r="N75" i="51"/>
  <c r="L75" i="51"/>
  <c r="B75" i="51"/>
  <c r="X74" i="51"/>
  <c r="T74" i="51"/>
  <c r="Z74" i="51" s="1"/>
  <c r="P74" i="51"/>
  <c r="N74" i="51"/>
  <c r="L74" i="51"/>
  <c r="H74" i="51"/>
  <c r="D74" i="51"/>
  <c r="B74" i="51"/>
  <c r="X73" i="51"/>
  <c r="Z73" i="51" s="1"/>
  <c r="L73" i="51"/>
  <c r="N73" i="51" s="1"/>
  <c r="B73" i="51"/>
  <c r="X72" i="51"/>
  <c r="T72" i="51"/>
  <c r="Z72" i="51" s="1"/>
  <c r="P72" i="51"/>
  <c r="J72" i="51"/>
  <c r="H72" i="51"/>
  <c r="D72" i="51"/>
  <c r="L72" i="51" s="1"/>
  <c r="N72" i="51" s="1"/>
  <c r="B72" i="51"/>
  <c r="Z71" i="51"/>
  <c r="X71" i="51"/>
  <c r="L71" i="51"/>
  <c r="N71" i="51" s="1"/>
  <c r="B71" i="51"/>
  <c r="X70" i="51"/>
  <c r="Z70" i="51" s="1"/>
  <c r="L70" i="51"/>
  <c r="N70" i="51" s="1"/>
  <c r="J70" i="51"/>
  <c r="B70" i="51"/>
  <c r="X69" i="51"/>
  <c r="Z69" i="51" s="1"/>
  <c r="L69" i="51"/>
  <c r="N69" i="51" s="1"/>
  <c r="B69" i="51"/>
  <c r="Z68" i="51"/>
  <c r="X68" i="51"/>
  <c r="N68" i="51"/>
  <c r="L68" i="51"/>
  <c r="B68" i="51"/>
  <c r="Z67" i="51"/>
  <c r="X67" i="51"/>
  <c r="L67" i="51"/>
  <c r="N67" i="51" s="1"/>
  <c r="B67" i="51"/>
  <c r="T66" i="51"/>
  <c r="Z66" i="51" s="1"/>
  <c r="P66" i="51"/>
  <c r="X66" i="51" s="1"/>
  <c r="H66" i="51"/>
  <c r="D66" i="51"/>
  <c r="L66" i="51" s="1"/>
  <c r="N66" i="51" s="1"/>
  <c r="B66" i="51"/>
  <c r="X65" i="51"/>
  <c r="Z65" i="51" s="1"/>
  <c r="L65" i="51"/>
  <c r="N65" i="51" s="1"/>
  <c r="B65" i="51"/>
  <c r="Z64" i="51"/>
  <c r="X64" i="51"/>
  <c r="L64" i="51"/>
  <c r="N64" i="51" s="1"/>
  <c r="B64" i="51"/>
  <c r="X63" i="51"/>
  <c r="Z63" i="51" s="1"/>
  <c r="N63" i="51"/>
  <c r="L63" i="51"/>
  <c r="B63" i="51"/>
  <c r="X62" i="51"/>
  <c r="Z62" i="51" s="1"/>
  <c r="N62" i="51"/>
  <c r="L62" i="51"/>
  <c r="J62" i="51"/>
  <c r="B62" i="51"/>
  <c r="X61" i="51"/>
  <c r="Z61" i="51" s="1"/>
  <c r="L61" i="51"/>
  <c r="N61" i="51" s="1"/>
  <c r="B61" i="51"/>
  <c r="Z60" i="51"/>
  <c r="X60" i="51"/>
  <c r="L60" i="51"/>
  <c r="N60" i="51" s="1"/>
  <c r="B60" i="51"/>
  <c r="X59" i="51"/>
  <c r="Z59" i="51" s="1"/>
  <c r="N59" i="51"/>
  <c r="L59" i="51"/>
  <c r="B59" i="51"/>
  <c r="X58" i="51"/>
  <c r="Z58" i="51" s="1"/>
  <c r="N58" i="51"/>
  <c r="L58" i="51"/>
  <c r="J58" i="51"/>
  <c r="B58" i="51"/>
  <c r="X57" i="51"/>
  <c r="Z57" i="51" s="1"/>
  <c r="L57" i="51"/>
  <c r="N57" i="51" s="1"/>
  <c r="B57" i="51"/>
  <c r="Z56" i="51"/>
  <c r="T56" i="51"/>
  <c r="P56" i="51"/>
  <c r="X56" i="51" s="1"/>
  <c r="L56" i="51"/>
  <c r="J56" i="51"/>
  <c r="H56" i="51"/>
  <c r="N56" i="51" s="1"/>
  <c r="D56" i="51"/>
  <c r="B56" i="51"/>
  <c r="T55" i="51"/>
  <c r="P55" i="51"/>
  <c r="H55" i="51"/>
  <c r="D55" i="51"/>
  <c r="L55" i="51" s="1"/>
  <c r="Z51" i="51"/>
  <c r="X51" i="51"/>
  <c r="N51" i="51"/>
  <c r="L51" i="51"/>
  <c r="B51" i="51"/>
  <c r="Z50" i="51"/>
  <c r="X50" i="51"/>
  <c r="N50" i="51"/>
  <c r="L50" i="51"/>
  <c r="B50" i="51"/>
  <c r="X49" i="51"/>
  <c r="Z49" i="51" s="1"/>
  <c r="L49" i="51"/>
  <c r="N49" i="51" s="1"/>
  <c r="B49" i="51"/>
  <c r="X48" i="51"/>
  <c r="Z48" i="51" s="1"/>
  <c r="N48" i="51"/>
  <c r="L48" i="51"/>
  <c r="B48" i="51"/>
  <c r="Z47" i="51"/>
  <c r="X47" i="51"/>
  <c r="N47" i="51"/>
  <c r="L47" i="51"/>
  <c r="B47" i="51"/>
  <c r="Z46" i="51"/>
  <c r="X46" i="51"/>
  <c r="N46" i="51"/>
  <c r="L46" i="51"/>
  <c r="B46" i="51"/>
  <c r="X45" i="51"/>
  <c r="Z45" i="51" s="1"/>
  <c r="L45" i="51"/>
  <c r="N45" i="51" s="1"/>
  <c r="B45" i="51"/>
  <c r="X44" i="51"/>
  <c r="Z44" i="51" s="1"/>
  <c r="N44" i="51"/>
  <c r="L44" i="51"/>
  <c r="B44" i="51"/>
  <c r="Z43" i="51"/>
  <c r="X43" i="51"/>
  <c r="N43" i="51"/>
  <c r="L43" i="51"/>
  <c r="B43" i="51"/>
  <c r="Z42" i="51"/>
  <c r="X42" i="51"/>
  <c r="N42" i="51"/>
  <c r="L42" i="51"/>
  <c r="B42" i="51"/>
  <c r="X41" i="51"/>
  <c r="Z41" i="51" s="1"/>
  <c r="L41" i="51"/>
  <c r="N41" i="51" s="1"/>
  <c r="B41" i="51"/>
  <c r="X40" i="51"/>
  <c r="Z40" i="51" s="1"/>
  <c r="N40" i="51"/>
  <c r="L40" i="51"/>
  <c r="B40" i="51"/>
  <c r="Z39" i="51"/>
  <c r="X39" i="51"/>
  <c r="N39" i="51"/>
  <c r="L39" i="51"/>
  <c r="B39" i="51"/>
  <c r="T38" i="51"/>
  <c r="P38" i="51"/>
  <c r="X38" i="51" s="1"/>
  <c r="Z38" i="51" s="1"/>
  <c r="L38" i="51"/>
  <c r="N38" i="51" s="1"/>
  <c r="H38" i="51"/>
  <c r="D38" i="51"/>
  <c r="T36" i="51"/>
  <c r="P36" i="51"/>
  <c r="X36" i="51" s="1"/>
  <c r="H36" i="51"/>
  <c r="N36" i="51" s="1"/>
  <c r="D36" i="51"/>
  <c r="L36" i="51" s="1"/>
  <c r="B36" i="51"/>
  <c r="X35" i="51"/>
  <c r="T35" i="51"/>
  <c r="Z35" i="51" s="1"/>
  <c r="P35" i="51"/>
  <c r="L35" i="51"/>
  <c r="H35" i="51"/>
  <c r="N35" i="51" s="1"/>
  <c r="D35" i="51"/>
  <c r="B35" i="51"/>
  <c r="X34" i="51"/>
  <c r="T34" i="51"/>
  <c r="Z34" i="51" s="1"/>
  <c r="P34" i="51"/>
  <c r="H34" i="51"/>
  <c r="L34" i="51" s="1"/>
  <c r="N34" i="51" s="1"/>
  <c r="D34" i="51"/>
  <c r="B34" i="51"/>
  <c r="T33" i="51"/>
  <c r="P33" i="51"/>
  <c r="X33" i="51" s="1"/>
  <c r="Z33" i="51" s="1"/>
  <c r="H33" i="51"/>
  <c r="D33" i="51"/>
  <c r="L33" i="51" s="1"/>
  <c r="N33" i="51" s="1"/>
  <c r="B33" i="51"/>
  <c r="T32" i="51"/>
  <c r="P32" i="51"/>
  <c r="X32" i="51" s="1"/>
  <c r="H32" i="51"/>
  <c r="N32" i="51" s="1"/>
  <c r="D32" i="51"/>
  <c r="L32" i="51" s="1"/>
  <c r="B32" i="51"/>
  <c r="X31" i="51"/>
  <c r="T31" i="51"/>
  <c r="Z31" i="51" s="1"/>
  <c r="P31" i="51"/>
  <c r="L31" i="51"/>
  <c r="H31" i="51"/>
  <c r="N31" i="51" s="1"/>
  <c r="D31" i="51"/>
  <c r="B31" i="51"/>
  <c r="T30" i="51"/>
  <c r="P30" i="51"/>
  <c r="H30" i="51"/>
  <c r="L30" i="51" s="1"/>
  <c r="N30" i="51" s="1"/>
  <c r="D30" i="51"/>
  <c r="B30" i="51"/>
  <c r="T29" i="51"/>
  <c r="P29" i="51"/>
  <c r="X29" i="51" s="1"/>
  <c r="H29" i="51"/>
  <c r="D29" i="51"/>
  <c r="L29" i="51" s="1"/>
  <c r="N29" i="51" s="1"/>
  <c r="B29" i="51"/>
  <c r="T28" i="51"/>
  <c r="P28" i="51"/>
  <c r="L28" i="51"/>
  <c r="H28" i="51"/>
  <c r="N28" i="51" s="1"/>
  <c r="D28" i="51"/>
  <c r="B28" i="51"/>
  <c r="X27" i="51"/>
  <c r="T27" i="51"/>
  <c r="Z27" i="51" s="1"/>
  <c r="P27" i="51"/>
  <c r="L27" i="51"/>
  <c r="H27" i="51"/>
  <c r="D27" i="51"/>
  <c r="B27" i="51"/>
  <c r="T26" i="51"/>
  <c r="P26" i="51"/>
  <c r="N26" i="51"/>
  <c r="L26" i="51"/>
  <c r="H26" i="51"/>
  <c r="D26" i="51"/>
  <c r="B26" i="51"/>
  <c r="T25" i="51"/>
  <c r="Z25" i="51" s="1"/>
  <c r="P25" i="51"/>
  <c r="X25" i="51" s="1"/>
  <c r="H25" i="51"/>
  <c r="D25" i="51"/>
  <c r="L25" i="51" s="1"/>
  <c r="N25" i="51" s="1"/>
  <c r="B25" i="51"/>
  <c r="T24" i="51"/>
  <c r="P24" i="51"/>
  <c r="L24" i="51"/>
  <c r="H24" i="51"/>
  <c r="N24" i="51" s="1"/>
  <c r="D24" i="51"/>
  <c r="B24" i="51"/>
  <c r="X23" i="51"/>
  <c r="T23" i="51"/>
  <c r="Z23" i="51" s="1"/>
  <c r="P23" i="51"/>
  <c r="L23" i="51"/>
  <c r="N23" i="51" s="1"/>
  <c r="H23" i="51"/>
  <c r="D23" i="51"/>
  <c r="B23" i="51"/>
  <c r="T22" i="51"/>
  <c r="P22" i="51"/>
  <c r="N22" i="51"/>
  <c r="L22" i="51"/>
  <c r="H22" i="51"/>
  <c r="D22" i="51"/>
  <c r="B22" i="51"/>
  <c r="T21" i="51"/>
  <c r="Z21" i="51" s="1"/>
  <c r="P21" i="51"/>
  <c r="X21" i="51" s="1"/>
  <c r="H21" i="51"/>
  <c r="D21" i="51"/>
  <c r="L21" i="51" s="1"/>
  <c r="N21" i="51" s="1"/>
  <c r="B21" i="51"/>
  <c r="T20" i="51"/>
  <c r="P20" i="51"/>
  <c r="L20" i="51"/>
  <c r="H20" i="51"/>
  <c r="N20" i="51" s="1"/>
  <c r="D20" i="51"/>
  <c r="B20" i="51"/>
  <c r="X19" i="51"/>
  <c r="T19" i="51"/>
  <c r="Z19" i="51" s="1"/>
  <c r="P19" i="51"/>
  <c r="L19" i="51"/>
  <c r="N19" i="51" s="1"/>
  <c r="H19" i="51"/>
  <c r="D19" i="51"/>
  <c r="B19" i="51"/>
  <c r="T18" i="51"/>
  <c r="P18" i="51"/>
  <c r="N18" i="51"/>
  <c r="L18" i="51"/>
  <c r="H18" i="51"/>
  <c r="D18" i="51"/>
  <c r="B18" i="51"/>
  <c r="T17" i="51"/>
  <c r="P17" i="51"/>
  <c r="X17" i="51" s="1"/>
  <c r="N17" i="51"/>
  <c r="H17" i="51"/>
  <c r="D17" i="51"/>
  <c r="L17" i="51" s="1"/>
  <c r="B17" i="51"/>
  <c r="T16" i="51"/>
  <c r="P16" i="51"/>
  <c r="L16" i="51"/>
  <c r="H16" i="51"/>
  <c r="N16" i="51" s="1"/>
  <c r="D16" i="51"/>
  <c r="B16" i="51"/>
  <c r="X15" i="51"/>
  <c r="T15" i="51"/>
  <c r="Z15" i="51" s="1"/>
  <c r="P15" i="51"/>
  <c r="L15" i="51"/>
  <c r="H15" i="51"/>
  <c r="N15" i="51" s="1"/>
  <c r="D15" i="51"/>
  <c r="B15" i="51"/>
  <c r="T14" i="51"/>
  <c r="P14" i="51"/>
  <c r="N14" i="51"/>
  <c r="L14" i="51"/>
  <c r="H14" i="51"/>
  <c r="D14" i="51"/>
  <c r="B14" i="51"/>
  <c r="T13" i="51"/>
  <c r="Z13" i="51" s="1"/>
  <c r="P13" i="51"/>
  <c r="P12" i="51" s="1"/>
  <c r="R63" i="51" s="1"/>
  <c r="N13" i="51"/>
  <c r="H13" i="51"/>
  <c r="D13" i="51"/>
  <c r="D12" i="51" s="1"/>
  <c r="F66" i="51" s="1"/>
  <c r="B13" i="51"/>
  <c r="T12" i="51"/>
  <c r="H12" i="51"/>
  <c r="D4" i="51"/>
  <c r="Z64" i="48"/>
  <c r="X64" i="48"/>
  <c r="L64" i="48"/>
  <c r="N64" i="48" s="1"/>
  <c r="T60" i="48"/>
  <c r="P60" i="48"/>
  <c r="L60" i="48"/>
  <c r="H60" i="48"/>
  <c r="D60" i="48"/>
  <c r="B60" i="48"/>
  <c r="P59" i="48"/>
  <c r="H59" i="48"/>
  <c r="D59" i="48"/>
  <c r="L59" i="48" s="1"/>
  <c r="N59" i="48" s="1"/>
  <c r="Z57" i="48"/>
  <c r="X57" i="48"/>
  <c r="V57" i="48"/>
  <c r="L57" i="48"/>
  <c r="N57" i="48" s="1"/>
  <c r="J57" i="48"/>
  <c r="B57" i="48"/>
  <c r="T56" i="48"/>
  <c r="Z56" i="48" s="1"/>
  <c r="P56" i="48"/>
  <c r="X56" i="48" s="1"/>
  <c r="H56" i="48"/>
  <c r="D56" i="48"/>
  <c r="B56" i="48"/>
  <c r="X55" i="48"/>
  <c r="Z55" i="48" s="1"/>
  <c r="N55" i="48"/>
  <c r="L55" i="48"/>
  <c r="B55" i="48"/>
  <c r="X54" i="48"/>
  <c r="Z54" i="48" s="1"/>
  <c r="L54" i="48"/>
  <c r="N54" i="48" s="1"/>
  <c r="B54" i="48"/>
  <c r="X53" i="48"/>
  <c r="Z53" i="48" s="1"/>
  <c r="V53" i="48"/>
  <c r="N53" i="48"/>
  <c r="L53" i="48"/>
  <c r="B53" i="48"/>
  <c r="T52" i="48"/>
  <c r="Z52" i="48" s="1"/>
  <c r="P52" i="48"/>
  <c r="X52" i="48" s="1"/>
  <c r="H52" i="48"/>
  <c r="N52" i="48" s="1"/>
  <c r="D52" i="48"/>
  <c r="L52" i="48" s="1"/>
  <c r="B52" i="48"/>
  <c r="Z51" i="48"/>
  <c r="X51" i="48"/>
  <c r="N51" i="48"/>
  <c r="L51" i="48"/>
  <c r="B51" i="48"/>
  <c r="X50" i="48"/>
  <c r="Z50" i="48" s="1"/>
  <c r="N50" i="48"/>
  <c r="L50" i="48"/>
  <c r="F50" i="48"/>
  <c r="B50" i="48"/>
  <c r="X49" i="48"/>
  <c r="Z49" i="48" s="1"/>
  <c r="T49" i="48"/>
  <c r="P49" i="48"/>
  <c r="N49" i="48"/>
  <c r="L49" i="48"/>
  <c r="H49" i="48"/>
  <c r="D49" i="48"/>
  <c r="B49" i="48"/>
  <c r="X48" i="48"/>
  <c r="Z48" i="48" s="1"/>
  <c r="L48" i="48"/>
  <c r="N48" i="48" s="1"/>
  <c r="B48" i="48"/>
  <c r="T47" i="48"/>
  <c r="X47" i="48" s="1"/>
  <c r="Z47" i="48" s="1"/>
  <c r="P47" i="48"/>
  <c r="J47" i="48"/>
  <c r="H47" i="48"/>
  <c r="D47" i="48"/>
  <c r="L47" i="48" s="1"/>
  <c r="N47" i="48" s="1"/>
  <c r="B47" i="48"/>
  <c r="X46" i="48"/>
  <c r="Z46" i="48" s="1"/>
  <c r="L46" i="48"/>
  <c r="N46" i="48" s="1"/>
  <c r="B46" i="48"/>
  <c r="X45" i="48"/>
  <c r="V45" i="48"/>
  <c r="T45" i="48"/>
  <c r="Z45" i="48" s="1"/>
  <c r="P45" i="48"/>
  <c r="H45" i="48"/>
  <c r="N45" i="48" s="1"/>
  <c r="D45" i="48"/>
  <c r="L45" i="48" s="1"/>
  <c r="B45" i="48"/>
  <c r="Z44" i="48"/>
  <c r="X44" i="48"/>
  <c r="N44" i="48"/>
  <c r="L44" i="48"/>
  <c r="B44" i="48"/>
  <c r="Z43" i="48"/>
  <c r="X43" i="48"/>
  <c r="N43" i="48"/>
  <c r="L43" i="48"/>
  <c r="B43" i="48"/>
  <c r="T42" i="48"/>
  <c r="P42" i="48"/>
  <c r="N42" i="48"/>
  <c r="L42" i="48"/>
  <c r="H42" i="48"/>
  <c r="D42" i="48"/>
  <c r="B42" i="48"/>
  <c r="Z41" i="48"/>
  <c r="X41" i="48"/>
  <c r="V41" i="48"/>
  <c r="L41" i="48"/>
  <c r="N41" i="48" s="1"/>
  <c r="J41" i="48"/>
  <c r="B41" i="48"/>
  <c r="T40" i="48"/>
  <c r="Z40" i="48" s="1"/>
  <c r="P40" i="48"/>
  <c r="X40" i="48" s="1"/>
  <c r="H40" i="48"/>
  <c r="D40" i="48"/>
  <c r="B40" i="48"/>
  <c r="Z39" i="48"/>
  <c r="X39" i="48"/>
  <c r="V39" i="48"/>
  <c r="N39" i="48"/>
  <c r="L39" i="48"/>
  <c r="B39" i="48"/>
  <c r="T38" i="48"/>
  <c r="P38" i="48"/>
  <c r="X38" i="48" s="1"/>
  <c r="H38" i="48"/>
  <c r="D38" i="48"/>
  <c r="L38" i="48" s="1"/>
  <c r="B38" i="48"/>
  <c r="Z37" i="48"/>
  <c r="X37" i="48"/>
  <c r="N37" i="48"/>
  <c r="L37" i="48"/>
  <c r="J37" i="48"/>
  <c r="B37" i="48"/>
  <c r="X36" i="48"/>
  <c r="T36" i="48"/>
  <c r="Z36" i="48" s="1"/>
  <c r="P36" i="48"/>
  <c r="H36" i="48"/>
  <c r="D36" i="48"/>
  <c r="B36" i="48"/>
  <c r="Z35" i="48"/>
  <c r="X35" i="48"/>
  <c r="N35" i="48"/>
  <c r="L35" i="48"/>
  <c r="J35" i="48"/>
  <c r="B35" i="48"/>
  <c r="Z34" i="48"/>
  <c r="X34" i="48"/>
  <c r="L34" i="48"/>
  <c r="N34" i="48" s="1"/>
  <c r="B34" i="48"/>
  <c r="Z33" i="48"/>
  <c r="X33" i="48"/>
  <c r="V33" i="48"/>
  <c r="N33" i="48"/>
  <c r="L33" i="48"/>
  <c r="J33" i="48"/>
  <c r="B33" i="48"/>
  <c r="X32" i="48"/>
  <c r="Z32" i="48" s="1"/>
  <c r="R32" i="48"/>
  <c r="L32" i="48"/>
  <c r="N32" i="48" s="1"/>
  <c r="B32" i="48"/>
  <c r="Z31" i="48"/>
  <c r="X31" i="48"/>
  <c r="N31" i="48"/>
  <c r="L31" i="48"/>
  <c r="J31" i="48"/>
  <c r="B31" i="48"/>
  <c r="T30" i="48"/>
  <c r="P30" i="48"/>
  <c r="X30" i="48" s="1"/>
  <c r="H30" i="48"/>
  <c r="D30" i="48"/>
  <c r="L30" i="48" s="1"/>
  <c r="B30" i="48"/>
  <c r="X29" i="48"/>
  <c r="Z29" i="48" s="1"/>
  <c r="V29" i="48"/>
  <c r="N29" i="48"/>
  <c r="L29" i="48"/>
  <c r="B29" i="48"/>
  <c r="X28" i="48"/>
  <c r="Z28" i="48" s="1"/>
  <c r="L28" i="48"/>
  <c r="N28" i="48" s="1"/>
  <c r="B28" i="48"/>
  <c r="Z27" i="48"/>
  <c r="X27" i="48"/>
  <c r="V27" i="48"/>
  <c r="N27" i="48"/>
  <c r="L27" i="48"/>
  <c r="B27" i="48"/>
  <c r="Z26" i="48"/>
  <c r="X26" i="48"/>
  <c r="N26" i="48"/>
  <c r="L26" i="48"/>
  <c r="B26" i="48"/>
  <c r="X25" i="48"/>
  <c r="Z25" i="48" s="1"/>
  <c r="V25" i="48"/>
  <c r="N25" i="48"/>
  <c r="L25" i="48"/>
  <c r="B25" i="48"/>
  <c r="X24" i="48"/>
  <c r="Z24" i="48" s="1"/>
  <c r="L24" i="48"/>
  <c r="N24" i="48" s="1"/>
  <c r="B24" i="48"/>
  <c r="X23" i="48"/>
  <c r="Z23" i="48" s="1"/>
  <c r="V23" i="48"/>
  <c r="N23" i="48"/>
  <c r="L23" i="48"/>
  <c r="B23" i="48"/>
  <c r="X22" i="48"/>
  <c r="Z22" i="48" s="1"/>
  <c r="L22" i="48"/>
  <c r="N22" i="48" s="1"/>
  <c r="B22" i="48"/>
  <c r="X21" i="48"/>
  <c r="Z21" i="48" s="1"/>
  <c r="V21" i="48"/>
  <c r="N21" i="48"/>
  <c r="L21" i="48"/>
  <c r="B21" i="48"/>
  <c r="V20" i="48"/>
  <c r="T20" i="48"/>
  <c r="P20" i="48"/>
  <c r="X20" i="48" s="1"/>
  <c r="H20" i="48"/>
  <c r="N20" i="48" s="1"/>
  <c r="D20" i="48"/>
  <c r="L20" i="48" s="1"/>
  <c r="B20" i="48"/>
  <c r="Z19" i="48"/>
  <c r="X19" i="48"/>
  <c r="T19" i="48"/>
  <c r="P19" i="48"/>
  <c r="H19" i="48"/>
  <c r="D19" i="48"/>
  <c r="L19" i="48" s="1"/>
  <c r="Z15" i="48"/>
  <c r="X15" i="48"/>
  <c r="T15" i="48"/>
  <c r="T17" i="48" s="1"/>
  <c r="R15" i="48"/>
  <c r="P15" i="48"/>
  <c r="H15" i="48"/>
  <c r="N15" i="48" s="1"/>
  <c r="D15" i="48"/>
  <c r="L15" i="48" s="1"/>
  <c r="Z13" i="48"/>
  <c r="X13" i="48"/>
  <c r="T13" i="48"/>
  <c r="P13" i="48"/>
  <c r="N13" i="48"/>
  <c r="L13" i="48"/>
  <c r="H13" i="48"/>
  <c r="D13" i="48"/>
  <c r="B13" i="48"/>
  <c r="X12" i="48"/>
  <c r="T12" i="48"/>
  <c r="V44" i="48" s="1"/>
  <c r="P12" i="48"/>
  <c r="R64" i="48" s="1"/>
  <c r="H12" i="48"/>
  <c r="D12" i="48"/>
  <c r="F22" i="48" s="1"/>
  <c r="D4" i="48"/>
  <c r="X92" i="45"/>
  <c r="Z92" i="45" s="1"/>
  <c r="N92" i="45"/>
  <c r="L92" i="45"/>
  <c r="T88" i="45"/>
  <c r="Z88" i="45" s="1"/>
  <c r="P88" i="45"/>
  <c r="X88" i="45" s="1"/>
  <c r="N88" i="45"/>
  <c r="H88" i="45"/>
  <c r="D88" i="45"/>
  <c r="L88" i="45" s="1"/>
  <c r="X86" i="45"/>
  <c r="Z86" i="45" s="1"/>
  <c r="N86" i="45"/>
  <c r="L86" i="45"/>
  <c r="B86" i="45"/>
  <c r="T85" i="45"/>
  <c r="P85" i="45"/>
  <c r="N85" i="45"/>
  <c r="H85" i="45"/>
  <c r="D85" i="45"/>
  <c r="L85" i="45" s="1"/>
  <c r="B85" i="45"/>
  <c r="X84" i="45"/>
  <c r="Z84" i="45" s="1"/>
  <c r="L84" i="45"/>
  <c r="N84" i="45" s="1"/>
  <c r="B84" i="45"/>
  <c r="X83" i="45"/>
  <c r="T83" i="45"/>
  <c r="Z83" i="45" s="1"/>
  <c r="P83" i="45"/>
  <c r="H83" i="45"/>
  <c r="D83" i="45"/>
  <c r="L83" i="45" s="1"/>
  <c r="N83" i="45" s="1"/>
  <c r="B83" i="45"/>
  <c r="Z82" i="45"/>
  <c r="X82" i="45"/>
  <c r="L82" i="45"/>
  <c r="N82" i="45" s="1"/>
  <c r="B82" i="45"/>
  <c r="Z81" i="45"/>
  <c r="X81" i="45"/>
  <c r="T81" i="45"/>
  <c r="P81" i="45"/>
  <c r="H81" i="45"/>
  <c r="D81" i="45"/>
  <c r="L81" i="45" s="1"/>
  <c r="N81" i="45" s="1"/>
  <c r="B81" i="45"/>
  <c r="Z80" i="45"/>
  <c r="X80" i="45"/>
  <c r="N80" i="45"/>
  <c r="L80" i="45"/>
  <c r="B80" i="45"/>
  <c r="Z79" i="45"/>
  <c r="X79" i="45"/>
  <c r="L79" i="45"/>
  <c r="N79" i="45" s="1"/>
  <c r="B79" i="45"/>
  <c r="X78" i="45"/>
  <c r="Z78" i="45" s="1"/>
  <c r="N78" i="45"/>
  <c r="L78" i="45"/>
  <c r="B78" i="45"/>
  <c r="X77" i="45"/>
  <c r="Z77" i="45" s="1"/>
  <c r="N77" i="45"/>
  <c r="L77" i="45"/>
  <c r="B77" i="45"/>
  <c r="Z76" i="45"/>
  <c r="X76" i="45"/>
  <c r="L76" i="45"/>
  <c r="N76" i="45" s="1"/>
  <c r="B76" i="45"/>
  <c r="Z75" i="45"/>
  <c r="X75" i="45"/>
  <c r="L75" i="45"/>
  <c r="N75" i="45" s="1"/>
  <c r="B75" i="45"/>
  <c r="X74" i="45"/>
  <c r="Z74" i="45" s="1"/>
  <c r="L74" i="45"/>
  <c r="N74" i="45" s="1"/>
  <c r="B74" i="45"/>
  <c r="Z73" i="45"/>
  <c r="X73" i="45"/>
  <c r="N73" i="45"/>
  <c r="L73" i="45"/>
  <c r="J73" i="45"/>
  <c r="B73" i="45"/>
  <c r="T72" i="45"/>
  <c r="P72" i="45"/>
  <c r="X72" i="45" s="1"/>
  <c r="Z72" i="45" s="1"/>
  <c r="H72" i="45"/>
  <c r="D72" i="45"/>
  <c r="L72" i="45" s="1"/>
  <c r="B72" i="45"/>
  <c r="X71" i="45"/>
  <c r="Z71" i="45" s="1"/>
  <c r="N71" i="45"/>
  <c r="L71" i="45"/>
  <c r="B71" i="45"/>
  <c r="X70" i="45"/>
  <c r="Z70" i="45" s="1"/>
  <c r="N70" i="45"/>
  <c r="L70" i="45"/>
  <c r="B70" i="45"/>
  <c r="Z69" i="45"/>
  <c r="X69" i="45"/>
  <c r="N69" i="45"/>
  <c r="L69" i="45"/>
  <c r="B69" i="45"/>
  <c r="T68" i="45"/>
  <c r="P68" i="45"/>
  <c r="X68" i="45" s="1"/>
  <c r="L68" i="45"/>
  <c r="N68" i="45" s="1"/>
  <c r="H68" i="45"/>
  <c r="D68" i="45"/>
  <c r="B68" i="45"/>
  <c r="Z67" i="45"/>
  <c r="X67" i="45"/>
  <c r="N67" i="45"/>
  <c r="L67" i="45"/>
  <c r="B67" i="45"/>
  <c r="Z66" i="45"/>
  <c r="X66" i="45"/>
  <c r="L66" i="45"/>
  <c r="N66" i="45" s="1"/>
  <c r="F66" i="45"/>
  <c r="B66" i="45"/>
  <c r="Z65" i="45"/>
  <c r="X65" i="45"/>
  <c r="L65" i="45"/>
  <c r="N65" i="45" s="1"/>
  <c r="B65" i="45"/>
  <c r="X64" i="45"/>
  <c r="T64" i="45"/>
  <c r="P64" i="45"/>
  <c r="H64" i="45"/>
  <c r="N64" i="45" s="1"/>
  <c r="D64" i="45"/>
  <c r="L64" i="45" s="1"/>
  <c r="B64" i="45"/>
  <c r="Z63" i="45"/>
  <c r="X63" i="45"/>
  <c r="L63" i="45"/>
  <c r="N63" i="45" s="1"/>
  <c r="B63" i="45"/>
  <c r="T62" i="45"/>
  <c r="P62" i="45"/>
  <c r="H62" i="45"/>
  <c r="D62" i="45"/>
  <c r="L62" i="45" s="1"/>
  <c r="N62" i="45" s="1"/>
  <c r="B62" i="45"/>
  <c r="Z61" i="45"/>
  <c r="X61" i="45"/>
  <c r="N61" i="45"/>
  <c r="L61" i="45"/>
  <c r="B61" i="45"/>
  <c r="T60" i="45"/>
  <c r="Z60" i="45" s="1"/>
  <c r="P60" i="45"/>
  <c r="X60" i="45" s="1"/>
  <c r="L60" i="45"/>
  <c r="N60" i="45" s="1"/>
  <c r="H60" i="45"/>
  <c r="D60" i="45"/>
  <c r="B60" i="45"/>
  <c r="Z59" i="45"/>
  <c r="X59" i="45"/>
  <c r="N59" i="45"/>
  <c r="L59" i="45"/>
  <c r="B59" i="45"/>
  <c r="T58" i="45"/>
  <c r="P58" i="45"/>
  <c r="X58" i="45" s="1"/>
  <c r="L58" i="45"/>
  <c r="H58" i="45"/>
  <c r="D58" i="45"/>
  <c r="B58" i="45"/>
  <c r="X57" i="45"/>
  <c r="Z57" i="45" s="1"/>
  <c r="N57" i="45"/>
  <c r="L57" i="45"/>
  <c r="B57" i="45"/>
  <c r="T56" i="45"/>
  <c r="P56" i="45"/>
  <c r="X56" i="45" s="1"/>
  <c r="Z56" i="45" s="1"/>
  <c r="H56" i="45"/>
  <c r="D56" i="45"/>
  <c r="B56" i="45"/>
  <c r="X55" i="45"/>
  <c r="Z55" i="45" s="1"/>
  <c r="N55" i="45"/>
  <c r="L55" i="45"/>
  <c r="B55" i="45"/>
  <c r="X54" i="45"/>
  <c r="Z54" i="45" s="1"/>
  <c r="T54" i="45"/>
  <c r="P54" i="45"/>
  <c r="H54" i="45"/>
  <c r="N54" i="45" s="1"/>
  <c r="D54" i="45"/>
  <c r="L54" i="45" s="1"/>
  <c r="B54" i="45"/>
  <c r="Z53" i="45"/>
  <c r="X53" i="45"/>
  <c r="L53" i="45"/>
  <c r="N53" i="45" s="1"/>
  <c r="B53" i="45"/>
  <c r="X52" i="45"/>
  <c r="T52" i="45"/>
  <c r="Z52" i="45" s="1"/>
  <c r="P52" i="45"/>
  <c r="H52" i="45"/>
  <c r="D52" i="45"/>
  <c r="L52" i="45" s="1"/>
  <c r="B52" i="45"/>
  <c r="Z51" i="45"/>
  <c r="X51" i="45"/>
  <c r="N51" i="45"/>
  <c r="L51" i="45"/>
  <c r="B51" i="45"/>
  <c r="T50" i="45"/>
  <c r="Z50" i="45" s="1"/>
  <c r="P50" i="45"/>
  <c r="X50" i="45" s="1"/>
  <c r="N50" i="45"/>
  <c r="H50" i="45"/>
  <c r="D50" i="45"/>
  <c r="L50" i="45" s="1"/>
  <c r="B50" i="45"/>
  <c r="Z49" i="45"/>
  <c r="X49" i="45"/>
  <c r="N49" i="45"/>
  <c r="L49" i="45"/>
  <c r="B49" i="45"/>
  <c r="T48" i="45"/>
  <c r="P48" i="45"/>
  <c r="X48" i="45" s="1"/>
  <c r="L48" i="45"/>
  <c r="N48" i="45" s="1"/>
  <c r="H48" i="45"/>
  <c r="D48" i="45"/>
  <c r="B48" i="45"/>
  <c r="Z47" i="45"/>
  <c r="X47" i="45"/>
  <c r="N47" i="45"/>
  <c r="L47" i="45"/>
  <c r="B47" i="45"/>
  <c r="T46" i="45"/>
  <c r="Z46" i="45" s="1"/>
  <c r="P46" i="45"/>
  <c r="X46" i="45" s="1"/>
  <c r="L46" i="45"/>
  <c r="H46" i="45"/>
  <c r="N46" i="45" s="1"/>
  <c r="D46" i="45"/>
  <c r="B46" i="45"/>
  <c r="Z45" i="45"/>
  <c r="X45" i="45"/>
  <c r="N45" i="45"/>
  <c r="L45" i="45"/>
  <c r="B45" i="45"/>
  <c r="T44" i="45"/>
  <c r="P44" i="45"/>
  <c r="X44" i="45" s="1"/>
  <c r="Z44" i="45" s="1"/>
  <c r="H44" i="45"/>
  <c r="D44" i="45"/>
  <c r="L44" i="45" s="1"/>
  <c r="B44" i="45"/>
  <c r="X43" i="45"/>
  <c r="Z43" i="45" s="1"/>
  <c r="N43" i="45"/>
  <c r="L43" i="45"/>
  <c r="B43" i="45"/>
  <c r="X42" i="45"/>
  <c r="Z42" i="45" s="1"/>
  <c r="N42" i="45"/>
  <c r="L42" i="45"/>
  <c r="B42" i="45"/>
  <c r="Z41" i="45"/>
  <c r="X41" i="45"/>
  <c r="N41" i="45"/>
  <c r="L41" i="45"/>
  <c r="B41" i="45"/>
  <c r="X40" i="45"/>
  <c r="Z40" i="45" s="1"/>
  <c r="L40" i="45"/>
  <c r="N40" i="45" s="1"/>
  <c r="B40" i="45"/>
  <c r="X39" i="45"/>
  <c r="Z39" i="45" s="1"/>
  <c r="N39" i="45"/>
  <c r="L39" i="45"/>
  <c r="B39" i="45"/>
  <c r="X38" i="45"/>
  <c r="Z38" i="45" s="1"/>
  <c r="N38" i="45"/>
  <c r="L38" i="45"/>
  <c r="B38" i="45"/>
  <c r="Z37" i="45"/>
  <c r="X37" i="45"/>
  <c r="N37" i="45"/>
  <c r="L37" i="45"/>
  <c r="B37" i="45"/>
  <c r="T36" i="45"/>
  <c r="Z36" i="45" s="1"/>
  <c r="P36" i="45"/>
  <c r="X36" i="45" s="1"/>
  <c r="L36" i="45"/>
  <c r="N36" i="45" s="1"/>
  <c r="H36" i="45"/>
  <c r="D36" i="45"/>
  <c r="B36" i="45"/>
  <c r="Z35" i="45"/>
  <c r="X35" i="45"/>
  <c r="N35" i="45"/>
  <c r="L35" i="45"/>
  <c r="B35" i="45"/>
  <c r="X34" i="45"/>
  <c r="Z34" i="45" s="1"/>
  <c r="L34" i="45"/>
  <c r="N34" i="45" s="1"/>
  <c r="B34" i="45"/>
  <c r="Z33" i="45"/>
  <c r="X33" i="45"/>
  <c r="N33" i="45"/>
  <c r="L33" i="45"/>
  <c r="B33" i="45"/>
  <c r="X32" i="45"/>
  <c r="Z32" i="45" s="1"/>
  <c r="N32" i="45"/>
  <c r="L32" i="45"/>
  <c r="B32" i="45"/>
  <c r="Z31" i="45"/>
  <c r="X31" i="45"/>
  <c r="N31" i="45"/>
  <c r="L31" i="45"/>
  <c r="B31" i="45"/>
  <c r="X30" i="45"/>
  <c r="Z30" i="45" s="1"/>
  <c r="L30" i="45"/>
  <c r="N30" i="45" s="1"/>
  <c r="F30" i="45"/>
  <c r="B30" i="45"/>
  <c r="Z29" i="45"/>
  <c r="X29" i="45"/>
  <c r="N29" i="45"/>
  <c r="L29" i="45"/>
  <c r="B29" i="45"/>
  <c r="X28" i="45"/>
  <c r="Z28" i="45" s="1"/>
  <c r="N28" i="45"/>
  <c r="L28" i="45"/>
  <c r="B28" i="45"/>
  <c r="Z27" i="45"/>
  <c r="X27" i="45"/>
  <c r="N27" i="45"/>
  <c r="L27" i="45"/>
  <c r="B27" i="45"/>
  <c r="T26" i="45"/>
  <c r="P26" i="45"/>
  <c r="X26" i="45" s="1"/>
  <c r="L26" i="45"/>
  <c r="H26" i="45"/>
  <c r="N26" i="45" s="1"/>
  <c r="D26" i="45"/>
  <c r="B26" i="45"/>
  <c r="T25" i="45"/>
  <c r="P25" i="45"/>
  <c r="X25" i="45" s="1"/>
  <c r="N25" i="45"/>
  <c r="H25" i="45"/>
  <c r="D25" i="45"/>
  <c r="L25" i="45" s="1"/>
  <c r="X21" i="45"/>
  <c r="Z21" i="45" s="1"/>
  <c r="N21" i="45"/>
  <c r="L21" i="45"/>
  <c r="J21" i="45"/>
  <c r="B21" i="45"/>
  <c r="Z20" i="45"/>
  <c r="X20" i="45"/>
  <c r="L20" i="45"/>
  <c r="N20" i="45" s="1"/>
  <c r="B20" i="45"/>
  <c r="Z19" i="45"/>
  <c r="V19" i="45"/>
  <c r="T19" i="45"/>
  <c r="P19" i="45"/>
  <c r="X19" i="45" s="1"/>
  <c r="H19" i="45"/>
  <c r="N19" i="45" s="1"/>
  <c r="D19" i="45"/>
  <c r="L19" i="45" s="1"/>
  <c r="T17" i="45"/>
  <c r="P17" i="45"/>
  <c r="L17" i="45"/>
  <c r="N17" i="45" s="1"/>
  <c r="H17" i="45"/>
  <c r="D17" i="45"/>
  <c r="B17" i="45"/>
  <c r="T16" i="45"/>
  <c r="P16" i="45"/>
  <c r="X16" i="45" s="1"/>
  <c r="Z16" i="45" s="1"/>
  <c r="L16" i="45"/>
  <c r="H16" i="45"/>
  <c r="N16" i="45" s="1"/>
  <c r="D16" i="45"/>
  <c r="B16" i="45"/>
  <c r="T15" i="45"/>
  <c r="Z15" i="45" s="1"/>
  <c r="P15" i="45"/>
  <c r="X15" i="45" s="1"/>
  <c r="H15" i="45"/>
  <c r="D15" i="45"/>
  <c r="B15" i="45"/>
  <c r="T14" i="45"/>
  <c r="X14" i="45" s="1"/>
  <c r="Z14" i="45" s="1"/>
  <c r="P14" i="45"/>
  <c r="H14" i="45"/>
  <c r="D14" i="45"/>
  <c r="D12" i="45" s="1"/>
  <c r="F34" i="45" s="1"/>
  <c r="B14" i="45"/>
  <c r="T13" i="45"/>
  <c r="T12" i="45" s="1"/>
  <c r="V41" i="45" s="1"/>
  <c r="P13" i="45"/>
  <c r="L13" i="45"/>
  <c r="N13" i="45" s="1"/>
  <c r="H13" i="45"/>
  <c r="D13" i="45"/>
  <c r="B13" i="45"/>
  <c r="L12" i="45"/>
  <c r="H12" i="45"/>
  <c r="J77" i="45" s="1"/>
  <c r="D4" i="45"/>
  <c r="X118" i="42"/>
  <c r="Z118" i="42" s="1"/>
  <c r="L118" i="42"/>
  <c r="N118" i="42" s="1"/>
  <c r="T114" i="42"/>
  <c r="P114" i="42"/>
  <c r="X114" i="42" s="1"/>
  <c r="Z114" i="42" s="1"/>
  <c r="H114" i="42"/>
  <c r="D114" i="42"/>
  <c r="D111" i="42" s="1"/>
  <c r="L111" i="42" s="1"/>
  <c r="N111" i="42" s="1"/>
  <c r="B114" i="42"/>
  <c r="T113" i="42"/>
  <c r="P113" i="42"/>
  <c r="J113" i="42"/>
  <c r="H113" i="42"/>
  <c r="D113" i="42"/>
  <c r="L113" i="42" s="1"/>
  <c r="N113" i="42" s="1"/>
  <c r="B113" i="42"/>
  <c r="T112" i="42"/>
  <c r="P112" i="42"/>
  <c r="X112" i="42" s="1"/>
  <c r="L112" i="42"/>
  <c r="H112" i="42"/>
  <c r="H111" i="42" s="1"/>
  <c r="D112" i="42"/>
  <c r="B112" i="42"/>
  <c r="X109" i="42"/>
  <c r="Z109" i="42" s="1"/>
  <c r="L109" i="42"/>
  <c r="N109" i="42" s="1"/>
  <c r="J109" i="42"/>
  <c r="B109" i="42"/>
  <c r="T108" i="42"/>
  <c r="P108" i="42"/>
  <c r="X108" i="42" s="1"/>
  <c r="Z108" i="42" s="1"/>
  <c r="H108" i="42"/>
  <c r="D108" i="42"/>
  <c r="B108" i="42"/>
  <c r="X107" i="42"/>
  <c r="Z107" i="42" s="1"/>
  <c r="N107" i="42"/>
  <c r="L107" i="42"/>
  <c r="B107" i="42"/>
  <c r="X106" i="42"/>
  <c r="Z106" i="42" s="1"/>
  <c r="N106" i="42"/>
  <c r="L106" i="42"/>
  <c r="B106" i="42"/>
  <c r="X105" i="42"/>
  <c r="Z105" i="42" s="1"/>
  <c r="V105" i="42"/>
  <c r="N105" i="42"/>
  <c r="L105" i="42"/>
  <c r="B105" i="42"/>
  <c r="T104" i="42"/>
  <c r="P104" i="42"/>
  <c r="X104" i="42" s="1"/>
  <c r="Z104" i="42" s="1"/>
  <c r="L104" i="42"/>
  <c r="H104" i="42"/>
  <c r="N104" i="42" s="1"/>
  <c r="D104" i="42"/>
  <c r="B104" i="42"/>
  <c r="Z103" i="42"/>
  <c r="X103" i="42"/>
  <c r="N103" i="42"/>
  <c r="L103" i="42"/>
  <c r="B103" i="42"/>
  <c r="T102" i="42"/>
  <c r="Z102" i="42" s="1"/>
  <c r="P102" i="42"/>
  <c r="X102" i="42" s="1"/>
  <c r="L102" i="42"/>
  <c r="H102" i="42"/>
  <c r="D102" i="42"/>
  <c r="B102" i="42"/>
  <c r="X101" i="42"/>
  <c r="Z101" i="42" s="1"/>
  <c r="L101" i="42"/>
  <c r="N101" i="42" s="1"/>
  <c r="J101" i="42"/>
  <c r="B101" i="42"/>
  <c r="T100" i="42"/>
  <c r="P100" i="42"/>
  <c r="X100" i="42" s="1"/>
  <c r="Z100" i="42" s="1"/>
  <c r="H100" i="42"/>
  <c r="D100" i="42"/>
  <c r="B100" i="42"/>
  <c r="X99" i="42"/>
  <c r="Z99" i="42" s="1"/>
  <c r="N99" i="42"/>
  <c r="L99" i="42"/>
  <c r="B99" i="42"/>
  <c r="X98" i="42"/>
  <c r="Z98" i="42" s="1"/>
  <c r="N98" i="42"/>
  <c r="L98" i="42"/>
  <c r="B98" i="42"/>
  <c r="X97" i="42"/>
  <c r="Z97" i="42" s="1"/>
  <c r="V97" i="42"/>
  <c r="N97" i="42"/>
  <c r="L97" i="42"/>
  <c r="B97" i="42"/>
  <c r="X96" i="42"/>
  <c r="Z96" i="42" s="1"/>
  <c r="L96" i="42"/>
  <c r="N96" i="42" s="1"/>
  <c r="B96" i="42"/>
  <c r="X95" i="42"/>
  <c r="Z95" i="42" s="1"/>
  <c r="N95" i="42"/>
  <c r="L95" i="42"/>
  <c r="B95" i="42"/>
  <c r="X94" i="42"/>
  <c r="Z94" i="42" s="1"/>
  <c r="N94" i="42"/>
  <c r="L94" i="42"/>
  <c r="B94" i="42"/>
  <c r="X93" i="42"/>
  <c r="Z93" i="42" s="1"/>
  <c r="V93" i="42"/>
  <c r="N93" i="42"/>
  <c r="L93" i="42"/>
  <c r="B93" i="42"/>
  <c r="Z92" i="42"/>
  <c r="X92" i="42"/>
  <c r="N92" i="42"/>
  <c r="L92" i="42"/>
  <c r="B92" i="42"/>
  <c r="X91" i="42"/>
  <c r="Z91" i="42" s="1"/>
  <c r="N91" i="42"/>
  <c r="L91" i="42"/>
  <c r="B91" i="42"/>
  <c r="X90" i="42"/>
  <c r="T90" i="42"/>
  <c r="Z90" i="42" s="1"/>
  <c r="P90" i="42"/>
  <c r="H90" i="42"/>
  <c r="D90" i="42"/>
  <c r="L90" i="42" s="1"/>
  <c r="N90" i="42" s="1"/>
  <c r="B90" i="42"/>
  <c r="Z89" i="42"/>
  <c r="X89" i="42"/>
  <c r="L89" i="42"/>
  <c r="N89" i="42" s="1"/>
  <c r="B89" i="42"/>
  <c r="X88" i="42"/>
  <c r="T88" i="42"/>
  <c r="Z88" i="42" s="1"/>
  <c r="P88" i="42"/>
  <c r="H88" i="42"/>
  <c r="N88" i="42" s="1"/>
  <c r="D88" i="42"/>
  <c r="L88" i="42" s="1"/>
  <c r="B88" i="42"/>
  <c r="Z87" i="42"/>
  <c r="X87" i="42"/>
  <c r="L87" i="42"/>
  <c r="N87" i="42" s="1"/>
  <c r="B87" i="42"/>
  <c r="X86" i="42"/>
  <c r="Z86" i="42" s="1"/>
  <c r="L86" i="42"/>
  <c r="N86" i="42" s="1"/>
  <c r="B86" i="42"/>
  <c r="X85" i="42"/>
  <c r="Z85" i="42" s="1"/>
  <c r="L85" i="42"/>
  <c r="N85" i="42" s="1"/>
  <c r="J85" i="42"/>
  <c r="B85" i="42"/>
  <c r="Z84" i="42"/>
  <c r="X84" i="42"/>
  <c r="L84" i="42"/>
  <c r="N84" i="42" s="1"/>
  <c r="B84" i="42"/>
  <c r="Z83" i="42"/>
  <c r="X83" i="42"/>
  <c r="L83" i="42"/>
  <c r="N83" i="42" s="1"/>
  <c r="B83" i="42"/>
  <c r="T82" i="42"/>
  <c r="P82" i="42"/>
  <c r="X82" i="42" s="1"/>
  <c r="H82" i="42"/>
  <c r="D82" i="42"/>
  <c r="L82" i="42" s="1"/>
  <c r="N82" i="42" s="1"/>
  <c r="B82" i="42"/>
  <c r="X81" i="42"/>
  <c r="Z81" i="42" s="1"/>
  <c r="V81" i="42"/>
  <c r="N81" i="42"/>
  <c r="L81" i="42"/>
  <c r="B81" i="42"/>
  <c r="X80" i="42"/>
  <c r="Z80" i="42" s="1"/>
  <c r="L80" i="42"/>
  <c r="N80" i="42" s="1"/>
  <c r="B80" i="42"/>
  <c r="T79" i="42"/>
  <c r="Z79" i="42" s="1"/>
  <c r="P79" i="42"/>
  <c r="X79" i="42" s="1"/>
  <c r="J79" i="42"/>
  <c r="H79" i="42"/>
  <c r="D79" i="42"/>
  <c r="L79" i="42" s="1"/>
  <c r="N79" i="42" s="1"/>
  <c r="B79" i="42"/>
  <c r="X78" i="42"/>
  <c r="Z78" i="42" s="1"/>
  <c r="L78" i="42"/>
  <c r="N78" i="42" s="1"/>
  <c r="B78" i="42"/>
  <c r="Z77" i="42"/>
  <c r="X77" i="42"/>
  <c r="N77" i="42"/>
  <c r="L77" i="42"/>
  <c r="B77" i="42"/>
  <c r="X76" i="42"/>
  <c r="Z76" i="42" s="1"/>
  <c r="N76" i="42"/>
  <c r="L76" i="42"/>
  <c r="B76" i="42"/>
  <c r="T75" i="42"/>
  <c r="X75" i="42" s="1"/>
  <c r="Z75" i="42" s="1"/>
  <c r="P75" i="42"/>
  <c r="H75" i="42"/>
  <c r="D75" i="42"/>
  <c r="L75" i="42" s="1"/>
  <c r="N75" i="42" s="1"/>
  <c r="B75" i="42"/>
  <c r="Z74" i="42"/>
  <c r="X74" i="42"/>
  <c r="L74" i="42"/>
  <c r="N74" i="42" s="1"/>
  <c r="B74" i="42"/>
  <c r="T73" i="42"/>
  <c r="Z73" i="42" s="1"/>
  <c r="P73" i="42"/>
  <c r="X73" i="42" s="1"/>
  <c r="N73" i="42"/>
  <c r="H73" i="42"/>
  <c r="D73" i="42"/>
  <c r="L73" i="42" s="1"/>
  <c r="B73" i="42"/>
  <c r="X72" i="42"/>
  <c r="Z72" i="42" s="1"/>
  <c r="N72" i="42"/>
  <c r="L72" i="42"/>
  <c r="B72" i="42"/>
  <c r="X71" i="42"/>
  <c r="T71" i="42"/>
  <c r="Z71" i="42" s="1"/>
  <c r="P71" i="42"/>
  <c r="J71" i="42"/>
  <c r="H71" i="42"/>
  <c r="N71" i="42" s="1"/>
  <c r="D71" i="42"/>
  <c r="L71" i="42" s="1"/>
  <c r="B71" i="42"/>
  <c r="Z70" i="42"/>
  <c r="X70" i="42"/>
  <c r="N70" i="42"/>
  <c r="L70" i="42"/>
  <c r="B70" i="42"/>
  <c r="T69" i="42"/>
  <c r="X69" i="42" s="1"/>
  <c r="Z69" i="42" s="1"/>
  <c r="P69" i="42"/>
  <c r="H69" i="42"/>
  <c r="D69" i="42"/>
  <c r="L69" i="42" s="1"/>
  <c r="N69" i="42" s="1"/>
  <c r="B69" i="42"/>
  <c r="Z68" i="42"/>
  <c r="X68" i="42"/>
  <c r="L68" i="42"/>
  <c r="N68" i="42" s="1"/>
  <c r="B68" i="42"/>
  <c r="Z67" i="42"/>
  <c r="T67" i="42"/>
  <c r="P67" i="42"/>
  <c r="X67" i="42" s="1"/>
  <c r="H67" i="42"/>
  <c r="N67" i="42" s="1"/>
  <c r="D67" i="42"/>
  <c r="L67" i="42" s="1"/>
  <c r="B67" i="42"/>
  <c r="X66" i="42"/>
  <c r="Z66" i="42" s="1"/>
  <c r="N66" i="42"/>
  <c r="L66" i="42"/>
  <c r="B66" i="42"/>
  <c r="X65" i="42"/>
  <c r="Z65" i="42" s="1"/>
  <c r="V65" i="42"/>
  <c r="N65" i="42"/>
  <c r="L65" i="42"/>
  <c r="B65" i="42"/>
  <c r="T64" i="42"/>
  <c r="P64" i="42"/>
  <c r="X64" i="42" s="1"/>
  <c r="Z64" i="42" s="1"/>
  <c r="L64" i="42"/>
  <c r="N64" i="42" s="1"/>
  <c r="H64" i="42"/>
  <c r="D64" i="42"/>
  <c r="B64" i="42"/>
  <c r="Z63" i="42"/>
  <c r="X63" i="42"/>
  <c r="N63" i="42"/>
  <c r="L63" i="42"/>
  <c r="B63" i="42"/>
  <c r="Z62" i="42"/>
  <c r="T62" i="42"/>
  <c r="X62" i="42" s="1"/>
  <c r="P62" i="42"/>
  <c r="L62" i="42"/>
  <c r="H62" i="42"/>
  <c r="N62" i="42" s="1"/>
  <c r="D62" i="42"/>
  <c r="B62" i="42"/>
  <c r="X61" i="42"/>
  <c r="Z61" i="42" s="1"/>
  <c r="L61" i="42"/>
  <c r="N61" i="42" s="1"/>
  <c r="J61" i="42"/>
  <c r="B61" i="42"/>
  <c r="T60" i="42"/>
  <c r="P60" i="42"/>
  <c r="X60" i="42" s="1"/>
  <c r="H60" i="42"/>
  <c r="D60" i="42"/>
  <c r="B60" i="42"/>
  <c r="X59" i="42"/>
  <c r="Z59" i="42" s="1"/>
  <c r="N59" i="42"/>
  <c r="L59" i="42"/>
  <c r="B59" i="42"/>
  <c r="X58" i="42"/>
  <c r="T58" i="42"/>
  <c r="Z58" i="42" s="1"/>
  <c r="P58" i="42"/>
  <c r="H58" i="42"/>
  <c r="D58" i="42"/>
  <c r="L58" i="42" s="1"/>
  <c r="N58" i="42" s="1"/>
  <c r="B58" i="42"/>
  <c r="Z57" i="42"/>
  <c r="X57" i="42"/>
  <c r="N57" i="42"/>
  <c r="L57" i="42"/>
  <c r="B57" i="42"/>
  <c r="X56" i="42"/>
  <c r="Z56" i="42" s="1"/>
  <c r="N56" i="42"/>
  <c r="L56" i="42"/>
  <c r="B56" i="42"/>
  <c r="Z55" i="42"/>
  <c r="X55" i="42"/>
  <c r="N55" i="42"/>
  <c r="L55" i="42"/>
  <c r="B55" i="42"/>
  <c r="T54" i="42"/>
  <c r="Z54" i="42" s="1"/>
  <c r="P54" i="42"/>
  <c r="X54" i="42" s="1"/>
  <c r="L54" i="42"/>
  <c r="H54" i="42"/>
  <c r="N54" i="42" s="1"/>
  <c r="D54" i="42"/>
  <c r="B54" i="42"/>
  <c r="X53" i="42"/>
  <c r="Z53" i="42" s="1"/>
  <c r="N53" i="42"/>
  <c r="L53" i="42"/>
  <c r="J53" i="42"/>
  <c r="B53" i="42"/>
  <c r="X52" i="42"/>
  <c r="T52" i="42"/>
  <c r="Z52" i="42" s="1"/>
  <c r="P52" i="42"/>
  <c r="H52" i="42"/>
  <c r="D52" i="42"/>
  <c r="L52" i="42" s="1"/>
  <c r="B52" i="42"/>
  <c r="Z51" i="42"/>
  <c r="X51" i="42"/>
  <c r="N51" i="42"/>
  <c r="L51" i="42"/>
  <c r="B51" i="42"/>
  <c r="X50" i="42"/>
  <c r="T50" i="42"/>
  <c r="Z50" i="42" s="1"/>
  <c r="P50" i="42"/>
  <c r="H50" i="42"/>
  <c r="N50" i="42" s="1"/>
  <c r="D50" i="42"/>
  <c r="L50" i="42" s="1"/>
  <c r="B50" i="42"/>
  <c r="Z49" i="42"/>
  <c r="X49" i="42"/>
  <c r="N49" i="42"/>
  <c r="L49" i="42"/>
  <c r="B49" i="42"/>
  <c r="X48" i="42"/>
  <c r="T48" i="42"/>
  <c r="P48" i="42"/>
  <c r="H48" i="42"/>
  <c r="N48" i="42" s="1"/>
  <c r="D48" i="42"/>
  <c r="L48" i="42" s="1"/>
  <c r="B48" i="42"/>
  <c r="Z47" i="42"/>
  <c r="X47" i="42"/>
  <c r="N47" i="42"/>
  <c r="L47" i="42"/>
  <c r="B47" i="42"/>
  <c r="X46" i="42"/>
  <c r="Z46" i="42" s="1"/>
  <c r="R46" i="42"/>
  <c r="L46" i="42"/>
  <c r="N46" i="42" s="1"/>
  <c r="B46" i="42"/>
  <c r="Z45" i="42"/>
  <c r="X45" i="42"/>
  <c r="N45" i="42"/>
  <c r="L45" i="42"/>
  <c r="J45" i="42"/>
  <c r="B45" i="42"/>
  <c r="X44" i="42"/>
  <c r="Z44" i="42" s="1"/>
  <c r="L44" i="42"/>
  <c r="N44" i="42" s="1"/>
  <c r="B44" i="42"/>
  <c r="Z43" i="42"/>
  <c r="X43" i="42"/>
  <c r="N43" i="42"/>
  <c r="L43" i="42"/>
  <c r="B43" i="42"/>
  <c r="X42" i="42"/>
  <c r="Z42" i="42" s="1"/>
  <c r="L42" i="42"/>
  <c r="N42" i="42" s="1"/>
  <c r="B42" i="42"/>
  <c r="Z41" i="42"/>
  <c r="X41" i="42"/>
  <c r="N41" i="42"/>
  <c r="L41" i="42"/>
  <c r="J41" i="42"/>
  <c r="B41" i="42"/>
  <c r="T40" i="42"/>
  <c r="Z40" i="42" s="1"/>
  <c r="P40" i="42"/>
  <c r="X40" i="42" s="1"/>
  <c r="H40" i="42"/>
  <c r="D40" i="42"/>
  <c r="L40" i="42" s="1"/>
  <c r="B40" i="42"/>
  <c r="X39" i="42"/>
  <c r="Z39" i="42" s="1"/>
  <c r="N39" i="42"/>
  <c r="L39" i="42"/>
  <c r="B39" i="42"/>
  <c r="X38" i="42"/>
  <c r="Z38" i="42" s="1"/>
  <c r="N38" i="42"/>
  <c r="L38" i="42"/>
  <c r="B38" i="42"/>
  <c r="Z37" i="42"/>
  <c r="X37" i="42"/>
  <c r="V37" i="42"/>
  <c r="N37" i="42"/>
  <c r="L37" i="42"/>
  <c r="B37" i="42"/>
  <c r="X36" i="42"/>
  <c r="Z36" i="42" s="1"/>
  <c r="L36" i="42"/>
  <c r="N36" i="42" s="1"/>
  <c r="B36" i="42"/>
  <c r="X35" i="42"/>
  <c r="Z35" i="42" s="1"/>
  <c r="N35" i="42"/>
  <c r="L35" i="42"/>
  <c r="B35" i="42"/>
  <c r="X34" i="42"/>
  <c r="Z34" i="42" s="1"/>
  <c r="N34" i="42"/>
  <c r="L34" i="42"/>
  <c r="B34" i="42"/>
  <c r="Z33" i="42"/>
  <c r="X33" i="42"/>
  <c r="V33" i="42"/>
  <c r="N33" i="42"/>
  <c r="L33" i="42"/>
  <c r="B33" i="42"/>
  <c r="X32" i="42"/>
  <c r="Z32" i="42" s="1"/>
  <c r="L32" i="42"/>
  <c r="N32" i="42" s="1"/>
  <c r="B32" i="42"/>
  <c r="X31" i="42"/>
  <c r="Z31" i="42" s="1"/>
  <c r="L31" i="42"/>
  <c r="N31" i="42" s="1"/>
  <c r="B31" i="42"/>
  <c r="X30" i="42"/>
  <c r="T30" i="42"/>
  <c r="Z30" i="42" s="1"/>
  <c r="P30" i="42"/>
  <c r="H30" i="42"/>
  <c r="N30" i="42" s="1"/>
  <c r="D30" i="42"/>
  <c r="L30" i="42" s="1"/>
  <c r="B30" i="42"/>
  <c r="T29" i="42"/>
  <c r="P29" i="42"/>
  <c r="X29" i="42" s="1"/>
  <c r="H29" i="42"/>
  <c r="N29" i="42" s="1"/>
  <c r="D29" i="42"/>
  <c r="L29" i="42" s="1"/>
  <c r="Z25" i="42"/>
  <c r="X25" i="42"/>
  <c r="L25" i="42"/>
  <c r="N25" i="42" s="1"/>
  <c r="B25" i="42"/>
  <c r="X24" i="42"/>
  <c r="Z24" i="42" s="1"/>
  <c r="N24" i="42"/>
  <c r="L24" i="42"/>
  <c r="B24" i="42"/>
  <c r="T23" i="42"/>
  <c r="Z23" i="42" s="1"/>
  <c r="P23" i="42"/>
  <c r="X23" i="42" s="1"/>
  <c r="H23" i="42"/>
  <c r="N23" i="42" s="1"/>
  <c r="D23" i="42"/>
  <c r="L23" i="42" s="1"/>
  <c r="T21" i="42"/>
  <c r="P21" i="42"/>
  <c r="X21" i="42" s="1"/>
  <c r="N21" i="42"/>
  <c r="L21" i="42"/>
  <c r="H21" i="42"/>
  <c r="D21" i="42"/>
  <c r="B21" i="42"/>
  <c r="T20" i="42"/>
  <c r="P20" i="42"/>
  <c r="X20" i="42" s="1"/>
  <c r="H20" i="42"/>
  <c r="D20" i="42"/>
  <c r="L20" i="42" s="1"/>
  <c r="B20" i="42"/>
  <c r="T19" i="42"/>
  <c r="P19" i="42"/>
  <c r="X19" i="42" s="1"/>
  <c r="Z19" i="42" s="1"/>
  <c r="L19" i="42"/>
  <c r="H19" i="42"/>
  <c r="N19" i="42" s="1"/>
  <c r="D19" i="42"/>
  <c r="B19" i="42"/>
  <c r="X18" i="42"/>
  <c r="Z18" i="42" s="1"/>
  <c r="T18" i="42"/>
  <c r="P18" i="42"/>
  <c r="H18" i="42"/>
  <c r="D18" i="42"/>
  <c r="L18" i="42" s="1"/>
  <c r="B18" i="42"/>
  <c r="T17" i="42"/>
  <c r="P17" i="42"/>
  <c r="X17" i="42" s="1"/>
  <c r="N17" i="42"/>
  <c r="L17" i="42"/>
  <c r="H17" i="42"/>
  <c r="D17" i="42"/>
  <c r="B17" i="42"/>
  <c r="T16" i="42"/>
  <c r="P16" i="42"/>
  <c r="X16" i="42" s="1"/>
  <c r="H16" i="42"/>
  <c r="D16" i="42"/>
  <c r="L16" i="42" s="1"/>
  <c r="B16" i="42"/>
  <c r="T15" i="42"/>
  <c r="P15" i="42"/>
  <c r="X15" i="42" s="1"/>
  <c r="Z15" i="42" s="1"/>
  <c r="L15" i="42"/>
  <c r="H15" i="42"/>
  <c r="N15" i="42" s="1"/>
  <c r="D15" i="42"/>
  <c r="B15" i="42"/>
  <c r="X14" i="42"/>
  <c r="Z14" i="42" s="1"/>
  <c r="T14" i="42"/>
  <c r="P14" i="42"/>
  <c r="H14" i="42"/>
  <c r="D14" i="42"/>
  <c r="B14" i="42"/>
  <c r="T13" i="42"/>
  <c r="P13" i="42"/>
  <c r="P12" i="42" s="1"/>
  <c r="N13" i="42"/>
  <c r="L13" i="42"/>
  <c r="H13" i="42"/>
  <c r="D13" i="42"/>
  <c r="B13" i="42"/>
  <c r="T12" i="42"/>
  <c r="V88" i="42" s="1"/>
  <c r="H12" i="42"/>
  <c r="J118" i="42" s="1"/>
  <c r="D4" i="42"/>
  <c r="X127" i="39"/>
  <c r="Z127" i="39" s="1"/>
  <c r="L127" i="39"/>
  <c r="N127" i="39" s="1"/>
  <c r="Z123" i="39"/>
  <c r="X123" i="39"/>
  <c r="T123" i="39"/>
  <c r="P123" i="39"/>
  <c r="H123" i="39"/>
  <c r="N123" i="39" s="1"/>
  <c r="D123" i="39"/>
  <c r="L123" i="39" s="1"/>
  <c r="B123" i="39"/>
  <c r="Z122" i="39"/>
  <c r="X122" i="39"/>
  <c r="T122" i="39"/>
  <c r="P122" i="39"/>
  <c r="H122" i="39"/>
  <c r="D122" i="39"/>
  <c r="B122" i="39"/>
  <c r="T121" i="39"/>
  <c r="Z121" i="39" s="1"/>
  <c r="P121" i="39"/>
  <c r="X121" i="39" s="1"/>
  <c r="H121" i="39"/>
  <c r="N121" i="39" s="1"/>
  <c r="D121" i="39"/>
  <c r="L121" i="39" s="1"/>
  <c r="B121" i="39"/>
  <c r="H120" i="39"/>
  <c r="Z118" i="39"/>
  <c r="X118" i="39"/>
  <c r="N118" i="39"/>
  <c r="L118" i="39"/>
  <c r="B118" i="39"/>
  <c r="Z117" i="39"/>
  <c r="X117" i="39"/>
  <c r="T117" i="39"/>
  <c r="P117" i="39"/>
  <c r="H117" i="39"/>
  <c r="N117" i="39" s="1"/>
  <c r="D117" i="39"/>
  <c r="L117" i="39" s="1"/>
  <c r="B117" i="39"/>
  <c r="X116" i="39"/>
  <c r="Z116" i="39" s="1"/>
  <c r="N116" i="39"/>
  <c r="L116" i="39"/>
  <c r="B116" i="39"/>
  <c r="X115" i="39"/>
  <c r="Z115" i="39" s="1"/>
  <c r="N115" i="39"/>
  <c r="L115" i="39"/>
  <c r="B115" i="39"/>
  <c r="Z114" i="39"/>
  <c r="X114" i="39"/>
  <c r="N114" i="39"/>
  <c r="L114" i="39"/>
  <c r="B114" i="39"/>
  <c r="T113" i="39"/>
  <c r="Z113" i="39" s="1"/>
  <c r="P113" i="39"/>
  <c r="X113" i="39" s="1"/>
  <c r="L113" i="39"/>
  <c r="H113" i="39"/>
  <c r="N113" i="39" s="1"/>
  <c r="D113" i="39"/>
  <c r="B113" i="39"/>
  <c r="X112" i="39"/>
  <c r="Z112" i="39" s="1"/>
  <c r="N112" i="39"/>
  <c r="L112" i="39"/>
  <c r="B112" i="39"/>
  <c r="T111" i="39"/>
  <c r="P111" i="39"/>
  <c r="X111" i="39" s="1"/>
  <c r="Z111" i="39" s="1"/>
  <c r="H111" i="39"/>
  <c r="N111" i="39" s="1"/>
  <c r="D111" i="39"/>
  <c r="L111" i="39" s="1"/>
  <c r="B111" i="39"/>
  <c r="Z110" i="39"/>
  <c r="X110" i="39"/>
  <c r="N110" i="39"/>
  <c r="L110" i="39"/>
  <c r="B110" i="39"/>
  <c r="Z109" i="39"/>
  <c r="X109" i="39"/>
  <c r="T109" i="39"/>
  <c r="P109" i="39"/>
  <c r="H109" i="39"/>
  <c r="N109" i="39" s="1"/>
  <c r="D109" i="39"/>
  <c r="L109" i="39" s="1"/>
  <c r="B109" i="39"/>
  <c r="X108" i="39"/>
  <c r="Z108" i="39" s="1"/>
  <c r="N108" i="39"/>
  <c r="L108" i="39"/>
  <c r="B108" i="39"/>
  <c r="X107" i="39"/>
  <c r="Z107" i="39" s="1"/>
  <c r="N107" i="39"/>
  <c r="L107" i="39"/>
  <c r="B107" i="39"/>
  <c r="Z106" i="39"/>
  <c r="X106" i="39"/>
  <c r="L106" i="39"/>
  <c r="N106" i="39" s="1"/>
  <c r="B106" i="39"/>
  <c r="X105" i="39"/>
  <c r="Z105" i="39" s="1"/>
  <c r="L105" i="39"/>
  <c r="N105" i="39" s="1"/>
  <c r="B105" i="39"/>
  <c r="X104" i="39"/>
  <c r="Z104" i="39" s="1"/>
  <c r="N104" i="39"/>
  <c r="L104" i="39"/>
  <c r="B104" i="39"/>
  <c r="X103" i="39"/>
  <c r="Z103" i="39" s="1"/>
  <c r="L103" i="39"/>
  <c r="N103" i="39" s="1"/>
  <c r="B103" i="39"/>
  <c r="Z102" i="39"/>
  <c r="X102" i="39"/>
  <c r="L102" i="39"/>
  <c r="N102" i="39" s="1"/>
  <c r="B102" i="39"/>
  <c r="Z101" i="39"/>
  <c r="X101" i="39"/>
  <c r="N101" i="39"/>
  <c r="L101" i="39"/>
  <c r="B101" i="39"/>
  <c r="X100" i="39"/>
  <c r="Z100" i="39" s="1"/>
  <c r="L100" i="39"/>
  <c r="N100" i="39" s="1"/>
  <c r="B100" i="39"/>
  <c r="T99" i="39"/>
  <c r="Z99" i="39" s="1"/>
  <c r="P99" i="39"/>
  <c r="X99" i="39" s="1"/>
  <c r="H99" i="39"/>
  <c r="N99" i="39" s="1"/>
  <c r="D99" i="39"/>
  <c r="L99" i="39" s="1"/>
  <c r="B99" i="39"/>
  <c r="X98" i="39"/>
  <c r="Z98" i="39" s="1"/>
  <c r="N98" i="39"/>
  <c r="L98" i="39"/>
  <c r="B98" i="39"/>
  <c r="X97" i="39"/>
  <c r="T97" i="39"/>
  <c r="Z97" i="39" s="1"/>
  <c r="P97" i="39"/>
  <c r="L97" i="39"/>
  <c r="N97" i="39" s="1"/>
  <c r="H97" i="39"/>
  <c r="D97" i="39"/>
  <c r="B97" i="39"/>
  <c r="Z96" i="39"/>
  <c r="X96" i="39"/>
  <c r="L96" i="39"/>
  <c r="N96" i="39" s="1"/>
  <c r="B96" i="39"/>
  <c r="X95" i="39"/>
  <c r="Z95" i="39" s="1"/>
  <c r="L95" i="39"/>
  <c r="N95" i="39" s="1"/>
  <c r="B95" i="39"/>
  <c r="Z94" i="39"/>
  <c r="X94" i="39"/>
  <c r="N94" i="39"/>
  <c r="L94" i="39"/>
  <c r="B94" i="39"/>
  <c r="Z93" i="39"/>
  <c r="X93" i="39"/>
  <c r="L93" i="39"/>
  <c r="N93" i="39" s="1"/>
  <c r="B93" i="39"/>
  <c r="Z92" i="39"/>
  <c r="X92" i="39"/>
  <c r="L92" i="39"/>
  <c r="N92" i="39" s="1"/>
  <c r="B92" i="39"/>
  <c r="T91" i="39"/>
  <c r="Z91" i="39" s="1"/>
  <c r="P91" i="39"/>
  <c r="X91" i="39" s="1"/>
  <c r="H91" i="39"/>
  <c r="D91" i="39"/>
  <c r="L91" i="39" s="1"/>
  <c r="N91" i="39" s="1"/>
  <c r="B91" i="39"/>
  <c r="Z90" i="39"/>
  <c r="X90" i="39"/>
  <c r="L90" i="39"/>
  <c r="N90" i="39" s="1"/>
  <c r="B90" i="39"/>
  <c r="X89" i="39"/>
  <c r="Z89" i="39" s="1"/>
  <c r="L89" i="39"/>
  <c r="N89" i="39" s="1"/>
  <c r="B89" i="39"/>
  <c r="T88" i="39"/>
  <c r="P88" i="39"/>
  <c r="X88" i="39" s="1"/>
  <c r="Z88" i="39" s="1"/>
  <c r="H88" i="39"/>
  <c r="D88" i="39"/>
  <c r="L88" i="39" s="1"/>
  <c r="N88" i="39" s="1"/>
  <c r="B88" i="39"/>
  <c r="X87" i="39"/>
  <c r="Z87" i="39" s="1"/>
  <c r="N87" i="39"/>
  <c r="L87" i="39"/>
  <c r="B87" i="39"/>
  <c r="X86" i="39"/>
  <c r="Z86" i="39" s="1"/>
  <c r="N86" i="39"/>
  <c r="L86" i="39"/>
  <c r="B86" i="39"/>
  <c r="X85" i="39"/>
  <c r="Z85" i="39" s="1"/>
  <c r="N85" i="39"/>
  <c r="L85" i="39"/>
  <c r="B85" i="39"/>
  <c r="X84" i="39"/>
  <c r="T84" i="39"/>
  <c r="Z84" i="39" s="1"/>
  <c r="P84" i="39"/>
  <c r="L84" i="39"/>
  <c r="N84" i="39" s="1"/>
  <c r="H84" i="39"/>
  <c r="D84" i="39"/>
  <c r="B84" i="39"/>
  <c r="Z83" i="39"/>
  <c r="X83" i="39"/>
  <c r="L83" i="39"/>
  <c r="N83" i="39" s="1"/>
  <c r="B83" i="39"/>
  <c r="T82" i="39"/>
  <c r="Z82" i="39" s="1"/>
  <c r="P82" i="39"/>
  <c r="X82" i="39" s="1"/>
  <c r="H82" i="39"/>
  <c r="D82" i="39"/>
  <c r="B82" i="39"/>
  <c r="X81" i="39"/>
  <c r="Z81" i="39" s="1"/>
  <c r="N81" i="39"/>
  <c r="L81" i="39"/>
  <c r="B81" i="39"/>
  <c r="T80" i="39"/>
  <c r="P80" i="39"/>
  <c r="X80" i="39" s="1"/>
  <c r="H80" i="39"/>
  <c r="N80" i="39" s="1"/>
  <c r="D80" i="39"/>
  <c r="L80" i="39" s="1"/>
  <c r="B80" i="39"/>
  <c r="X79" i="39"/>
  <c r="Z79" i="39" s="1"/>
  <c r="N79" i="39"/>
  <c r="L79" i="39"/>
  <c r="B79" i="39"/>
  <c r="X78" i="39"/>
  <c r="T78" i="39"/>
  <c r="P78" i="39"/>
  <c r="L78" i="39"/>
  <c r="H78" i="39"/>
  <c r="N78" i="39" s="1"/>
  <c r="D78" i="39"/>
  <c r="B78" i="39"/>
  <c r="Z77" i="39"/>
  <c r="X77" i="39"/>
  <c r="N77" i="39"/>
  <c r="L77" i="39"/>
  <c r="B77" i="39"/>
  <c r="T76" i="39"/>
  <c r="P76" i="39"/>
  <c r="H76" i="39"/>
  <c r="D76" i="39"/>
  <c r="L76" i="39" s="1"/>
  <c r="B76" i="39"/>
  <c r="X75" i="39"/>
  <c r="Z75" i="39" s="1"/>
  <c r="N75" i="39"/>
  <c r="L75" i="39"/>
  <c r="B75" i="39"/>
  <c r="X74" i="39"/>
  <c r="Z74" i="39" s="1"/>
  <c r="L74" i="39"/>
  <c r="N74" i="39" s="1"/>
  <c r="B74" i="39"/>
  <c r="T73" i="39"/>
  <c r="P73" i="39"/>
  <c r="X73" i="39" s="1"/>
  <c r="Z73" i="39" s="1"/>
  <c r="H73" i="39"/>
  <c r="D73" i="39"/>
  <c r="L73" i="39" s="1"/>
  <c r="N73" i="39" s="1"/>
  <c r="B73" i="39"/>
  <c r="Z72" i="39"/>
  <c r="X72" i="39"/>
  <c r="N72" i="39"/>
  <c r="L72" i="39"/>
  <c r="B72" i="39"/>
  <c r="X71" i="39"/>
  <c r="Z71" i="39" s="1"/>
  <c r="N71" i="39"/>
  <c r="L71" i="39"/>
  <c r="B71" i="39"/>
  <c r="X70" i="39"/>
  <c r="T70" i="39"/>
  <c r="Z70" i="39" s="1"/>
  <c r="P70" i="39"/>
  <c r="L70" i="39"/>
  <c r="H70" i="39"/>
  <c r="N70" i="39" s="1"/>
  <c r="D70" i="39"/>
  <c r="B70" i="39"/>
  <c r="Z69" i="39"/>
  <c r="X69" i="39"/>
  <c r="N69" i="39"/>
  <c r="L69" i="39"/>
  <c r="B69" i="39"/>
  <c r="T68" i="39"/>
  <c r="P68" i="39"/>
  <c r="X68" i="39" s="1"/>
  <c r="H68" i="39"/>
  <c r="D68" i="39"/>
  <c r="L68" i="39" s="1"/>
  <c r="B68" i="39"/>
  <c r="X67" i="39"/>
  <c r="Z67" i="39" s="1"/>
  <c r="L67" i="39"/>
  <c r="N67" i="39" s="1"/>
  <c r="B67" i="39"/>
  <c r="T66" i="39"/>
  <c r="P66" i="39"/>
  <c r="X66" i="39" s="1"/>
  <c r="H66" i="39"/>
  <c r="N66" i="39" s="1"/>
  <c r="D66" i="39"/>
  <c r="L66" i="39" s="1"/>
  <c r="B66" i="39"/>
  <c r="X65" i="39"/>
  <c r="Z65" i="39" s="1"/>
  <c r="N65" i="39"/>
  <c r="L65" i="39"/>
  <c r="B65" i="39"/>
  <c r="T64" i="39"/>
  <c r="P64" i="39"/>
  <c r="X64" i="39" s="1"/>
  <c r="L64" i="39"/>
  <c r="H64" i="39"/>
  <c r="D64" i="39"/>
  <c r="B64" i="39"/>
  <c r="Z63" i="39"/>
  <c r="X63" i="39"/>
  <c r="N63" i="39"/>
  <c r="L63" i="39"/>
  <c r="B63" i="39"/>
  <c r="X62" i="39"/>
  <c r="Z62" i="39" s="1"/>
  <c r="L62" i="39"/>
  <c r="N62" i="39" s="1"/>
  <c r="B62" i="39"/>
  <c r="Z61" i="39"/>
  <c r="X61" i="39"/>
  <c r="N61" i="39"/>
  <c r="L61" i="39"/>
  <c r="B61" i="39"/>
  <c r="T60" i="39"/>
  <c r="P60" i="39"/>
  <c r="X60" i="39" s="1"/>
  <c r="H60" i="39"/>
  <c r="D60" i="39"/>
  <c r="B60" i="39"/>
  <c r="X59" i="39"/>
  <c r="Z59" i="39" s="1"/>
  <c r="N59" i="39"/>
  <c r="L59" i="39"/>
  <c r="B59" i="39"/>
  <c r="T58" i="39"/>
  <c r="P58" i="39"/>
  <c r="X58" i="39" s="1"/>
  <c r="H58" i="39"/>
  <c r="D58" i="39"/>
  <c r="L58" i="39" s="1"/>
  <c r="B58" i="39"/>
  <c r="X57" i="39"/>
  <c r="Z57" i="39" s="1"/>
  <c r="N57" i="39"/>
  <c r="L57" i="39"/>
  <c r="B57" i="39"/>
  <c r="T56" i="39"/>
  <c r="P56" i="39"/>
  <c r="X56" i="39" s="1"/>
  <c r="L56" i="39"/>
  <c r="H56" i="39"/>
  <c r="D56" i="39"/>
  <c r="B56" i="39"/>
  <c r="X55" i="39"/>
  <c r="Z55" i="39" s="1"/>
  <c r="L55" i="39"/>
  <c r="N55" i="39" s="1"/>
  <c r="B55" i="39"/>
  <c r="T54" i="39"/>
  <c r="P54" i="39"/>
  <c r="H54" i="39"/>
  <c r="D54" i="39"/>
  <c r="L54" i="39" s="1"/>
  <c r="B54" i="39"/>
  <c r="Z53" i="39"/>
  <c r="X53" i="39"/>
  <c r="L53" i="39"/>
  <c r="N53" i="39" s="1"/>
  <c r="B53" i="39"/>
  <c r="X52" i="39"/>
  <c r="Z52" i="39" s="1"/>
  <c r="L52" i="39"/>
  <c r="N52" i="39" s="1"/>
  <c r="B52" i="39"/>
  <c r="Z51" i="39"/>
  <c r="X51" i="39"/>
  <c r="L51" i="39"/>
  <c r="N51" i="39" s="1"/>
  <c r="B51" i="39"/>
  <c r="Z50" i="39"/>
  <c r="X50" i="39"/>
  <c r="L50" i="39"/>
  <c r="N50" i="39" s="1"/>
  <c r="B50" i="39"/>
  <c r="Z49" i="39"/>
  <c r="X49" i="39"/>
  <c r="L49" i="39"/>
  <c r="N49" i="39" s="1"/>
  <c r="B49" i="39"/>
  <c r="X48" i="39"/>
  <c r="Z48" i="39" s="1"/>
  <c r="L48" i="39"/>
  <c r="N48" i="39" s="1"/>
  <c r="B48" i="39"/>
  <c r="Z47" i="39"/>
  <c r="X47" i="39"/>
  <c r="L47" i="39"/>
  <c r="N47" i="39" s="1"/>
  <c r="B47" i="39"/>
  <c r="T46" i="39"/>
  <c r="P46" i="39"/>
  <c r="X46" i="39" s="1"/>
  <c r="H46" i="39"/>
  <c r="D46" i="39"/>
  <c r="L46" i="39" s="1"/>
  <c r="B46" i="39"/>
  <c r="X45" i="39"/>
  <c r="Z45" i="39" s="1"/>
  <c r="N45" i="39"/>
  <c r="L45" i="39"/>
  <c r="B45" i="39"/>
  <c r="X44" i="39"/>
  <c r="Z44" i="39" s="1"/>
  <c r="L44" i="39"/>
  <c r="N44" i="39" s="1"/>
  <c r="B44" i="39"/>
  <c r="X43" i="39"/>
  <c r="Z43" i="39" s="1"/>
  <c r="N43" i="39"/>
  <c r="L43" i="39"/>
  <c r="B43" i="39"/>
  <c r="X42" i="39"/>
  <c r="Z42" i="39" s="1"/>
  <c r="N42" i="39"/>
  <c r="L42" i="39"/>
  <c r="B42" i="39"/>
  <c r="X41" i="39"/>
  <c r="Z41" i="39" s="1"/>
  <c r="N41" i="39"/>
  <c r="L41" i="39"/>
  <c r="B41" i="39"/>
  <c r="X40" i="39"/>
  <c r="Z40" i="39" s="1"/>
  <c r="L40" i="39"/>
  <c r="N40" i="39" s="1"/>
  <c r="B40" i="39"/>
  <c r="X39" i="39"/>
  <c r="Z39" i="39" s="1"/>
  <c r="N39" i="39"/>
  <c r="L39" i="39"/>
  <c r="B39" i="39"/>
  <c r="X38" i="39"/>
  <c r="Z38" i="39" s="1"/>
  <c r="N38" i="39"/>
  <c r="L38" i="39"/>
  <c r="B38" i="39"/>
  <c r="X37" i="39"/>
  <c r="Z37" i="39" s="1"/>
  <c r="N37" i="39"/>
  <c r="L37" i="39"/>
  <c r="B37" i="39"/>
  <c r="X36" i="39"/>
  <c r="T36" i="39"/>
  <c r="P36" i="39"/>
  <c r="L36" i="39"/>
  <c r="H36" i="39"/>
  <c r="D36" i="39"/>
  <c r="B36" i="39"/>
  <c r="T35" i="39"/>
  <c r="P35" i="39"/>
  <c r="H35" i="39"/>
  <c r="D35" i="39"/>
  <c r="Z31" i="39"/>
  <c r="X31" i="39"/>
  <c r="N31" i="39"/>
  <c r="L31" i="39"/>
  <c r="B31" i="39"/>
  <c r="Z30" i="39"/>
  <c r="X30" i="39"/>
  <c r="N30" i="39"/>
  <c r="L30" i="39"/>
  <c r="B30" i="39"/>
  <c r="T29" i="39"/>
  <c r="P29" i="39"/>
  <c r="H29" i="39"/>
  <c r="D29" i="39"/>
  <c r="T27" i="39"/>
  <c r="P27" i="39"/>
  <c r="L27" i="39"/>
  <c r="H27" i="39"/>
  <c r="N27" i="39" s="1"/>
  <c r="D27" i="39"/>
  <c r="B27" i="39"/>
  <c r="X26" i="39"/>
  <c r="T26" i="39"/>
  <c r="Z26" i="39" s="1"/>
  <c r="P26" i="39"/>
  <c r="H26" i="39"/>
  <c r="D26" i="39"/>
  <c r="B26" i="39"/>
  <c r="Z25" i="39"/>
  <c r="X25" i="39"/>
  <c r="T25" i="39"/>
  <c r="P25" i="39"/>
  <c r="L25" i="39"/>
  <c r="H25" i="39"/>
  <c r="N25" i="39" s="1"/>
  <c r="D25" i="39"/>
  <c r="B25" i="39"/>
  <c r="T24" i="39"/>
  <c r="P24" i="39"/>
  <c r="X24" i="39" s="1"/>
  <c r="Z24" i="39" s="1"/>
  <c r="H24" i="39"/>
  <c r="D24" i="39"/>
  <c r="L24" i="39" s="1"/>
  <c r="N24" i="39" s="1"/>
  <c r="B24" i="39"/>
  <c r="T23" i="39"/>
  <c r="P23" i="39"/>
  <c r="X23" i="39" s="1"/>
  <c r="Z23" i="39" s="1"/>
  <c r="H23" i="39"/>
  <c r="D23" i="39"/>
  <c r="L23" i="39" s="1"/>
  <c r="N23" i="39" s="1"/>
  <c r="B23" i="39"/>
  <c r="T22" i="39"/>
  <c r="P22" i="39"/>
  <c r="X22" i="39" s="1"/>
  <c r="H22" i="39"/>
  <c r="D22" i="39"/>
  <c r="L22" i="39" s="1"/>
  <c r="B22" i="39"/>
  <c r="T21" i="39"/>
  <c r="P21" i="39"/>
  <c r="X21" i="39" s="1"/>
  <c r="L21" i="39"/>
  <c r="H21" i="39"/>
  <c r="N21" i="39" s="1"/>
  <c r="D21" i="39"/>
  <c r="B21" i="39"/>
  <c r="T20" i="39"/>
  <c r="P20" i="39"/>
  <c r="L20" i="39"/>
  <c r="H20" i="39"/>
  <c r="N20" i="39" s="1"/>
  <c r="D20" i="39"/>
  <c r="B20" i="39"/>
  <c r="T19" i="39"/>
  <c r="P19" i="39"/>
  <c r="H19" i="39"/>
  <c r="D19" i="39"/>
  <c r="B19" i="39"/>
  <c r="Z18" i="39"/>
  <c r="X18" i="39"/>
  <c r="T18" i="39"/>
  <c r="P18" i="39"/>
  <c r="L18" i="39"/>
  <c r="H18" i="39"/>
  <c r="N18" i="39" s="1"/>
  <c r="D18" i="39"/>
  <c r="B18" i="39"/>
  <c r="T17" i="39"/>
  <c r="P17" i="39"/>
  <c r="X17" i="39" s="1"/>
  <c r="Z17" i="39" s="1"/>
  <c r="H17" i="39"/>
  <c r="D17" i="39"/>
  <c r="L17" i="39" s="1"/>
  <c r="N17" i="39" s="1"/>
  <c r="B17" i="39"/>
  <c r="T16" i="39"/>
  <c r="P16" i="39"/>
  <c r="X16" i="39" s="1"/>
  <c r="H16" i="39"/>
  <c r="D16" i="39"/>
  <c r="B16" i="39"/>
  <c r="T15" i="39"/>
  <c r="P15" i="39"/>
  <c r="X15" i="39" s="1"/>
  <c r="H15" i="39"/>
  <c r="D15" i="39"/>
  <c r="B15" i="39"/>
  <c r="Z14" i="39"/>
  <c r="X14" i="39"/>
  <c r="T14" i="39"/>
  <c r="P14" i="39"/>
  <c r="L14" i="39"/>
  <c r="H14" i="39"/>
  <c r="N14" i="39" s="1"/>
  <c r="D14" i="39"/>
  <c r="B14" i="39"/>
  <c r="Z13" i="39"/>
  <c r="T13" i="39"/>
  <c r="P13" i="39"/>
  <c r="X13" i="39" s="1"/>
  <c r="H13" i="39"/>
  <c r="L13" i="39" s="1"/>
  <c r="N13" i="39" s="1"/>
  <c r="D13" i="39"/>
  <c r="B13" i="39"/>
  <c r="D4" i="39"/>
  <c r="Z123" i="36"/>
  <c r="X123" i="36"/>
  <c r="N123" i="36"/>
  <c r="L123" i="36"/>
  <c r="T119" i="36"/>
  <c r="P119" i="36"/>
  <c r="X119" i="36" s="1"/>
  <c r="Z119" i="36" s="1"/>
  <c r="H119" i="36"/>
  <c r="D119" i="36"/>
  <c r="L119" i="36" s="1"/>
  <c r="B119" i="36"/>
  <c r="T118" i="36"/>
  <c r="P118" i="36"/>
  <c r="L118" i="36"/>
  <c r="H118" i="36"/>
  <c r="D118" i="36"/>
  <c r="D116" i="36" s="1"/>
  <c r="L116" i="36" s="1"/>
  <c r="B118" i="36"/>
  <c r="T117" i="36"/>
  <c r="P117" i="36"/>
  <c r="X117" i="36" s="1"/>
  <c r="N117" i="36"/>
  <c r="H117" i="36"/>
  <c r="H116" i="36" s="1"/>
  <c r="D117" i="36"/>
  <c r="L117" i="36" s="1"/>
  <c r="B117" i="36"/>
  <c r="P116" i="36"/>
  <c r="X114" i="36"/>
  <c r="Z114" i="36" s="1"/>
  <c r="L114" i="36"/>
  <c r="N114" i="36" s="1"/>
  <c r="B114" i="36"/>
  <c r="T113" i="36"/>
  <c r="X113" i="36" s="1"/>
  <c r="Z113" i="36" s="1"/>
  <c r="P113" i="36"/>
  <c r="H113" i="36"/>
  <c r="D113" i="36"/>
  <c r="L113" i="36" s="1"/>
  <c r="B113" i="36"/>
  <c r="X112" i="36"/>
  <c r="Z112" i="36" s="1"/>
  <c r="L112" i="36"/>
  <c r="N112" i="36" s="1"/>
  <c r="B112" i="36"/>
  <c r="X111" i="36"/>
  <c r="Z111" i="36" s="1"/>
  <c r="N111" i="36"/>
  <c r="L111" i="36"/>
  <c r="B111" i="36"/>
  <c r="X110" i="36"/>
  <c r="Z110" i="36" s="1"/>
  <c r="N110" i="36"/>
  <c r="L110" i="36"/>
  <c r="B110" i="36"/>
  <c r="T109" i="36"/>
  <c r="R109" i="36"/>
  <c r="P109" i="36"/>
  <c r="X109" i="36" s="1"/>
  <c r="Z109" i="36" s="1"/>
  <c r="L109" i="36"/>
  <c r="N109" i="36" s="1"/>
  <c r="H109" i="36"/>
  <c r="D109" i="36"/>
  <c r="B109" i="36"/>
  <c r="X108" i="36"/>
  <c r="Z108" i="36" s="1"/>
  <c r="N108" i="36"/>
  <c r="L108" i="36"/>
  <c r="B108" i="36"/>
  <c r="X107" i="36"/>
  <c r="T107" i="36"/>
  <c r="Z107" i="36" s="1"/>
  <c r="P107" i="36"/>
  <c r="H107" i="36"/>
  <c r="L107" i="36" s="1"/>
  <c r="N107" i="36" s="1"/>
  <c r="D107" i="36"/>
  <c r="B107" i="36"/>
  <c r="X106" i="36"/>
  <c r="Z106" i="36" s="1"/>
  <c r="L106" i="36"/>
  <c r="N106" i="36" s="1"/>
  <c r="B106" i="36"/>
  <c r="T105" i="36"/>
  <c r="P105" i="36"/>
  <c r="H105" i="36"/>
  <c r="N105" i="36" s="1"/>
  <c r="D105" i="36"/>
  <c r="L105" i="36" s="1"/>
  <c r="B105" i="36"/>
  <c r="Z104" i="36"/>
  <c r="X104" i="36"/>
  <c r="N104" i="36"/>
  <c r="L104" i="36"/>
  <c r="B104" i="36"/>
  <c r="X103" i="36"/>
  <c r="Z103" i="36" s="1"/>
  <c r="L103" i="36"/>
  <c r="N103" i="36" s="1"/>
  <c r="B103" i="36"/>
  <c r="X102" i="36"/>
  <c r="Z102" i="36" s="1"/>
  <c r="N102" i="36"/>
  <c r="L102" i="36"/>
  <c r="B102" i="36"/>
  <c r="Z101" i="36"/>
  <c r="X101" i="36"/>
  <c r="N101" i="36"/>
  <c r="L101" i="36"/>
  <c r="B101" i="36"/>
  <c r="Z100" i="36"/>
  <c r="X100" i="36"/>
  <c r="L100" i="36"/>
  <c r="N100" i="36" s="1"/>
  <c r="B100" i="36"/>
  <c r="X99" i="36"/>
  <c r="Z99" i="36" s="1"/>
  <c r="L99" i="36"/>
  <c r="N99" i="36" s="1"/>
  <c r="B99" i="36"/>
  <c r="X98" i="36"/>
  <c r="Z98" i="36" s="1"/>
  <c r="N98" i="36"/>
  <c r="L98" i="36"/>
  <c r="B98" i="36"/>
  <c r="Z97" i="36"/>
  <c r="X97" i="36"/>
  <c r="N97" i="36"/>
  <c r="L97" i="36"/>
  <c r="B97" i="36"/>
  <c r="Z96" i="36"/>
  <c r="X96" i="36"/>
  <c r="L96" i="36"/>
  <c r="N96" i="36" s="1"/>
  <c r="B96" i="36"/>
  <c r="X95" i="36"/>
  <c r="T95" i="36"/>
  <c r="Z95" i="36" s="1"/>
  <c r="P95" i="36"/>
  <c r="H95" i="36"/>
  <c r="D95" i="36"/>
  <c r="L95" i="36" s="1"/>
  <c r="N95" i="36" s="1"/>
  <c r="B95" i="36"/>
  <c r="Z94" i="36"/>
  <c r="X94" i="36"/>
  <c r="L94" i="36"/>
  <c r="N94" i="36" s="1"/>
  <c r="B94" i="36"/>
  <c r="Z93" i="36"/>
  <c r="T93" i="36"/>
  <c r="X93" i="36" s="1"/>
  <c r="P93" i="36"/>
  <c r="L93" i="36"/>
  <c r="H93" i="36"/>
  <c r="N93" i="36" s="1"/>
  <c r="D93" i="36"/>
  <c r="B93" i="36"/>
  <c r="Z92" i="36"/>
  <c r="X92" i="36"/>
  <c r="N92" i="36"/>
  <c r="L92" i="36"/>
  <c r="B92" i="36"/>
  <c r="X91" i="36"/>
  <c r="Z91" i="36" s="1"/>
  <c r="L91" i="36"/>
  <c r="N91" i="36" s="1"/>
  <c r="B91" i="36"/>
  <c r="X90" i="36"/>
  <c r="Z90" i="36" s="1"/>
  <c r="L90" i="36"/>
  <c r="N90" i="36" s="1"/>
  <c r="B90" i="36"/>
  <c r="Z89" i="36"/>
  <c r="X89" i="36"/>
  <c r="N89" i="36"/>
  <c r="L89" i="36"/>
  <c r="B89" i="36"/>
  <c r="Z88" i="36"/>
  <c r="X88" i="36"/>
  <c r="N88" i="36"/>
  <c r="L88" i="36"/>
  <c r="B88" i="36"/>
  <c r="T87" i="36"/>
  <c r="Z87" i="36" s="1"/>
  <c r="P87" i="36"/>
  <c r="X87" i="36" s="1"/>
  <c r="H87" i="36"/>
  <c r="D87" i="36"/>
  <c r="L87" i="36" s="1"/>
  <c r="B87" i="36"/>
  <c r="X86" i="36"/>
  <c r="Z86" i="36" s="1"/>
  <c r="N86" i="36"/>
  <c r="L86" i="36"/>
  <c r="B86" i="36"/>
  <c r="Z85" i="36"/>
  <c r="X85" i="36"/>
  <c r="N85" i="36"/>
  <c r="L85" i="36"/>
  <c r="B85" i="36"/>
  <c r="T84" i="36"/>
  <c r="P84" i="36"/>
  <c r="X84" i="36" s="1"/>
  <c r="L84" i="36"/>
  <c r="H84" i="36"/>
  <c r="N84" i="36" s="1"/>
  <c r="D84" i="36"/>
  <c r="B84" i="36"/>
  <c r="X83" i="36"/>
  <c r="Z83" i="36" s="1"/>
  <c r="N83" i="36"/>
  <c r="L83" i="36"/>
  <c r="B83" i="36"/>
  <c r="Z82" i="36"/>
  <c r="X82" i="36"/>
  <c r="L82" i="36"/>
  <c r="N82" i="36" s="1"/>
  <c r="B82" i="36"/>
  <c r="Z81" i="36"/>
  <c r="X81" i="36"/>
  <c r="N81" i="36"/>
  <c r="L81" i="36"/>
  <c r="B81" i="36"/>
  <c r="T80" i="36"/>
  <c r="P80" i="36"/>
  <c r="X80" i="36" s="1"/>
  <c r="H80" i="36"/>
  <c r="D80" i="36"/>
  <c r="L80" i="36" s="1"/>
  <c r="N80" i="36" s="1"/>
  <c r="B80" i="36"/>
  <c r="Z79" i="36"/>
  <c r="X79" i="36"/>
  <c r="V79" i="36"/>
  <c r="L79" i="36"/>
  <c r="N79" i="36" s="1"/>
  <c r="B79" i="36"/>
  <c r="T78" i="36"/>
  <c r="P78" i="36"/>
  <c r="X78" i="36" s="1"/>
  <c r="Z78" i="36" s="1"/>
  <c r="L78" i="36"/>
  <c r="H78" i="36"/>
  <c r="N78" i="36" s="1"/>
  <c r="D78" i="36"/>
  <c r="B78" i="36"/>
  <c r="Z77" i="36"/>
  <c r="X77" i="36"/>
  <c r="N77" i="36"/>
  <c r="L77" i="36"/>
  <c r="B77" i="36"/>
  <c r="T76" i="36"/>
  <c r="Z76" i="36" s="1"/>
  <c r="P76" i="36"/>
  <c r="X76" i="36" s="1"/>
  <c r="L76" i="36"/>
  <c r="H76" i="36"/>
  <c r="D76" i="36"/>
  <c r="B76" i="36"/>
  <c r="X75" i="36"/>
  <c r="Z75" i="36" s="1"/>
  <c r="N75" i="36"/>
  <c r="L75" i="36"/>
  <c r="B75" i="36"/>
  <c r="T74" i="36"/>
  <c r="P74" i="36"/>
  <c r="X74" i="36" s="1"/>
  <c r="Z74" i="36" s="1"/>
  <c r="H74" i="36"/>
  <c r="N74" i="36" s="1"/>
  <c r="D74" i="36"/>
  <c r="L74" i="36" s="1"/>
  <c r="B74" i="36"/>
  <c r="Z73" i="36"/>
  <c r="X73" i="36"/>
  <c r="N73" i="36"/>
  <c r="L73" i="36"/>
  <c r="B73" i="36"/>
  <c r="X72" i="36"/>
  <c r="T72" i="36"/>
  <c r="Z72" i="36" s="1"/>
  <c r="P72" i="36"/>
  <c r="H72" i="36"/>
  <c r="D72" i="36"/>
  <c r="L72" i="36" s="1"/>
  <c r="N72" i="36" s="1"/>
  <c r="B72" i="36"/>
  <c r="X71" i="36"/>
  <c r="Z71" i="36" s="1"/>
  <c r="L71" i="36"/>
  <c r="N71" i="36" s="1"/>
  <c r="B71" i="36"/>
  <c r="X70" i="36"/>
  <c r="T70" i="36"/>
  <c r="P70" i="36"/>
  <c r="H70" i="36"/>
  <c r="D70" i="36"/>
  <c r="L70" i="36" s="1"/>
  <c r="B70" i="36"/>
  <c r="Z69" i="36"/>
  <c r="X69" i="36"/>
  <c r="N69" i="36"/>
  <c r="L69" i="36"/>
  <c r="B69" i="36"/>
  <c r="X68" i="36"/>
  <c r="Z68" i="36" s="1"/>
  <c r="L68" i="36"/>
  <c r="N68" i="36" s="1"/>
  <c r="B68" i="36"/>
  <c r="X67" i="36"/>
  <c r="T67" i="36"/>
  <c r="Z67" i="36" s="1"/>
  <c r="P67" i="36"/>
  <c r="H67" i="36"/>
  <c r="L67" i="36" s="1"/>
  <c r="N67" i="36" s="1"/>
  <c r="D67" i="36"/>
  <c r="B67" i="36"/>
  <c r="Z66" i="36"/>
  <c r="X66" i="36"/>
  <c r="N66" i="36"/>
  <c r="L66" i="36"/>
  <c r="B66" i="36"/>
  <c r="T65" i="36"/>
  <c r="Z65" i="36" s="1"/>
  <c r="P65" i="36"/>
  <c r="X65" i="36" s="1"/>
  <c r="N65" i="36"/>
  <c r="H65" i="36"/>
  <c r="D65" i="36"/>
  <c r="L65" i="36" s="1"/>
  <c r="B65" i="36"/>
  <c r="Z64" i="36"/>
  <c r="X64" i="36"/>
  <c r="L64" i="36"/>
  <c r="N64" i="36" s="1"/>
  <c r="B64" i="36"/>
  <c r="X63" i="36"/>
  <c r="Z63" i="36" s="1"/>
  <c r="T63" i="36"/>
  <c r="P63" i="36"/>
  <c r="H63" i="36"/>
  <c r="D63" i="36"/>
  <c r="L63" i="36" s="1"/>
  <c r="N63" i="36" s="1"/>
  <c r="B63" i="36"/>
  <c r="Z62" i="36"/>
  <c r="X62" i="36"/>
  <c r="L62" i="36"/>
  <c r="N62" i="36" s="1"/>
  <c r="B62" i="36"/>
  <c r="Z61" i="36"/>
  <c r="T61" i="36"/>
  <c r="X61" i="36" s="1"/>
  <c r="P61" i="36"/>
  <c r="L61" i="36"/>
  <c r="H61" i="36"/>
  <c r="N61" i="36" s="1"/>
  <c r="D61" i="36"/>
  <c r="B61" i="36"/>
  <c r="X60" i="36"/>
  <c r="Z60" i="36" s="1"/>
  <c r="N60" i="36"/>
  <c r="L60" i="36"/>
  <c r="B60" i="36"/>
  <c r="T59" i="36"/>
  <c r="Z59" i="36" s="1"/>
  <c r="P59" i="36"/>
  <c r="X59" i="36" s="1"/>
  <c r="H59" i="36"/>
  <c r="N59" i="36" s="1"/>
  <c r="D59" i="36"/>
  <c r="L59" i="36" s="1"/>
  <c r="B59" i="36"/>
  <c r="X58" i="36"/>
  <c r="Z58" i="36" s="1"/>
  <c r="N58" i="36"/>
  <c r="L58" i="36"/>
  <c r="B58" i="36"/>
  <c r="Z57" i="36"/>
  <c r="X57" i="36"/>
  <c r="N57" i="36"/>
  <c r="L57" i="36"/>
  <c r="B57" i="36"/>
  <c r="Z56" i="36"/>
  <c r="X56" i="36"/>
  <c r="N56" i="36"/>
  <c r="L56" i="36"/>
  <c r="B56" i="36"/>
  <c r="X55" i="36"/>
  <c r="Z55" i="36" s="1"/>
  <c r="T55" i="36"/>
  <c r="P55" i="36"/>
  <c r="H55" i="36"/>
  <c r="D55" i="36"/>
  <c r="L55" i="36" s="1"/>
  <c r="N55" i="36" s="1"/>
  <c r="B55" i="36"/>
  <c r="Z54" i="36"/>
  <c r="X54" i="36"/>
  <c r="L54" i="36"/>
  <c r="N54" i="36" s="1"/>
  <c r="B54" i="36"/>
  <c r="T53" i="36"/>
  <c r="X53" i="36" s="1"/>
  <c r="Z53" i="36" s="1"/>
  <c r="P53" i="36"/>
  <c r="L53" i="36"/>
  <c r="H53" i="36"/>
  <c r="N53" i="36" s="1"/>
  <c r="D53" i="36"/>
  <c r="B53" i="36"/>
  <c r="Z52" i="36"/>
  <c r="X52" i="36"/>
  <c r="N52" i="36"/>
  <c r="L52" i="36"/>
  <c r="B52" i="36"/>
  <c r="T51" i="36"/>
  <c r="P51" i="36"/>
  <c r="X51" i="36" s="1"/>
  <c r="H51" i="36"/>
  <c r="N51" i="36" s="1"/>
  <c r="D51" i="36"/>
  <c r="L51" i="36" s="1"/>
  <c r="B51" i="36"/>
  <c r="X50" i="36"/>
  <c r="Z50" i="36" s="1"/>
  <c r="N50" i="36"/>
  <c r="L50" i="36"/>
  <c r="B50" i="36"/>
  <c r="T49" i="36"/>
  <c r="R49" i="36"/>
  <c r="P49" i="36"/>
  <c r="X49" i="36" s="1"/>
  <c r="Z49" i="36" s="1"/>
  <c r="L49" i="36"/>
  <c r="N49" i="36" s="1"/>
  <c r="H49" i="36"/>
  <c r="D49" i="36"/>
  <c r="B49" i="36"/>
  <c r="Z48" i="36"/>
  <c r="X48" i="36"/>
  <c r="R48" i="36"/>
  <c r="N48" i="36"/>
  <c r="L48" i="36"/>
  <c r="B48" i="36"/>
  <c r="X47" i="36"/>
  <c r="Z47" i="36" s="1"/>
  <c r="N47" i="36"/>
  <c r="L47" i="36"/>
  <c r="B47" i="36"/>
  <c r="Z46" i="36"/>
  <c r="X46" i="36"/>
  <c r="L46" i="36"/>
  <c r="N46" i="36" s="1"/>
  <c r="B46" i="36"/>
  <c r="Z45" i="36"/>
  <c r="X45" i="36"/>
  <c r="N45" i="36"/>
  <c r="L45" i="36"/>
  <c r="B45" i="36"/>
  <c r="Z44" i="36"/>
  <c r="X44" i="36"/>
  <c r="L44" i="36"/>
  <c r="N44" i="36" s="1"/>
  <c r="B44" i="36"/>
  <c r="X43" i="36"/>
  <c r="Z43" i="36" s="1"/>
  <c r="N43" i="36"/>
  <c r="L43" i="36"/>
  <c r="B43" i="36"/>
  <c r="Z42" i="36"/>
  <c r="X42" i="36"/>
  <c r="L42" i="36"/>
  <c r="N42" i="36" s="1"/>
  <c r="B42" i="36"/>
  <c r="Z41" i="36"/>
  <c r="T41" i="36"/>
  <c r="X41" i="36" s="1"/>
  <c r="P41" i="36"/>
  <c r="L41" i="36"/>
  <c r="H41" i="36"/>
  <c r="N41" i="36" s="1"/>
  <c r="D41" i="36"/>
  <c r="B41" i="36"/>
  <c r="X40" i="36"/>
  <c r="Z40" i="36" s="1"/>
  <c r="N40" i="36"/>
  <c r="L40" i="36"/>
  <c r="B40" i="36"/>
  <c r="X39" i="36"/>
  <c r="Z39" i="36" s="1"/>
  <c r="L39" i="36"/>
  <c r="N39" i="36" s="1"/>
  <c r="B39" i="36"/>
  <c r="X38" i="36"/>
  <c r="Z38" i="36" s="1"/>
  <c r="L38" i="36"/>
  <c r="N38" i="36" s="1"/>
  <c r="B38" i="36"/>
  <c r="X37" i="36"/>
  <c r="Z37" i="36" s="1"/>
  <c r="N37" i="36"/>
  <c r="L37" i="36"/>
  <c r="B37" i="36"/>
  <c r="X36" i="36"/>
  <c r="Z36" i="36" s="1"/>
  <c r="N36" i="36"/>
  <c r="L36" i="36"/>
  <c r="B36" i="36"/>
  <c r="X35" i="36"/>
  <c r="Z35" i="36" s="1"/>
  <c r="L35" i="36"/>
  <c r="N35" i="36" s="1"/>
  <c r="B35" i="36"/>
  <c r="X34" i="36"/>
  <c r="Z34" i="36" s="1"/>
  <c r="L34" i="36"/>
  <c r="N34" i="36" s="1"/>
  <c r="B34" i="36"/>
  <c r="X33" i="36"/>
  <c r="Z33" i="36" s="1"/>
  <c r="N33" i="36"/>
  <c r="L33" i="36"/>
  <c r="B33" i="36"/>
  <c r="X32" i="36"/>
  <c r="Z32" i="36" s="1"/>
  <c r="N32" i="36"/>
  <c r="L32" i="36"/>
  <c r="B32" i="36"/>
  <c r="T31" i="36"/>
  <c r="Z31" i="36" s="1"/>
  <c r="P31" i="36"/>
  <c r="X31" i="36" s="1"/>
  <c r="H31" i="36"/>
  <c r="N31" i="36" s="1"/>
  <c r="D31" i="36"/>
  <c r="L31" i="36" s="1"/>
  <c r="B31" i="36"/>
  <c r="X30" i="36"/>
  <c r="T30" i="36"/>
  <c r="P30" i="36"/>
  <c r="H30" i="36"/>
  <c r="N30" i="36" s="1"/>
  <c r="D30" i="36"/>
  <c r="L30" i="36" s="1"/>
  <c r="X26" i="36"/>
  <c r="Z26" i="36" s="1"/>
  <c r="L26" i="36"/>
  <c r="N26" i="36" s="1"/>
  <c r="B26" i="36"/>
  <c r="Z25" i="36"/>
  <c r="X25" i="36"/>
  <c r="N25" i="36"/>
  <c r="L25" i="36"/>
  <c r="B25" i="36"/>
  <c r="T24" i="36"/>
  <c r="P24" i="36"/>
  <c r="X24" i="36" s="1"/>
  <c r="L24" i="36"/>
  <c r="H24" i="36"/>
  <c r="N24" i="36" s="1"/>
  <c r="D24" i="36"/>
  <c r="T22" i="36"/>
  <c r="Z22" i="36" s="1"/>
  <c r="P22" i="36"/>
  <c r="X22" i="36" s="1"/>
  <c r="H22" i="36"/>
  <c r="D22" i="36"/>
  <c r="L22" i="36" s="1"/>
  <c r="N22" i="36" s="1"/>
  <c r="B22" i="36"/>
  <c r="T21" i="36"/>
  <c r="P21" i="36"/>
  <c r="H21" i="36"/>
  <c r="D21" i="36"/>
  <c r="L21" i="36" s="1"/>
  <c r="B21" i="36"/>
  <c r="X20" i="36"/>
  <c r="T20" i="36"/>
  <c r="P20" i="36"/>
  <c r="L20" i="36"/>
  <c r="N20" i="36" s="1"/>
  <c r="H20" i="36"/>
  <c r="D20" i="36"/>
  <c r="B20" i="36"/>
  <c r="T19" i="36"/>
  <c r="X19" i="36" s="1"/>
  <c r="Z19" i="36" s="1"/>
  <c r="P19" i="36"/>
  <c r="H19" i="36"/>
  <c r="D19" i="36"/>
  <c r="L19" i="36" s="1"/>
  <c r="N19" i="36" s="1"/>
  <c r="B19" i="36"/>
  <c r="T18" i="36"/>
  <c r="Z18" i="36" s="1"/>
  <c r="P18" i="36"/>
  <c r="X18" i="36" s="1"/>
  <c r="H18" i="36"/>
  <c r="D18" i="36"/>
  <c r="L18" i="36" s="1"/>
  <c r="N18" i="36" s="1"/>
  <c r="B18" i="36"/>
  <c r="T17" i="36"/>
  <c r="P17" i="36"/>
  <c r="H17" i="36"/>
  <c r="N17" i="36" s="1"/>
  <c r="D17" i="36"/>
  <c r="L17" i="36" s="1"/>
  <c r="B17" i="36"/>
  <c r="X16" i="36"/>
  <c r="T16" i="36"/>
  <c r="Z16" i="36" s="1"/>
  <c r="P16" i="36"/>
  <c r="L16" i="36"/>
  <c r="N16" i="36" s="1"/>
  <c r="H16" i="36"/>
  <c r="D16" i="36"/>
  <c r="B16" i="36"/>
  <c r="T15" i="36"/>
  <c r="X15" i="36" s="1"/>
  <c r="Z15" i="36" s="1"/>
  <c r="P15" i="36"/>
  <c r="H15" i="36"/>
  <c r="D15" i="36"/>
  <c r="L15" i="36" s="1"/>
  <c r="N15" i="36" s="1"/>
  <c r="B15" i="36"/>
  <c r="T14" i="36"/>
  <c r="P14" i="36"/>
  <c r="P12" i="36" s="1"/>
  <c r="R108" i="36" s="1"/>
  <c r="H14" i="36"/>
  <c r="D14" i="36"/>
  <c r="L14" i="36" s="1"/>
  <c r="N14" i="36" s="1"/>
  <c r="B14" i="36"/>
  <c r="T13" i="36"/>
  <c r="T12" i="36" s="1"/>
  <c r="V87" i="36" s="1"/>
  <c r="P13" i="36"/>
  <c r="H13" i="36"/>
  <c r="H12" i="36" s="1"/>
  <c r="J75" i="36" s="1"/>
  <c r="D13" i="36"/>
  <c r="B13" i="36"/>
  <c r="X12" i="36"/>
  <c r="D4" i="36"/>
  <c r="Z95" i="33"/>
  <c r="X95" i="33"/>
  <c r="N95" i="33"/>
  <c r="L95" i="33"/>
  <c r="T91" i="33"/>
  <c r="P91" i="33"/>
  <c r="N91" i="33"/>
  <c r="H91" i="33"/>
  <c r="D91" i="33"/>
  <c r="L91" i="33" s="1"/>
  <c r="B91" i="33"/>
  <c r="T90" i="33"/>
  <c r="P90" i="33"/>
  <c r="H90" i="33"/>
  <c r="D90" i="33"/>
  <c r="B90" i="33"/>
  <c r="Z89" i="33"/>
  <c r="X89" i="33"/>
  <c r="T89" i="33"/>
  <c r="P89" i="33"/>
  <c r="H89" i="33"/>
  <c r="D89" i="33"/>
  <c r="L89" i="33" s="1"/>
  <c r="N89" i="33" s="1"/>
  <c r="B89" i="33"/>
  <c r="T88" i="33"/>
  <c r="P88" i="33"/>
  <c r="H88" i="33"/>
  <c r="N88" i="33" s="1"/>
  <c r="D88" i="33"/>
  <c r="L88" i="33" s="1"/>
  <c r="B88" i="33"/>
  <c r="T87" i="33"/>
  <c r="P87" i="33"/>
  <c r="X87" i="33" s="1"/>
  <c r="Z87" i="33" s="1"/>
  <c r="N87" i="33"/>
  <c r="H87" i="33"/>
  <c r="D87" i="33"/>
  <c r="L87" i="33" s="1"/>
  <c r="B87" i="33"/>
  <c r="H86" i="33"/>
  <c r="N86" i="33" s="1"/>
  <c r="D86" i="33"/>
  <c r="L86" i="33" s="1"/>
  <c r="Z84" i="33"/>
  <c r="X84" i="33"/>
  <c r="N84" i="33"/>
  <c r="L84" i="33"/>
  <c r="B84" i="33"/>
  <c r="Z83" i="33"/>
  <c r="X83" i="33"/>
  <c r="T83" i="33"/>
  <c r="P83" i="33"/>
  <c r="N83" i="33"/>
  <c r="H83" i="33"/>
  <c r="D83" i="33"/>
  <c r="L83" i="33" s="1"/>
  <c r="B83" i="33"/>
  <c r="X82" i="33"/>
  <c r="Z82" i="33" s="1"/>
  <c r="L82" i="33"/>
  <c r="N82" i="33" s="1"/>
  <c r="B82" i="33"/>
  <c r="T81" i="33"/>
  <c r="P81" i="33"/>
  <c r="H81" i="33"/>
  <c r="D81" i="33"/>
  <c r="L81" i="33" s="1"/>
  <c r="N81" i="33" s="1"/>
  <c r="B81" i="33"/>
  <c r="X80" i="33"/>
  <c r="Z80" i="33" s="1"/>
  <c r="L80" i="33"/>
  <c r="N80" i="33" s="1"/>
  <c r="B80" i="33"/>
  <c r="T79" i="33"/>
  <c r="P79" i="33"/>
  <c r="X79" i="33" s="1"/>
  <c r="Z79" i="33" s="1"/>
  <c r="H79" i="33"/>
  <c r="D79" i="33"/>
  <c r="L79" i="33" s="1"/>
  <c r="N79" i="33" s="1"/>
  <c r="B79" i="33"/>
  <c r="Z78" i="33"/>
  <c r="X78" i="33"/>
  <c r="L78" i="33"/>
  <c r="N78" i="33" s="1"/>
  <c r="B78" i="33"/>
  <c r="Z77" i="33"/>
  <c r="X77" i="33"/>
  <c r="L77" i="33"/>
  <c r="N77" i="33" s="1"/>
  <c r="B77" i="33"/>
  <c r="X76" i="33"/>
  <c r="Z76" i="33" s="1"/>
  <c r="L76" i="33"/>
  <c r="N76" i="33" s="1"/>
  <c r="B76" i="33"/>
  <c r="Z75" i="33"/>
  <c r="X75" i="33"/>
  <c r="N75" i="33"/>
  <c r="L75" i="33"/>
  <c r="B75" i="33"/>
  <c r="Z74" i="33"/>
  <c r="X74" i="33"/>
  <c r="N74" i="33"/>
  <c r="L74" i="33"/>
  <c r="B74" i="33"/>
  <c r="Z73" i="33"/>
  <c r="X73" i="33"/>
  <c r="N73" i="33"/>
  <c r="L73" i="33"/>
  <c r="B73" i="33"/>
  <c r="X72" i="33"/>
  <c r="T72" i="33"/>
  <c r="Z72" i="33" s="1"/>
  <c r="P72" i="33"/>
  <c r="H72" i="33"/>
  <c r="D72" i="33"/>
  <c r="L72" i="33" s="1"/>
  <c r="B72" i="33"/>
  <c r="Z71" i="33"/>
  <c r="X71" i="33"/>
  <c r="N71" i="33"/>
  <c r="L71" i="33"/>
  <c r="B71" i="33"/>
  <c r="T70" i="33"/>
  <c r="P70" i="33"/>
  <c r="H70" i="33"/>
  <c r="D70" i="33"/>
  <c r="L70" i="33" s="1"/>
  <c r="N70" i="33" s="1"/>
  <c r="B70" i="33"/>
  <c r="Z69" i="33"/>
  <c r="X69" i="33"/>
  <c r="N69" i="33"/>
  <c r="L69" i="33"/>
  <c r="B69" i="33"/>
  <c r="T68" i="33"/>
  <c r="Z68" i="33" s="1"/>
  <c r="P68" i="33"/>
  <c r="X68" i="33" s="1"/>
  <c r="H68" i="33"/>
  <c r="D68" i="33"/>
  <c r="B68" i="33"/>
  <c r="Z67" i="33"/>
  <c r="X67" i="33"/>
  <c r="N67" i="33"/>
  <c r="L67" i="33"/>
  <c r="B67" i="33"/>
  <c r="T66" i="33"/>
  <c r="P66" i="33"/>
  <c r="X66" i="33" s="1"/>
  <c r="L66" i="33"/>
  <c r="H66" i="33"/>
  <c r="D66" i="33"/>
  <c r="B66" i="33"/>
  <c r="X65" i="33"/>
  <c r="Z65" i="33" s="1"/>
  <c r="N65" i="33"/>
  <c r="L65" i="33"/>
  <c r="B65" i="33"/>
  <c r="T64" i="33"/>
  <c r="P64" i="33"/>
  <c r="X64" i="33" s="1"/>
  <c r="L64" i="33"/>
  <c r="H64" i="33"/>
  <c r="D64" i="33"/>
  <c r="B64" i="33"/>
  <c r="Z63" i="33"/>
  <c r="X63" i="33"/>
  <c r="N63" i="33"/>
  <c r="L63" i="33"/>
  <c r="B63" i="33"/>
  <c r="X62" i="33"/>
  <c r="Z62" i="33" s="1"/>
  <c r="L62" i="33"/>
  <c r="N62" i="33" s="1"/>
  <c r="B62" i="33"/>
  <c r="T61" i="33"/>
  <c r="P61" i="33"/>
  <c r="X61" i="33" s="1"/>
  <c r="Z61" i="33" s="1"/>
  <c r="N61" i="33"/>
  <c r="H61" i="33"/>
  <c r="D61" i="33"/>
  <c r="L61" i="33" s="1"/>
  <c r="B61" i="33"/>
  <c r="X60" i="33"/>
  <c r="Z60" i="33" s="1"/>
  <c r="L60" i="33"/>
  <c r="N60" i="33" s="1"/>
  <c r="B60" i="33"/>
  <c r="Z59" i="33"/>
  <c r="X59" i="33"/>
  <c r="T59" i="33"/>
  <c r="P59" i="33"/>
  <c r="H59" i="33"/>
  <c r="D59" i="33"/>
  <c r="L59" i="33" s="1"/>
  <c r="N59" i="33" s="1"/>
  <c r="B59" i="33"/>
  <c r="X58" i="33"/>
  <c r="Z58" i="33" s="1"/>
  <c r="L58" i="33"/>
  <c r="N58" i="33" s="1"/>
  <c r="B58" i="33"/>
  <c r="T57" i="33"/>
  <c r="P57" i="33"/>
  <c r="N57" i="33"/>
  <c r="H57" i="33"/>
  <c r="D57" i="33"/>
  <c r="L57" i="33" s="1"/>
  <c r="B57" i="33"/>
  <c r="Z56" i="33"/>
  <c r="X56" i="33"/>
  <c r="N56" i="33"/>
  <c r="L56" i="33"/>
  <c r="B56" i="33"/>
  <c r="Z55" i="33"/>
  <c r="T55" i="33"/>
  <c r="P55" i="33"/>
  <c r="X55" i="33" s="1"/>
  <c r="N55" i="33"/>
  <c r="H55" i="33"/>
  <c r="D55" i="33"/>
  <c r="L55" i="33" s="1"/>
  <c r="B55" i="33"/>
  <c r="Z54" i="33"/>
  <c r="X54" i="33"/>
  <c r="L54" i="33"/>
  <c r="N54" i="33" s="1"/>
  <c r="B54" i="33"/>
  <c r="T53" i="33"/>
  <c r="P53" i="33"/>
  <c r="X53" i="33" s="1"/>
  <c r="Z53" i="33" s="1"/>
  <c r="N53" i="33"/>
  <c r="L53" i="33"/>
  <c r="H53" i="33"/>
  <c r="D53" i="33"/>
  <c r="B53" i="33"/>
  <c r="X52" i="33"/>
  <c r="Z52" i="33" s="1"/>
  <c r="L52" i="33"/>
  <c r="N52" i="33" s="1"/>
  <c r="B52" i="33"/>
  <c r="Z51" i="33"/>
  <c r="X51" i="33"/>
  <c r="N51" i="33"/>
  <c r="L51" i="33"/>
  <c r="B51" i="33"/>
  <c r="X50" i="33"/>
  <c r="Z50" i="33" s="1"/>
  <c r="L50" i="33"/>
  <c r="N50" i="33" s="1"/>
  <c r="F50" i="33"/>
  <c r="B50" i="33"/>
  <c r="X49" i="33"/>
  <c r="Z49" i="33" s="1"/>
  <c r="N49" i="33"/>
  <c r="L49" i="33"/>
  <c r="B49" i="33"/>
  <c r="T48" i="33"/>
  <c r="P48" i="33"/>
  <c r="X48" i="33" s="1"/>
  <c r="Z48" i="33" s="1"/>
  <c r="H48" i="33"/>
  <c r="D48" i="33"/>
  <c r="L48" i="33" s="1"/>
  <c r="B48" i="33"/>
  <c r="Z47" i="33"/>
  <c r="X47" i="33"/>
  <c r="N47" i="33"/>
  <c r="L47" i="33"/>
  <c r="B47" i="33"/>
  <c r="X46" i="33"/>
  <c r="Z46" i="33" s="1"/>
  <c r="N46" i="33"/>
  <c r="L46" i="33"/>
  <c r="B46" i="33"/>
  <c r="Z45" i="33"/>
  <c r="X45" i="33"/>
  <c r="N45" i="33"/>
  <c r="L45" i="33"/>
  <c r="B45" i="33"/>
  <c r="X44" i="33"/>
  <c r="Z44" i="33" s="1"/>
  <c r="L44" i="33"/>
  <c r="N44" i="33" s="1"/>
  <c r="B44" i="33"/>
  <c r="Z43" i="33"/>
  <c r="X43" i="33"/>
  <c r="L43" i="33"/>
  <c r="N43" i="33" s="1"/>
  <c r="B43" i="33"/>
  <c r="X42" i="33"/>
  <c r="Z42" i="33" s="1"/>
  <c r="N42" i="33"/>
  <c r="L42" i="33"/>
  <c r="B42" i="33"/>
  <c r="Z41" i="33"/>
  <c r="X41" i="33"/>
  <c r="L41" i="33"/>
  <c r="N41" i="33" s="1"/>
  <c r="B41" i="33"/>
  <c r="X40" i="33"/>
  <c r="Z40" i="33" s="1"/>
  <c r="L40" i="33"/>
  <c r="N40" i="33" s="1"/>
  <c r="B40" i="33"/>
  <c r="T39" i="33"/>
  <c r="P39" i="33"/>
  <c r="N39" i="33"/>
  <c r="H39" i="33"/>
  <c r="D39" i="33"/>
  <c r="L39" i="33" s="1"/>
  <c r="B39" i="33"/>
  <c r="T38" i="33"/>
  <c r="P38" i="33"/>
  <c r="X38" i="33" s="1"/>
  <c r="H38" i="33"/>
  <c r="D38" i="33"/>
  <c r="L38" i="33" s="1"/>
  <c r="Z34" i="33"/>
  <c r="X34" i="33"/>
  <c r="L34" i="33"/>
  <c r="N34" i="33" s="1"/>
  <c r="B34" i="33"/>
  <c r="X33" i="33"/>
  <c r="Z33" i="33" s="1"/>
  <c r="N33" i="33"/>
  <c r="L33" i="33"/>
  <c r="B33" i="33"/>
  <c r="X32" i="33"/>
  <c r="Z32" i="33" s="1"/>
  <c r="N32" i="33"/>
  <c r="L32" i="33"/>
  <c r="B32" i="33"/>
  <c r="X31" i="33"/>
  <c r="Z31" i="33" s="1"/>
  <c r="N31" i="33"/>
  <c r="L31" i="33"/>
  <c r="B31" i="33"/>
  <c r="Z30" i="33"/>
  <c r="X30" i="33"/>
  <c r="L30" i="33"/>
  <c r="N30" i="33" s="1"/>
  <c r="B30" i="33"/>
  <c r="T29" i="33"/>
  <c r="P29" i="33"/>
  <c r="H29" i="33"/>
  <c r="D29" i="33"/>
  <c r="L29" i="33" s="1"/>
  <c r="N29" i="33" s="1"/>
  <c r="T27" i="33"/>
  <c r="P27" i="33"/>
  <c r="X27" i="33" s="1"/>
  <c r="Z27" i="33" s="1"/>
  <c r="N27" i="33"/>
  <c r="H27" i="33"/>
  <c r="D27" i="33"/>
  <c r="L27" i="33" s="1"/>
  <c r="B27" i="33"/>
  <c r="X26" i="33"/>
  <c r="T26" i="33"/>
  <c r="Z26" i="33" s="1"/>
  <c r="P26" i="33"/>
  <c r="H26" i="33"/>
  <c r="N26" i="33" s="1"/>
  <c r="D26" i="33"/>
  <c r="B26" i="33"/>
  <c r="T25" i="33"/>
  <c r="P25" i="33"/>
  <c r="N25" i="33"/>
  <c r="H25" i="33"/>
  <c r="D25" i="33"/>
  <c r="L25" i="33" s="1"/>
  <c r="B25" i="33"/>
  <c r="Z24" i="33"/>
  <c r="X24" i="33"/>
  <c r="T24" i="33"/>
  <c r="P24" i="33"/>
  <c r="H24" i="33"/>
  <c r="D24" i="33"/>
  <c r="L24" i="33" s="1"/>
  <c r="N24" i="33" s="1"/>
  <c r="B24" i="33"/>
  <c r="T23" i="33"/>
  <c r="P23" i="33"/>
  <c r="X23" i="33" s="1"/>
  <c r="Z23" i="33" s="1"/>
  <c r="H23" i="33"/>
  <c r="D23" i="33"/>
  <c r="L23" i="33" s="1"/>
  <c r="N23" i="33" s="1"/>
  <c r="B23" i="33"/>
  <c r="X22" i="33"/>
  <c r="T22" i="33"/>
  <c r="Z22" i="33" s="1"/>
  <c r="P22" i="33"/>
  <c r="H22" i="33"/>
  <c r="D22" i="33"/>
  <c r="B22" i="33"/>
  <c r="T21" i="33"/>
  <c r="P21" i="33"/>
  <c r="H21" i="33"/>
  <c r="D21" i="33"/>
  <c r="L21" i="33" s="1"/>
  <c r="N21" i="33" s="1"/>
  <c r="B21" i="33"/>
  <c r="T20" i="33"/>
  <c r="P20" i="33"/>
  <c r="X20" i="33" s="1"/>
  <c r="Z20" i="33" s="1"/>
  <c r="H20" i="33"/>
  <c r="D20" i="33"/>
  <c r="L20" i="33" s="1"/>
  <c r="N20" i="33" s="1"/>
  <c r="B20" i="33"/>
  <c r="T19" i="33"/>
  <c r="P19" i="33"/>
  <c r="X19" i="33" s="1"/>
  <c r="L19" i="33"/>
  <c r="H19" i="33"/>
  <c r="N19" i="33" s="1"/>
  <c r="D19" i="33"/>
  <c r="B19" i="33"/>
  <c r="X18" i="33"/>
  <c r="T18" i="33"/>
  <c r="Z18" i="33" s="1"/>
  <c r="P18" i="33"/>
  <c r="H18" i="33"/>
  <c r="D18" i="33"/>
  <c r="B18" i="33"/>
  <c r="T17" i="33"/>
  <c r="P17" i="33"/>
  <c r="N17" i="33"/>
  <c r="L17" i="33"/>
  <c r="H17" i="33"/>
  <c r="D17" i="33"/>
  <c r="B17" i="33"/>
  <c r="Z16" i="33"/>
  <c r="T16" i="33"/>
  <c r="P16" i="33"/>
  <c r="X16" i="33" s="1"/>
  <c r="H16" i="33"/>
  <c r="D16" i="33"/>
  <c r="L16" i="33" s="1"/>
  <c r="N16" i="33" s="1"/>
  <c r="B16" i="33"/>
  <c r="T15" i="33"/>
  <c r="P15" i="33"/>
  <c r="L15" i="33"/>
  <c r="H15" i="33"/>
  <c r="N15" i="33" s="1"/>
  <c r="D15" i="33"/>
  <c r="B15" i="33"/>
  <c r="X14" i="33"/>
  <c r="T14" i="33"/>
  <c r="Z14" i="33" s="1"/>
  <c r="P14" i="33"/>
  <c r="H14" i="33"/>
  <c r="D14" i="33"/>
  <c r="B14" i="33"/>
  <c r="T13" i="33"/>
  <c r="T12" i="33" s="1"/>
  <c r="P13" i="33"/>
  <c r="N13" i="33"/>
  <c r="L13" i="33"/>
  <c r="H13" i="33"/>
  <c r="D13" i="33"/>
  <c r="B13" i="33"/>
  <c r="D12" i="33"/>
  <c r="F74" i="33" s="1"/>
  <c r="D4" i="33"/>
  <c r="X148" i="30"/>
  <c r="Z148" i="30" s="1"/>
  <c r="L148" i="30"/>
  <c r="N148" i="30" s="1"/>
  <c r="Z144" i="30"/>
  <c r="T144" i="30"/>
  <c r="P144" i="30"/>
  <c r="H144" i="30"/>
  <c r="N144" i="30" s="1"/>
  <c r="D144" i="30"/>
  <c r="L144" i="30" s="1"/>
  <c r="B144" i="30"/>
  <c r="T143" i="30"/>
  <c r="P143" i="30"/>
  <c r="X143" i="30" s="1"/>
  <c r="N143" i="30"/>
  <c r="H143" i="30"/>
  <c r="D143" i="30"/>
  <c r="L143" i="30" s="1"/>
  <c r="B143" i="30"/>
  <c r="T142" i="30"/>
  <c r="H142" i="30"/>
  <c r="N142" i="30" s="1"/>
  <c r="X140" i="30"/>
  <c r="Z140" i="30" s="1"/>
  <c r="L140" i="30"/>
  <c r="N140" i="30" s="1"/>
  <c r="B140" i="30"/>
  <c r="X139" i="30"/>
  <c r="T139" i="30"/>
  <c r="Z139" i="30" s="1"/>
  <c r="P139" i="30"/>
  <c r="N139" i="30"/>
  <c r="H139" i="30"/>
  <c r="D139" i="30"/>
  <c r="L139" i="30" s="1"/>
  <c r="B139" i="30"/>
  <c r="Z138" i="30"/>
  <c r="X138" i="30"/>
  <c r="L138" i="30"/>
  <c r="N138" i="30" s="1"/>
  <c r="B138" i="30"/>
  <c r="T137" i="30"/>
  <c r="P137" i="30"/>
  <c r="H137" i="30"/>
  <c r="D137" i="30"/>
  <c r="L137" i="30" s="1"/>
  <c r="B137" i="30"/>
  <c r="Z136" i="30"/>
  <c r="X136" i="30"/>
  <c r="N136" i="30"/>
  <c r="L136" i="30"/>
  <c r="B136" i="30"/>
  <c r="T135" i="30"/>
  <c r="Z135" i="30" s="1"/>
  <c r="P135" i="30"/>
  <c r="X135" i="30" s="1"/>
  <c r="N135" i="30"/>
  <c r="H135" i="30"/>
  <c r="D135" i="30"/>
  <c r="L135" i="30" s="1"/>
  <c r="B135" i="30"/>
  <c r="X134" i="30"/>
  <c r="Z134" i="30" s="1"/>
  <c r="N134" i="30"/>
  <c r="L134" i="30"/>
  <c r="B134" i="30"/>
  <c r="T133" i="30"/>
  <c r="P133" i="30"/>
  <c r="X133" i="30" s="1"/>
  <c r="Z133" i="30" s="1"/>
  <c r="L133" i="30"/>
  <c r="H133" i="30"/>
  <c r="N133" i="30" s="1"/>
  <c r="D133" i="30"/>
  <c r="B133" i="30"/>
  <c r="Z132" i="30"/>
  <c r="X132" i="30"/>
  <c r="N132" i="30"/>
  <c r="L132" i="30"/>
  <c r="B132" i="30"/>
  <c r="X131" i="30"/>
  <c r="Z131" i="30" s="1"/>
  <c r="L131" i="30"/>
  <c r="N131" i="30" s="1"/>
  <c r="B131" i="30"/>
  <c r="Z130" i="30"/>
  <c r="X130" i="30"/>
  <c r="L130" i="30"/>
  <c r="N130" i="30" s="1"/>
  <c r="B130" i="30"/>
  <c r="Z129" i="30"/>
  <c r="X129" i="30"/>
  <c r="N129" i="30"/>
  <c r="L129" i="30"/>
  <c r="B129" i="30"/>
  <c r="X128" i="30"/>
  <c r="Z128" i="30" s="1"/>
  <c r="N128" i="30"/>
  <c r="L128" i="30"/>
  <c r="B128" i="30"/>
  <c r="V127" i="30"/>
  <c r="T127" i="30"/>
  <c r="P127" i="30"/>
  <c r="X127" i="30" s="1"/>
  <c r="H127" i="30"/>
  <c r="N127" i="30" s="1"/>
  <c r="D127" i="30"/>
  <c r="L127" i="30" s="1"/>
  <c r="B127" i="30"/>
  <c r="X126" i="30"/>
  <c r="Z126" i="30" s="1"/>
  <c r="N126" i="30"/>
  <c r="L126" i="30"/>
  <c r="B126" i="30"/>
  <c r="X125" i="30"/>
  <c r="T125" i="30"/>
  <c r="Z125" i="30" s="1"/>
  <c r="P125" i="30"/>
  <c r="H125" i="30"/>
  <c r="D125" i="30"/>
  <c r="L125" i="30" s="1"/>
  <c r="B125" i="30"/>
  <c r="Z124" i="30"/>
  <c r="X124" i="30"/>
  <c r="N124" i="30"/>
  <c r="L124" i="30"/>
  <c r="B124" i="30"/>
  <c r="X123" i="30"/>
  <c r="Z123" i="30" s="1"/>
  <c r="N123" i="30"/>
  <c r="L123" i="30"/>
  <c r="B123" i="30"/>
  <c r="Z122" i="30"/>
  <c r="X122" i="30"/>
  <c r="N122" i="30"/>
  <c r="L122" i="30"/>
  <c r="B122" i="30"/>
  <c r="T121" i="30"/>
  <c r="P121" i="30"/>
  <c r="X121" i="30" s="1"/>
  <c r="Z121" i="30" s="1"/>
  <c r="L121" i="30"/>
  <c r="H121" i="30"/>
  <c r="N121" i="30" s="1"/>
  <c r="D121" i="30"/>
  <c r="B121" i="30"/>
  <c r="X120" i="30"/>
  <c r="Z120" i="30" s="1"/>
  <c r="N120" i="30"/>
  <c r="L120" i="30"/>
  <c r="B120" i="30"/>
  <c r="X119" i="30"/>
  <c r="Z119" i="30" s="1"/>
  <c r="N119" i="30"/>
  <c r="L119" i="30"/>
  <c r="B119" i="30"/>
  <c r="T118" i="30"/>
  <c r="P118" i="30"/>
  <c r="X118" i="30" s="1"/>
  <c r="Z118" i="30" s="1"/>
  <c r="H118" i="30"/>
  <c r="N118" i="30" s="1"/>
  <c r="D118" i="30"/>
  <c r="L118" i="30" s="1"/>
  <c r="B118" i="30"/>
  <c r="Z117" i="30"/>
  <c r="X117" i="30"/>
  <c r="N117" i="30"/>
  <c r="L117" i="30"/>
  <c r="B117" i="30"/>
  <c r="T116" i="30"/>
  <c r="Z116" i="30" s="1"/>
  <c r="P116" i="30"/>
  <c r="X116" i="30" s="1"/>
  <c r="L116" i="30"/>
  <c r="H116" i="30"/>
  <c r="N116" i="30" s="1"/>
  <c r="D116" i="30"/>
  <c r="B116" i="30"/>
  <c r="X115" i="30"/>
  <c r="Z115" i="30" s="1"/>
  <c r="L115" i="30"/>
  <c r="N115" i="30" s="1"/>
  <c r="B115" i="30"/>
  <c r="X114" i="30"/>
  <c r="T114" i="30"/>
  <c r="Z114" i="30" s="1"/>
  <c r="P114" i="30"/>
  <c r="H114" i="30"/>
  <c r="D114" i="30"/>
  <c r="B114" i="30"/>
  <c r="Z113" i="30"/>
  <c r="X113" i="30"/>
  <c r="N113" i="30"/>
  <c r="L113" i="30"/>
  <c r="B113" i="30"/>
  <c r="T112" i="30"/>
  <c r="P112" i="30"/>
  <c r="N112" i="30"/>
  <c r="H112" i="30"/>
  <c r="D112" i="30"/>
  <c r="L112" i="30" s="1"/>
  <c r="B112" i="30"/>
  <c r="Z111" i="30"/>
  <c r="X111" i="30"/>
  <c r="L111" i="30"/>
  <c r="N111" i="30" s="1"/>
  <c r="B111" i="30"/>
  <c r="X110" i="30"/>
  <c r="T110" i="30"/>
  <c r="Z110" i="30" s="1"/>
  <c r="P110" i="30"/>
  <c r="H110" i="30"/>
  <c r="D110" i="30"/>
  <c r="L110" i="30" s="1"/>
  <c r="B110" i="30"/>
  <c r="Z109" i="30"/>
  <c r="X109" i="30"/>
  <c r="N109" i="30"/>
  <c r="L109" i="30"/>
  <c r="B109" i="30"/>
  <c r="T108" i="30"/>
  <c r="P108" i="30"/>
  <c r="H108" i="30"/>
  <c r="D108" i="30"/>
  <c r="L108" i="30" s="1"/>
  <c r="N108" i="30" s="1"/>
  <c r="B108" i="30"/>
  <c r="Z107" i="30"/>
  <c r="X107" i="30"/>
  <c r="V107" i="30"/>
  <c r="N107" i="30"/>
  <c r="L107" i="30"/>
  <c r="B107" i="30"/>
  <c r="Z106" i="30"/>
  <c r="T106" i="30"/>
  <c r="P106" i="30"/>
  <c r="X106" i="30" s="1"/>
  <c r="H106" i="30"/>
  <c r="N106" i="30" s="1"/>
  <c r="D106" i="30"/>
  <c r="B106" i="30"/>
  <c r="X105" i="30"/>
  <c r="Z105" i="30" s="1"/>
  <c r="N105" i="30"/>
  <c r="L105" i="30"/>
  <c r="B105" i="30"/>
  <c r="T104" i="30"/>
  <c r="P104" i="30"/>
  <c r="X104" i="30" s="1"/>
  <c r="L104" i="30"/>
  <c r="H104" i="30"/>
  <c r="N104" i="30" s="1"/>
  <c r="D104" i="30"/>
  <c r="B104" i="30"/>
  <c r="X103" i="30"/>
  <c r="Z103" i="30" s="1"/>
  <c r="N103" i="30"/>
  <c r="L103" i="30"/>
  <c r="B103" i="30"/>
  <c r="X102" i="30"/>
  <c r="Z102" i="30" s="1"/>
  <c r="N102" i="30"/>
  <c r="L102" i="30"/>
  <c r="B102" i="30"/>
  <c r="Z101" i="30"/>
  <c r="T101" i="30"/>
  <c r="P101" i="30"/>
  <c r="X101" i="30" s="1"/>
  <c r="L101" i="30"/>
  <c r="H101" i="30"/>
  <c r="N101" i="30" s="1"/>
  <c r="D101" i="30"/>
  <c r="B101" i="30"/>
  <c r="X100" i="30"/>
  <c r="Z100" i="30" s="1"/>
  <c r="L100" i="30"/>
  <c r="N100" i="30" s="1"/>
  <c r="B100" i="30"/>
  <c r="X99" i="30"/>
  <c r="Z99" i="30" s="1"/>
  <c r="V99" i="30"/>
  <c r="T99" i="30"/>
  <c r="P99" i="30"/>
  <c r="H99" i="30"/>
  <c r="N99" i="30" s="1"/>
  <c r="D99" i="30"/>
  <c r="L99" i="30" s="1"/>
  <c r="B99" i="30"/>
  <c r="X98" i="30"/>
  <c r="Z98" i="30" s="1"/>
  <c r="L98" i="30"/>
  <c r="N98" i="30" s="1"/>
  <c r="B98" i="30"/>
  <c r="T97" i="30"/>
  <c r="P97" i="30"/>
  <c r="H97" i="30"/>
  <c r="D97" i="30"/>
  <c r="L97" i="30" s="1"/>
  <c r="N97" i="30" s="1"/>
  <c r="B97" i="30"/>
  <c r="X96" i="30"/>
  <c r="Z96" i="30" s="1"/>
  <c r="L96" i="30"/>
  <c r="N96" i="30" s="1"/>
  <c r="B96" i="30"/>
  <c r="X95" i="30"/>
  <c r="T95" i="30"/>
  <c r="Z95" i="30" s="1"/>
  <c r="P95" i="30"/>
  <c r="H95" i="30"/>
  <c r="D95" i="30"/>
  <c r="L95" i="30" s="1"/>
  <c r="N95" i="30" s="1"/>
  <c r="B95" i="30"/>
  <c r="Z94" i="30"/>
  <c r="X94" i="30"/>
  <c r="N94" i="30"/>
  <c r="L94" i="30"/>
  <c r="B94" i="30"/>
  <c r="Z93" i="30"/>
  <c r="X93" i="30"/>
  <c r="L93" i="30"/>
  <c r="N93" i="30" s="1"/>
  <c r="B93" i="30"/>
  <c r="X92" i="30"/>
  <c r="Z92" i="30" s="1"/>
  <c r="N92" i="30"/>
  <c r="L92" i="30"/>
  <c r="B92" i="30"/>
  <c r="Z91" i="30"/>
  <c r="X91" i="30"/>
  <c r="N91" i="30"/>
  <c r="L91" i="30"/>
  <c r="B91" i="30"/>
  <c r="Z90" i="30"/>
  <c r="X90" i="30"/>
  <c r="L90" i="30"/>
  <c r="N90" i="30" s="1"/>
  <c r="B90" i="30"/>
  <c r="T89" i="30"/>
  <c r="Z89" i="30" s="1"/>
  <c r="P89" i="30"/>
  <c r="X89" i="30" s="1"/>
  <c r="H89" i="30"/>
  <c r="D89" i="30"/>
  <c r="L89" i="30" s="1"/>
  <c r="N89" i="30" s="1"/>
  <c r="B89" i="30"/>
  <c r="Z88" i="30"/>
  <c r="X88" i="30"/>
  <c r="N88" i="30"/>
  <c r="L88" i="30"/>
  <c r="B88" i="30"/>
  <c r="X87" i="30"/>
  <c r="Z87" i="30" s="1"/>
  <c r="L87" i="30"/>
  <c r="N87" i="30" s="1"/>
  <c r="B87" i="30"/>
  <c r="X86" i="30"/>
  <c r="Z86" i="30" s="1"/>
  <c r="N86" i="30"/>
  <c r="L86" i="30"/>
  <c r="B86" i="30"/>
  <c r="X85" i="30"/>
  <c r="Z85" i="30" s="1"/>
  <c r="N85" i="30"/>
  <c r="L85" i="30"/>
  <c r="B85" i="30"/>
  <c r="X84" i="30"/>
  <c r="Z84" i="30" s="1"/>
  <c r="N84" i="30"/>
  <c r="L84" i="30"/>
  <c r="B84" i="30"/>
  <c r="X83" i="30"/>
  <c r="Z83" i="30" s="1"/>
  <c r="L83" i="30"/>
  <c r="N83" i="30" s="1"/>
  <c r="B83" i="30"/>
  <c r="X82" i="30"/>
  <c r="Z82" i="30" s="1"/>
  <c r="N82" i="30"/>
  <c r="L82" i="30"/>
  <c r="B82" i="30"/>
  <c r="X81" i="30"/>
  <c r="Z81" i="30" s="1"/>
  <c r="N81" i="30"/>
  <c r="L81" i="30"/>
  <c r="B81" i="30"/>
  <c r="T80" i="30"/>
  <c r="Z80" i="30" s="1"/>
  <c r="P80" i="30"/>
  <c r="X80" i="30" s="1"/>
  <c r="L80" i="30"/>
  <c r="N80" i="30" s="1"/>
  <c r="H80" i="30"/>
  <c r="D80" i="30"/>
  <c r="B80" i="30"/>
  <c r="X79" i="30"/>
  <c r="T79" i="30"/>
  <c r="Z79" i="30" s="1"/>
  <c r="P79" i="30"/>
  <c r="N79" i="30"/>
  <c r="H79" i="30"/>
  <c r="D79" i="30"/>
  <c r="L79" i="30" s="1"/>
  <c r="X75" i="30"/>
  <c r="Z75" i="30" s="1"/>
  <c r="L75" i="30"/>
  <c r="N75" i="30" s="1"/>
  <c r="B75" i="30"/>
  <c r="Z74" i="30"/>
  <c r="X74" i="30"/>
  <c r="N74" i="30"/>
  <c r="L74" i="30"/>
  <c r="B74" i="30"/>
  <c r="Z73" i="30"/>
  <c r="X73" i="30"/>
  <c r="N73" i="30"/>
  <c r="L73" i="30"/>
  <c r="B73" i="30"/>
  <c r="Z72" i="30"/>
  <c r="X72" i="30"/>
  <c r="N72" i="30"/>
  <c r="L72" i="30"/>
  <c r="B72" i="30"/>
  <c r="X71" i="30"/>
  <c r="Z71" i="30" s="1"/>
  <c r="L71" i="30"/>
  <c r="N71" i="30" s="1"/>
  <c r="B71" i="30"/>
  <c r="Z70" i="30"/>
  <c r="X70" i="30"/>
  <c r="N70" i="30"/>
  <c r="L70" i="30"/>
  <c r="B70" i="30"/>
  <c r="Z69" i="30"/>
  <c r="X69" i="30"/>
  <c r="L69" i="30"/>
  <c r="N69" i="30" s="1"/>
  <c r="B69" i="30"/>
  <c r="Z68" i="30"/>
  <c r="X68" i="30"/>
  <c r="L68" i="30"/>
  <c r="N68" i="30" s="1"/>
  <c r="B68" i="30"/>
  <c r="X67" i="30"/>
  <c r="Z67" i="30" s="1"/>
  <c r="N67" i="30"/>
  <c r="L67" i="30"/>
  <c r="B67" i="30"/>
  <c r="Z66" i="30"/>
  <c r="X66" i="30"/>
  <c r="N66" i="30"/>
  <c r="L66" i="30"/>
  <c r="B66" i="30"/>
  <c r="Z65" i="30"/>
  <c r="X65" i="30"/>
  <c r="N65" i="30"/>
  <c r="L65" i="30"/>
  <c r="B65" i="30"/>
  <c r="Z64" i="30"/>
  <c r="X64" i="30"/>
  <c r="L64" i="30"/>
  <c r="N64" i="30" s="1"/>
  <c r="B64" i="30"/>
  <c r="X63" i="30"/>
  <c r="Z63" i="30" s="1"/>
  <c r="L63" i="30"/>
  <c r="N63" i="30" s="1"/>
  <c r="B63" i="30"/>
  <c r="Z62" i="30"/>
  <c r="X62" i="30"/>
  <c r="N62" i="30"/>
  <c r="L62" i="30"/>
  <c r="B62" i="30"/>
  <c r="Z61" i="30"/>
  <c r="X61" i="30"/>
  <c r="L61" i="30"/>
  <c r="N61" i="30" s="1"/>
  <c r="B61" i="30"/>
  <c r="Z60" i="30"/>
  <c r="X60" i="30"/>
  <c r="L60" i="30"/>
  <c r="N60" i="30" s="1"/>
  <c r="B60" i="30"/>
  <c r="X59" i="30"/>
  <c r="Z59" i="30" s="1"/>
  <c r="L59" i="30"/>
  <c r="N59" i="30" s="1"/>
  <c r="B59" i="30"/>
  <c r="Z58" i="30"/>
  <c r="X58" i="30"/>
  <c r="N58" i="30"/>
  <c r="L58" i="30"/>
  <c r="B58" i="30"/>
  <c r="Z57" i="30"/>
  <c r="X57" i="30"/>
  <c r="N57" i="30"/>
  <c r="L57" i="30"/>
  <c r="B57" i="30"/>
  <c r="Z56" i="30"/>
  <c r="X56" i="30"/>
  <c r="N56" i="30"/>
  <c r="L56" i="30"/>
  <c r="B56" i="30"/>
  <c r="X55" i="30"/>
  <c r="Z55" i="30" s="1"/>
  <c r="L55" i="30"/>
  <c r="N55" i="30" s="1"/>
  <c r="B55" i="30"/>
  <c r="Z54" i="30"/>
  <c r="X54" i="30"/>
  <c r="N54" i="30"/>
  <c r="L54" i="30"/>
  <c r="B54" i="30"/>
  <c r="T53" i="30"/>
  <c r="P53" i="30"/>
  <c r="X53" i="30" s="1"/>
  <c r="Z53" i="30" s="1"/>
  <c r="L53" i="30"/>
  <c r="H53" i="30"/>
  <c r="N53" i="30" s="1"/>
  <c r="D53" i="30"/>
  <c r="Z51" i="30"/>
  <c r="T51" i="30"/>
  <c r="P51" i="30"/>
  <c r="X51" i="30" s="1"/>
  <c r="H51" i="30"/>
  <c r="D51" i="30"/>
  <c r="L51" i="30" s="1"/>
  <c r="N51" i="30" s="1"/>
  <c r="B51" i="30"/>
  <c r="T50" i="30"/>
  <c r="P50" i="30"/>
  <c r="X50" i="30" s="1"/>
  <c r="H50" i="30"/>
  <c r="N50" i="30" s="1"/>
  <c r="D50" i="30"/>
  <c r="B50" i="30"/>
  <c r="X49" i="30"/>
  <c r="T49" i="30"/>
  <c r="Z49" i="30" s="1"/>
  <c r="P49" i="30"/>
  <c r="H49" i="30"/>
  <c r="D49" i="30"/>
  <c r="B49" i="30"/>
  <c r="T48" i="30"/>
  <c r="X48" i="30" s="1"/>
  <c r="Z48" i="30" s="1"/>
  <c r="P48" i="30"/>
  <c r="N48" i="30"/>
  <c r="H48" i="30"/>
  <c r="L48" i="30" s="1"/>
  <c r="D48" i="30"/>
  <c r="B48" i="30"/>
  <c r="Z47" i="30"/>
  <c r="T47" i="30"/>
  <c r="P47" i="30"/>
  <c r="X47" i="30" s="1"/>
  <c r="H47" i="30"/>
  <c r="D47" i="30"/>
  <c r="L47" i="30" s="1"/>
  <c r="N47" i="30" s="1"/>
  <c r="B47" i="30"/>
  <c r="T46" i="30"/>
  <c r="Z46" i="30" s="1"/>
  <c r="P46" i="30"/>
  <c r="X46" i="30" s="1"/>
  <c r="H46" i="30"/>
  <c r="D46" i="30"/>
  <c r="B46" i="30"/>
  <c r="X45" i="30"/>
  <c r="T45" i="30"/>
  <c r="Z45" i="30" s="1"/>
  <c r="P45" i="30"/>
  <c r="H45" i="30"/>
  <c r="D45" i="30"/>
  <c r="B45" i="30"/>
  <c r="T44" i="30"/>
  <c r="P44" i="30"/>
  <c r="H44" i="30"/>
  <c r="L44" i="30" s="1"/>
  <c r="N44" i="30" s="1"/>
  <c r="D44" i="30"/>
  <c r="B44" i="30"/>
  <c r="T43" i="30"/>
  <c r="P43" i="30"/>
  <c r="X43" i="30" s="1"/>
  <c r="Z43" i="30" s="1"/>
  <c r="H43" i="30"/>
  <c r="D43" i="30"/>
  <c r="L43" i="30" s="1"/>
  <c r="N43" i="30" s="1"/>
  <c r="B43" i="30"/>
  <c r="T42" i="30"/>
  <c r="P42" i="30"/>
  <c r="X42" i="30" s="1"/>
  <c r="H42" i="30"/>
  <c r="D42" i="30"/>
  <c r="B42" i="30"/>
  <c r="X41" i="30"/>
  <c r="T41" i="30"/>
  <c r="Z41" i="30" s="1"/>
  <c r="P41" i="30"/>
  <c r="H41" i="30"/>
  <c r="D41" i="30"/>
  <c r="B41" i="30"/>
  <c r="T40" i="30"/>
  <c r="Z40" i="30" s="1"/>
  <c r="P40" i="30"/>
  <c r="N40" i="30"/>
  <c r="H40" i="30"/>
  <c r="L40" i="30" s="1"/>
  <c r="D40" i="30"/>
  <c r="B40" i="30"/>
  <c r="Z39" i="30"/>
  <c r="T39" i="30"/>
  <c r="P39" i="30"/>
  <c r="X39" i="30" s="1"/>
  <c r="N39" i="30"/>
  <c r="H39" i="30"/>
  <c r="D39" i="30"/>
  <c r="L39" i="30" s="1"/>
  <c r="B39" i="30"/>
  <c r="T38" i="30"/>
  <c r="P38" i="30"/>
  <c r="X38" i="30" s="1"/>
  <c r="H38" i="30"/>
  <c r="N38" i="30" s="1"/>
  <c r="D38" i="30"/>
  <c r="B38" i="30"/>
  <c r="X37" i="30"/>
  <c r="T37" i="30"/>
  <c r="Z37" i="30" s="1"/>
  <c r="P37" i="30"/>
  <c r="H37" i="30"/>
  <c r="D37" i="30"/>
  <c r="B37" i="30"/>
  <c r="T36" i="30"/>
  <c r="P36" i="30"/>
  <c r="N36" i="30"/>
  <c r="H36" i="30"/>
  <c r="L36" i="30" s="1"/>
  <c r="D36" i="30"/>
  <c r="B36" i="30"/>
  <c r="Z35" i="30"/>
  <c r="T35" i="30"/>
  <c r="P35" i="30"/>
  <c r="X35" i="30" s="1"/>
  <c r="H35" i="30"/>
  <c r="D35" i="30"/>
  <c r="L35" i="30" s="1"/>
  <c r="N35" i="30" s="1"/>
  <c r="B35" i="30"/>
  <c r="T34" i="30"/>
  <c r="P34" i="30"/>
  <c r="X34" i="30" s="1"/>
  <c r="H34" i="30"/>
  <c r="D34" i="30"/>
  <c r="B34" i="30"/>
  <c r="X33" i="30"/>
  <c r="T33" i="30"/>
  <c r="P33" i="30"/>
  <c r="H33" i="30"/>
  <c r="D33" i="30"/>
  <c r="B33" i="30"/>
  <c r="T32" i="30"/>
  <c r="Z32" i="30" s="1"/>
  <c r="P32" i="30"/>
  <c r="N32" i="30"/>
  <c r="L32" i="30"/>
  <c r="H32" i="30"/>
  <c r="D32" i="30"/>
  <c r="B32" i="30"/>
  <c r="Z31" i="30"/>
  <c r="T31" i="30"/>
  <c r="P31" i="30"/>
  <c r="X31" i="30" s="1"/>
  <c r="N31" i="30"/>
  <c r="H31" i="30"/>
  <c r="D31" i="30"/>
  <c r="L31" i="30" s="1"/>
  <c r="B31" i="30"/>
  <c r="T30" i="30"/>
  <c r="Z30" i="30" s="1"/>
  <c r="P30" i="30"/>
  <c r="X30" i="30" s="1"/>
  <c r="H30" i="30"/>
  <c r="N30" i="30" s="1"/>
  <c r="D30" i="30"/>
  <c r="B30" i="30"/>
  <c r="X29" i="30"/>
  <c r="T29" i="30"/>
  <c r="Z29" i="30" s="1"/>
  <c r="P29" i="30"/>
  <c r="H29" i="30"/>
  <c r="D29" i="30"/>
  <c r="B29" i="30"/>
  <c r="T28" i="30"/>
  <c r="Z28" i="30" s="1"/>
  <c r="P28" i="30"/>
  <c r="N28" i="30"/>
  <c r="L28" i="30"/>
  <c r="H28" i="30"/>
  <c r="D28" i="30"/>
  <c r="B28" i="30"/>
  <c r="Z27" i="30"/>
  <c r="T27" i="30"/>
  <c r="P27" i="30"/>
  <c r="X27" i="30" s="1"/>
  <c r="N27" i="30"/>
  <c r="H27" i="30"/>
  <c r="D27" i="30"/>
  <c r="L27" i="30" s="1"/>
  <c r="B27" i="30"/>
  <c r="T26" i="30"/>
  <c r="Z26" i="30" s="1"/>
  <c r="P26" i="30"/>
  <c r="X26" i="30" s="1"/>
  <c r="H26" i="30"/>
  <c r="D26" i="30"/>
  <c r="B26" i="30"/>
  <c r="X25" i="30"/>
  <c r="T25" i="30"/>
  <c r="P25" i="30"/>
  <c r="H25" i="30"/>
  <c r="D25" i="30"/>
  <c r="B25" i="30"/>
  <c r="T24" i="30"/>
  <c r="P24" i="30"/>
  <c r="N24" i="30"/>
  <c r="L24" i="30"/>
  <c r="H24" i="30"/>
  <c r="D24" i="30"/>
  <c r="B24" i="30"/>
  <c r="T23" i="30"/>
  <c r="P23" i="30"/>
  <c r="X23" i="30" s="1"/>
  <c r="Z23" i="30" s="1"/>
  <c r="H23" i="30"/>
  <c r="D23" i="30"/>
  <c r="L23" i="30" s="1"/>
  <c r="N23" i="30" s="1"/>
  <c r="B23" i="30"/>
  <c r="T22" i="30"/>
  <c r="Z22" i="30" s="1"/>
  <c r="P22" i="30"/>
  <c r="X22" i="30" s="1"/>
  <c r="H22" i="30"/>
  <c r="D22" i="30"/>
  <c r="B22" i="30"/>
  <c r="X21" i="30"/>
  <c r="T21" i="30"/>
  <c r="P21" i="30"/>
  <c r="H21" i="30"/>
  <c r="D21" i="30"/>
  <c r="B21" i="30"/>
  <c r="T20" i="30"/>
  <c r="P20" i="30"/>
  <c r="N20" i="30"/>
  <c r="L20" i="30"/>
  <c r="H20" i="30"/>
  <c r="D20" i="30"/>
  <c r="B20" i="30"/>
  <c r="T19" i="30"/>
  <c r="P19" i="30"/>
  <c r="X19" i="30" s="1"/>
  <c r="Z19" i="30" s="1"/>
  <c r="H19" i="30"/>
  <c r="D19" i="30"/>
  <c r="L19" i="30" s="1"/>
  <c r="N19" i="30" s="1"/>
  <c r="B19" i="30"/>
  <c r="T18" i="30"/>
  <c r="Z18" i="30" s="1"/>
  <c r="P18" i="30"/>
  <c r="X18" i="30" s="1"/>
  <c r="H18" i="30"/>
  <c r="N18" i="30" s="1"/>
  <c r="D18" i="30"/>
  <c r="B18" i="30"/>
  <c r="X17" i="30"/>
  <c r="T17" i="30"/>
  <c r="Z17" i="30" s="1"/>
  <c r="P17" i="30"/>
  <c r="H17" i="30"/>
  <c r="D17" i="30"/>
  <c r="B17" i="30"/>
  <c r="T16" i="30"/>
  <c r="Z16" i="30" s="1"/>
  <c r="P16" i="30"/>
  <c r="N16" i="30"/>
  <c r="L16" i="30"/>
  <c r="H16" i="30"/>
  <c r="D16" i="30"/>
  <c r="B16" i="30"/>
  <c r="T15" i="30"/>
  <c r="P15" i="30"/>
  <c r="X15" i="30" s="1"/>
  <c r="Z15" i="30" s="1"/>
  <c r="H15" i="30"/>
  <c r="D15" i="30"/>
  <c r="B15" i="30"/>
  <c r="T14" i="30"/>
  <c r="Z14" i="30" s="1"/>
  <c r="P14" i="30"/>
  <c r="X14" i="30" s="1"/>
  <c r="H14" i="30"/>
  <c r="D14" i="30"/>
  <c r="B14" i="30"/>
  <c r="X13" i="30"/>
  <c r="T13" i="30"/>
  <c r="T12" i="30" s="1"/>
  <c r="P13" i="30"/>
  <c r="H13" i="30"/>
  <c r="D13" i="30"/>
  <c r="B13" i="30"/>
  <c r="D4" i="30"/>
  <c r="X116" i="27"/>
  <c r="Z116" i="27" s="1"/>
  <c r="L116" i="27"/>
  <c r="N116" i="27" s="1"/>
  <c r="X112" i="27"/>
  <c r="T112" i="27"/>
  <c r="P112" i="27"/>
  <c r="H112" i="27"/>
  <c r="D112" i="27"/>
  <c r="B112" i="27"/>
  <c r="Z111" i="27"/>
  <c r="X111" i="27"/>
  <c r="T111" i="27"/>
  <c r="P111" i="27"/>
  <c r="N111" i="27"/>
  <c r="H111" i="27"/>
  <c r="D111" i="27"/>
  <c r="L111" i="27" s="1"/>
  <c r="B111" i="27"/>
  <c r="T110" i="27"/>
  <c r="T109" i="27" s="1"/>
  <c r="P110" i="27"/>
  <c r="H110" i="27"/>
  <c r="D110" i="27"/>
  <c r="B110" i="27"/>
  <c r="Z107" i="27"/>
  <c r="X107" i="27"/>
  <c r="N107" i="27"/>
  <c r="L107" i="27"/>
  <c r="B107" i="27"/>
  <c r="X106" i="27"/>
  <c r="T106" i="27"/>
  <c r="Z106" i="27" s="1"/>
  <c r="P106" i="27"/>
  <c r="H106" i="27"/>
  <c r="N106" i="27" s="1"/>
  <c r="D106" i="27"/>
  <c r="B106" i="27"/>
  <c r="X105" i="27"/>
  <c r="Z105" i="27" s="1"/>
  <c r="N105" i="27"/>
  <c r="L105" i="27"/>
  <c r="B105" i="27"/>
  <c r="Z104" i="27"/>
  <c r="T104" i="27"/>
  <c r="X104" i="27" s="1"/>
  <c r="P104" i="27"/>
  <c r="H104" i="27"/>
  <c r="N104" i="27" s="1"/>
  <c r="D104" i="27"/>
  <c r="B104" i="27"/>
  <c r="Z103" i="27"/>
  <c r="X103" i="27"/>
  <c r="L103" i="27"/>
  <c r="N103" i="27" s="1"/>
  <c r="B103" i="27"/>
  <c r="X102" i="27"/>
  <c r="Z102" i="27" s="1"/>
  <c r="L102" i="27"/>
  <c r="N102" i="27" s="1"/>
  <c r="B102" i="27"/>
  <c r="T101" i="27"/>
  <c r="P101" i="27"/>
  <c r="X101" i="27" s="1"/>
  <c r="Z101" i="27" s="1"/>
  <c r="H101" i="27"/>
  <c r="D101" i="27"/>
  <c r="L101" i="27" s="1"/>
  <c r="B101" i="27"/>
  <c r="X100" i="27"/>
  <c r="Z100" i="27" s="1"/>
  <c r="N100" i="27"/>
  <c r="L100" i="27"/>
  <c r="B100" i="27"/>
  <c r="X99" i="27"/>
  <c r="Z99" i="27" s="1"/>
  <c r="N99" i="27"/>
  <c r="L99" i="27"/>
  <c r="B99" i="27"/>
  <c r="X98" i="27"/>
  <c r="Z98" i="27" s="1"/>
  <c r="L98" i="27"/>
  <c r="N98" i="27" s="1"/>
  <c r="B98" i="27"/>
  <c r="Z97" i="27"/>
  <c r="X97" i="27"/>
  <c r="T97" i="27"/>
  <c r="P97" i="27"/>
  <c r="L97" i="27"/>
  <c r="H97" i="27"/>
  <c r="N97" i="27" s="1"/>
  <c r="D97" i="27"/>
  <c r="B97" i="27"/>
  <c r="Z96" i="27"/>
  <c r="X96" i="27"/>
  <c r="N96" i="27"/>
  <c r="L96" i="27"/>
  <c r="B96" i="27"/>
  <c r="T95" i="27"/>
  <c r="P95" i="27"/>
  <c r="X95" i="27" s="1"/>
  <c r="Z95" i="27" s="1"/>
  <c r="N95" i="27"/>
  <c r="L95" i="27"/>
  <c r="H95" i="27"/>
  <c r="D95" i="27"/>
  <c r="B95" i="27"/>
  <c r="Z94" i="27"/>
  <c r="X94" i="27"/>
  <c r="N94" i="27"/>
  <c r="L94" i="27"/>
  <c r="B94" i="27"/>
  <c r="Z93" i="27"/>
  <c r="X93" i="27"/>
  <c r="N93" i="27"/>
  <c r="L93" i="27"/>
  <c r="B93" i="27"/>
  <c r="T92" i="27"/>
  <c r="P92" i="27"/>
  <c r="X92" i="27" s="1"/>
  <c r="L92" i="27"/>
  <c r="H92" i="27"/>
  <c r="D92" i="27"/>
  <c r="B92" i="27"/>
  <c r="X91" i="27"/>
  <c r="Z91" i="27" s="1"/>
  <c r="N91" i="27"/>
  <c r="L91" i="27"/>
  <c r="B91" i="27"/>
  <c r="X90" i="27"/>
  <c r="Z90" i="27" s="1"/>
  <c r="T90" i="27"/>
  <c r="P90" i="27"/>
  <c r="H90" i="27"/>
  <c r="D90" i="27"/>
  <c r="B90" i="27"/>
  <c r="X89" i="27"/>
  <c r="Z89" i="27" s="1"/>
  <c r="N89" i="27"/>
  <c r="L89" i="27"/>
  <c r="B89" i="27"/>
  <c r="X88" i="27"/>
  <c r="Z88" i="27" s="1"/>
  <c r="T88" i="27"/>
  <c r="P88" i="27"/>
  <c r="N88" i="27"/>
  <c r="L88" i="27"/>
  <c r="H88" i="27"/>
  <c r="D88" i="27"/>
  <c r="B88" i="27"/>
  <c r="Z87" i="27"/>
  <c r="X87" i="27"/>
  <c r="L87" i="27"/>
  <c r="N87" i="27" s="1"/>
  <c r="B87" i="27"/>
  <c r="X86" i="27"/>
  <c r="Z86" i="27" s="1"/>
  <c r="L86" i="27"/>
  <c r="N86" i="27" s="1"/>
  <c r="B86" i="27"/>
  <c r="T85" i="27"/>
  <c r="P85" i="27"/>
  <c r="X85" i="27" s="1"/>
  <c r="Z85" i="27" s="1"/>
  <c r="N85" i="27"/>
  <c r="L85" i="27"/>
  <c r="H85" i="27"/>
  <c r="D85" i="27"/>
  <c r="B85" i="27"/>
  <c r="X84" i="27"/>
  <c r="Z84" i="27" s="1"/>
  <c r="L84" i="27"/>
  <c r="N84" i="27" s="1"/>
  <c r="B84" i="27"/>
  <c r="T83" i="27"/>
  <c r="P83" i="27"/>
  <c r="X83" i="27" s="1"/>
  <c r="H83" i="27"/>
  <c r="D83" i="27"/>
  <c r="B83" i="27"/>
  <c r="Z82" i="27"/>
  <c r="X82" i="27"/>
  <c r="N82" i="27"/>
  <c r="L82" i="27"/>
  <c r="B82" i="27"/>
  <c r="Z81" i="27"/>
  <c r="T81" i="27"/>
  <c r="P81" i="27"/>
  <c r="X81" i="27" s="1"/>
  <c r="H81" i="27"/>
  <c r="N81" i="27" s="1"/>
  <c r="F81" i="27"/>
  <c r="D81" i="27"/>
  <c r="L81" i="27" s="1"/>
  <c r="B81" i="27"/>
  <c r="X80" i="27"/>
  <c r="Z80" i="27" s="1"/>
  <c r="N80" i="27"/>
  <c r="L80" i="27"/>
  <c r="B80" i="27"/>
  <c r="Z79" i="27"/>
  <c r="X79" i="27"/>
  <c r="L79" i="27"/>
  <c r="N79" i="27" s="1"/>
  <c r="B79" i="27"/>
  <c r="T78" i="27"/>
  <c r="P78" i="27"/>
  <c r="X78" i="27" s="1"/>
  <c r="H78" i="27"/>
  <c r="D78" i="27"/>
  <c r="L78" i="27" s="1"/>
  <c r="B78" i="27"/>
  <c r="X77" i="27"/>
  <c r="Z77" i="27" s="1"/>
  <c r="N77" i="27"/>
  <c r="L77" i="27"/>
  <c r="B77" i="27"/>
  <c r="T76" i="27"/>
  <c r="P76" i="27"/>
  <c r="X76" i="27" s="1"/>
  <c r="Z76" i="27" s="1"/>
  <c r="N76" i="27"/>
  <c r="L76" i="27"/>
  <c r="H76" i="27"/>
  <c r="D76" i="27"/>
  <c r="B76" i="27"/>
  <c r="X75" i="27"/>
  <c r="Z75" i="27" s="1"/>
  <c r="N75" i="27"/>
  <c r="L75" i="27"/>
  <c r="B75" i="27"/>
  <c r="Z74" i="27"/>
  <c r="X74" i="27"/>
  <c r="N74" i="27"/>
  <c r="L74" i="27"/>
  <c r="B74" i="27"/>
  <c r="Z73" i="27"/>
  <c r="X73" i="27"/>
  <c r="N73" i="27"/>
  <c r="L73" i="27"/>
  <c r="B73" i="27"/>
  <c r="X72" i="27"/>
  <c r="Z72" i="27" s="1"/>
  <c r="L72" i="27"/>
  <c r="N72" i="27" s="1"/>
  <c r="B72" i="27"/>
  <c r="X71" i="27"/>
  <c r="Z71" i="27" s="1"/>
  <c r="L71" i="27"/>
  <c r="N71" i="27" s="1"/>
  <c r="B71" i="27"/>
  <c r="Z70" i="27"/>
  <c r="X70" i="27"/>
  <c r="N70" i="27"/>
  <c r="L70" i="27"/>
  <c r="B70" i="27"/>
  <c r="T69" i="27"/>
  <c r="P69" i="27"/>
  <c r="X69" i="27" s="1"/>
  <c r="Z69" i="27" s="1"/>
  <c r="H69" i="27"/>
  <c r="D69" i="27"/>
  <c r="L69" i="27" s="1"/>
  <c r="B69" i="27"/>
  <c r="X68" i="27"/>
  <c r="Z68" i="27" s="1"/>
  <c r="N68" i="27"/>
  <c r="L68" i="27"/>
  <c r="B68" i="27"/>
  <c r="X67" i="27"/>
  <c r="Z67" i="27" s="1"/>
  <c r="L67" i="27"/>
  <c r="N67" i="27" s="1"/>
  <c r="B67" i="27"/>
  <c r="Z66" i="27"/>
  <c r="X66" i="27"/>
  <c r="N66" i="27"/>
  <c r="L66" i="27"/>
  <c r="B66" i="27"/>
  <c r="X65" i="27"/>
  <c r="Z65" i="27" s="1"/>
  <c r="L65" i="27"/>
  <c r="N65" i="27" s="1"/>
  <c r="B65" i="27"/>
  <c r="X64" i="27"/>
  <c r="Z64" i="27" s="1"/>
  <c r="N64" i="27"/>
  <c r="L64" i="27"/>
  <c r="B64" i="27"/>
  <c r="X63" i="27"/>
  <c r="Z63" i="27" s="1"/>
  <c r="L63" i="27"/>
  <c r="N63" i="27" s="1"/>
  <c r="B63" i="27"/>
  <c r="Z62" i="27"/>
  <c r="X62" i="27"/>
  <c r="N62" i="27"/>
  <c r="L62" i="27"/>
  <c r="B62" i="27"/>
  <c r="X61" i="27"/>
  <c r="Z61" i="27" s="1"/>
  <c r="L61" i="27"/>
  <c r="N61" i="27" s="1"/>
  <c r="B61" i="27"/>
  <c r="X60" i="27"/>
  <c r="Z60" i="27" s="1"/>
  <c r="L60" i="27"/>
  <c r="N60" i="27" s="1"/>
  <c r="B60" i="27"/>
  <c r="Z59" i="27"/>
  <c r="X59" i="27"/>
  <c r="T59" i="27"/>
  <c r="P59" i="27"/>
  <c r="H59" i="27"/>
  <c r="D59" i="27"/>
  <c r="L59" i="27" s="1"/>
  <c r="B59" i="27"/>
  <c r="Z58" i="27"/>
  <c r="X58" i="27"/>
  <c r="T58" i="27"/>
  <c r="P58" i="27"/>
  <c r="H58" i="27"/>
  <c r="D58" i="27"/>
  <c r="L58" i="27" s="1"/>
  <c r="N58" i="27" s="1"/>
  <c r="D56" i="27"/>
  <c r="Z54" i="27"/>
  <c r="X54" i="27"/>
  <c r="N54" i="27"/>
  <c r="L54" i="27"/>
  <c r="B54" i="27"/>
  <c r="X53" i="27"/>
  <c r="Z53" i="27" s="1"/>
  <c r="N53" i="27"/>
  <c r="L53" i="27"/>
  <c r="B53" i="27"/>
  <c r="X52" i="27"/>
  <c r="Z52" i="27" s="1"/>
  <c r="L52" i="27"/>
  <c r="N52" i="27" s="1"/>
  <c r="B52" i="27"/>
  <c r="Z51" i="27"/>
  <c r="X51" i="27"/>
  <c r="L51" i="27"/>
  <c r="N51" i="27" s="1"/>
  <c r="B51" i="27"/>
  <c r="Z50" i="27"/>
  <c r="X50" i="27"/>
  <c r="L50" i="27"/>
  <c r="N50" i="27" s="1"/>
  <c r="B50" i="27"/>
  <c r="X49" i="27"/>
  <c r="Z49" i="27" s="1"/>
  <c r="N49" i="27"/>
  <c r="L49" i="27"/>
  <c r="B49" i="27"/>
  <c r="X48" i="27"/>
  <c r="Z48" i="27" s="1"/>
  <c r="L48" i="27"/>
  <c r="N48" i="27" s="1"/>
  <c r="B48" i="27"/>
  <c r="Z47" i="27"/>
  <c r="X47" i="27"/>
  <c r="L47" i="27"/>
  <c r="N47" i="27" s="1"/>
  <c r="B47" i="27"/>
  <c r="Z46" i="27"/>
  <c r="X46" i="27"/>
  <c r="L46" i="27"/>
  <c r="N46" i="27" s="1"/>
  <c r="B46" i="27"/>
  <c r="X45" i="27"/>
  <c r="Z45" i="27" s="1"/>
  <c r="N45" i="27"/>
  <c r="L45" i="27"/>
  <c r="B45" i="27"/>
  <c r="X44" i="27"/>
  <c r="Z44" i="27" s="1"/>
  <c r="N44" i="27"/>
  <c r="L44" i="27"/>
  <c r="B44" i="27"/>
  <c r="Z43" i="27"/>
  <c r="X43" i="27"/>
  <c r="L43" i="27"/>
  <c r="N43" i="27" s="1"/>
  <c r="B43" i="27"/>
  <c r="Z42" i="27"/>
  <c r="X42" i="27"/>
  <c r="L42" i="27"/>
  <c r="N42" i="27" s="1"/>
  <c r="B42" i="27"/>
  <c r="T41" i="27"/>
  <c r="P41" i="27"/>
  <c r="H41" i="27"/>
  <c r="D41" i="27"/>
  <c r="L41" i="27" s="1"/>
  <c r="N41" i="27" s="1"/>
  <c r="T39" i="27"/>
  <c r="P39" i="27"/>
  <c r="X39" i="27" s="1"/>
  <c r="H39" i="27"/>
  <c r="D39" i="27"/>
  <c r="L39" i="27" s="1"/>
  <c r="N39" i="27" s="1"/>
  <c r="B39" i="27"/>
  <c r="T38" i="27"/>
  <c r="P38" i="27"/>
  <c r="L38" i="27"/>
  <c r="H38" i="27"/>
  <c r="N38" i="27" s="1"/>
  <c r="D38" i="27"/>
  <c r="B38" i="27"/>
  <c r="T37" i="27"/>
  <c r="Z37" i="27" s="1"/>
  <c r="P37" i="27"/>
  <c r="X37" i="27" s="1"/>
  <c r="H37" i="27"/>
  <c r="D37" i="27"/>
  <c r="L37" i="27" s="1"/>
  <c r="N37" i="27" s="1"/>
  <c r="B37" i="27"/>
  <c r="Z36" i="27"/>
  <c r="X36" i="27"/>
  <c r="T36" i="27"/>
  <c r="P36" i="27"/>
  <c r="L36" i="27"/>
  <c r="H36" i="27"/>
  <c r="N36" i="27" s="1"/>
  <c r="D36" i="27"/>
  <c r="B36" i="27"/>
  <c r="T35" i="27"/>
  <c r="P35" i="27"/>
  <c r="X35" i="27" s="1"/>
  <c r="H35" i="27"/>
  <c r="D35" i="27"/>
  <c r="L35" i="27" s="1"/>
  <c r="N35" i="27" s="1"/>
  <c r="B35" i="27"/>
  <c r="T34" i="27"/>
  <c r="P34" i="27"/>
  <c r="H34" i="27"/>
  <c r="D34" i="27"/>
  <c r="B34" i="27"/>
  <c r="T33" i="27"/>
  <c r="Z33" i="27" s="1"/>
  <c r="P33" i="27"/>
  <c r="X33" i="27" s="1"/>
  <c r="L33" i="27"/>
  <c r="N33" i="27" s="1"/>
  <c r="H33" i="27"/>
  <c r="D33" i="27"/>
  <c r="B33" i="27"/>
  <c r="Z32" i="27"/>
  <c r="X32" i="27"/>
  <c r="T32" i="27"/>
  <c r="P32" i="27"/>
  <c r="L32" i="27"/>
  <c r="H32" i="27"/>
  <c r="N32" i="27" s="1"/>
  <c r="D32" i="27"/>
  <c r="B32" i="27"/>
  <c r="T31" i="27"/>
  <c r="P31" i="27"/>
  <c r="H31" i="27"/>
  <c r="D31" i="27"/>
  <c r="L31" i="27" s="1"/>
  <c r="N31" i="27" s="1"/>
  <c r="B31" i="27"/>
  <c r="T30" i="27"/>
  <c r="P30" i="27"/>
  <c r="H30" i="27"/>
  <c r="D30" i="27"/>
  <c r="B30" i="27"/>
  <c r="T29" i="27"/>
  <c r="P29" i="27"/>
  <c r="X29" i="27" s="1"/>
  <c r="L29" i="27"/>
  <c r="N29" i="27" s="1"/>
  <c r="H29" i="27"/>
  <c r="D29" i="27"/>
  <c r="B29" i="27"/>
  <c r="Z28" i="27"/>
  <c r="X28" i="27"/>
  <c r="T28" i="27"/>
  <c r="P28" i="27"/>
  <c r="L28" i="27"/>
  <c r="H28" i="27"/>
  <c r="N28" i="27" s="1"/>
  <c r="D28" i="27"/>
  <c r="B28" i="27"/>
  <c r="T27" i="27"/>
  <c r="P27" i="27"/>
  <c r="X27" i="27" s="1"/>
  <c r="H27" i="27"/>
  <c r="D27" i="27"/>
  <c r="L27" i="27" s="1"/>
  <c r="N27" i="27" s="1"/>
  <c r="B27" i="27"/>
  <c r="T26" i="27"/>
  <c r="P26" i="27"/>
  <c r="L26" i="27"/>
  <c r="H26" i="27"/>
  <c r="D26" i="27"/>
  <c r="B26" i="27"/>
  <c r="T25" i="27"/>
  <c r="Z25" i="27" s="1"/>
  <c r="P25" i="27"/>
  <c r="X25" i="27" s="1"/>
  <c r="L25" i="27"/>
  <c r="N25" i="27" s="1"/>
  <c r="H25" i="27"/>
  <c r="D25" i="27"/>
  <c r="B25" i="27"/>
  <c r="Z24" i="27"/>
  <c r="X24" i="27"/>
  <c r="T24" i="27"/>
  <c r="P24" i="27"/>
  <c r="L24" i="27"/>
  <c r="H24" i="27"/>
  <c r="N24" i="27" s="1"/>
  <c r="D24" i="27"/>
  <c r="B24" i="27"/>
  <c r="T23" i="27"/>
  <c r="P23" i="27"/>
  <c r="X23" i="27" s="1"/>
  <c r="H23" i="27"/>
  <c r="L23" i="27" s="1"/>
  <c r="N23" i="27" s="1"/>
  <c r="D23" i="27"/>
  <c r="B23" i="27"/>
  <c r="T22" i="27"/>
  <c r="P22" i="27"/>
  <c r="H22" i="27"/>
  <c r="D22" i="27"/>
  <c r="B22" i="27"/>
  <c r="T21" i="27"/>
  <c r="P21" i="27"/>
  <c r="X21" i="27" s="1"/>
  <c r="L21" i="27"/>
  <c r="N21" i="27" s="1"/>
  <c r="H21" i="27"/>
  <c r="D21" i="27"/>
  <c r="B21" i="27"/>
  <c r="Z20" i="27"/>
  <c r="X20" i="27"/>
  <c r="T20" i="27"/>
  <c r="P20" i="27"/>
  <c r="L20" i="27"/>
  <c r="H20" i="27"/>
  <c r="N20" i="27" s="1"/>
  <c r="D20" i="27"/>
  <c r="B20" i="27"/>
  <c r="T19" i="27"/>
  <c r="P19" i="27"/>
  <c r="N19" i="27"/>
  <c r="L19" i="27"/>
  <c r="H19" i="27"/>
  <c r="D19" i="27"/>
  <c r="B19" i="27"/>
  <c r="T18" i="27"/>
  <c r="P18" i="27"/>
  <c r="L18" i="27"/>
  <c r="H18" i="27"/>
  <c r="D18" i="27"/>
  <c r="B18" i="27"/>
  <c r="T17" i="27"/>
  <c r="P17" i="27"/>
  <c r="X17" i="27" s="1"/>
  <c r="L17" i="27"/>
  <c r="N17" i="27" s="1"/>
  <c r="H17" i="27"/>
  <c r="D17" i="27"/>
  <c r="B17" i="27"/>
  <c r="Z16" i="27"/>
  <c r="X16" i="27"/>
  <c r="T16" i="27"/>
  <c r="P16" i="27"/>
  <c r="L16" i="27"/>
  <c r="H16" i="27"/>
  <c r="N16" i="27" s="1"/>
  <c r="D16" i="27"/>
  <c r="B16" i="27"/>
  <c r="T15" i="27"/>
  <c r="P15" i="27"/>
  <c r="N15" i="27"/>
  <c r="L15" i="27"/>
  <c r="H15" i="27"/>
  <c r="D15" i="27"/>
  <c r="B15" i="27"/>
  <c r="T14" i="27"/>
  <c r="P14" i="27"/>
  <c r="L14" i="27"/>
  <c r="H14" i="27"/>
  <c r="D14" i="27"/>
  <c r="B14" i="27"/>
  <c r="T13" i="27"/>
  <c r="Z13" i="27" s="1"/>
  <c r="P13" i="27"/>
  <c r="X13" i="27" s="1"/>
  <c r="N13" i="27"/>
  <c r="L13" i="27"/>
  <c r="H13" i="27"/>
  <c r="D13" i="27"/>
  <c r="D12" i="27" s="1"/>
  <c r="F70" i="27" s="1"/>
  <c r="B13" i="27"/>
  <c r="D4" i="27"/>
  <c r="Z117" i="24"/>
  <c r="X117" i="24"/>
  <c r="N117" i="24"/>
  <c r="L117" i="24"/>
  <c r="T113" i="24"/>
  <c r="Z113" i="24" s="1"/>
  <c r="P113" i="24"/>
  <c r="X113" i="24" s="1"/>
  <c r="N113" i="24"/>
  <c r="L113" i="24"/>
  <c r="H113" i="24"/>
  <c r="D113" i="24"/>
  <c r="X111" i="24"/>
  <c r="Z111" i="24" s="1"/>
  <c r="L111" i="24"/>
  <c r="N111" i="24" s="1"/>
  <c r="B111" i="24"/>
  <c r="X110" i="24"/>
  <c r="T110" i="24"/>
  <c r="Z110" i="24" s="1"/>
  <c r="P110" i="24"/>
  <c r="L110" i="24"/>
  <c r="H110" i="24"/>
  <c r="D110" i="24"/>
  <c r="B110" i="24"/>
  <c r="Z109" i="24"/>
  <c r="X109" i="24"/>
  <c r="N109" i="24"/>
  <c r="L109" i="24"/>
  <c r="B109" i="24"/>
  <c r="X108" i="24"/>
  <c r="Z108" i="24" s="1"/>
  <c r="L108" i="24"/>
  <c r="N108" i="24" s="1"/>
  <c r="B108" i="24"/>
  <c r="Z107" i="24"/>
  <c r="X107" i="24"/>
  <c r="N107" i="24"/>
  <c r="L107" i="24"/>
  <c r="B107" i="24"/>
  <c r="T106" i="24"/>
  <c r="P106" i="24"/>
  <c r="X106" i="24" s="1"/>
  <c r="H106" i="24"/>
  <c r="D106" i="24"/>
  <c r="L106" i="24" s="1"/>
  <c r="B106" i="24"/>
  <c r="X105" i="24"/>
  <c r="Z105" i="24" s="1"/>
  <c r="N105" i="24"/>
  <c r="L105" i="24"/>
  <c r="B105" i="24"/>
  <c r="T104" i="24"/>
  <c r="P104" i="24"/>
  <c r="X104" i="24" s="1"/>
  <c r="N104" i="24"/>
  <c r="L104" i="24"/>
  <c r="H104" i="24"/>
  <c r="D104" i="24"/>
  <c r="B104" i="24"/>
  <c r="X103" i="24"/>
  <c r="Z103" i="24" s="1"/>
  <c r="N103" i="24"/>
  <c r="L103" i="24"/>
  <c r="B103" i="24"/>
  <c r="X102" i="24"/>
  <c r="Z102" i="24" s="1"/>
  <c r="N102" i="24"/>
  <c r="L102" i="24"/>
  <c r="B102" i="24"/>
  <c r="T101" i="24"/>
  <c r="P101" i="24"/>
  <c r="X101" i="24" s="1"/>
  <c r="Z101" i="24" s="1"/>
  <c r="H101" i="24"/>
  <c r="D101" i="24"/>
  <c r="L101" i="24" s="1"/>
  <c r="B101" i="24"/>
  <c r="X100" i="24"/>
  <c r="Z100" i="24" s="1"/>
  <c r="L100" i="24"/>
  <c r="N100" i="24" s="1"/>
  <c r="B100" i="24"/>
  <c r="Z99" i="24"/>
  <c r="X99" i="24"/>
  <c r="N99" i="24"/>
  <c r="L99" i="24"/>
  <c r="B99" i="24"/>
  <c r="T98" i="24"/>
  <c r="P98" i="24"/>
  <c r="X98" i="24" s="1"/>
  <c r="H98" i="24"/>
  <c r="N98" i="24" s="1"/>
  <c r="D98" i="24"/>
  <c r="L98" i="24" s="1"/>
  <c r="B98" i="24"/>
  <c r="X97" i="24"/>
  <c r="Z97" i="24" s="1"/>
  <c r="N97" i="24"/>
  <c r="L97" i="24"/>
  <c r="B97" i="24"/>
  <c r="T96" i="24"/>
  <c r="Z96" i="24" s="1"/>
  <c r="P96" i="24"/>
  <c r="X96" i="24" s="1"/>
  <c r="N96" i="24"/>
  <c r="L96" i="24"/>
  <c r="H96" i="24"/>
  <c r="D96" i="24"/>
  <c r="B96" i="24"/>
  <c r="X95" i="24"/>
  <c r="Z95" i="24" s="1"/>
  <c r="N95" i="24"/>
  <c r="L95" i="24"/>
  <c r="B95" i="24"/>
  <c r="X94" i="24"/>
  <c r="T94" i="24"/>
  <c r="Z94" i="24" s="1"/>
  <c r="P94" i="24"/>
  <c r="N94" i="24"/>
  <c r="L94" i="24"/>
  <c r="H94" i="24"/>
  <c r="D94" i="24"/>
  <c r="B94" i="24"/>
  <c r="Z93" i="24"/>
  <c r="X93" i="24"/>
  <c r="L93" i="24"/>
  <c r="N93" i="24" s="1"/>
  <c r="B93" i="24"/>
  <c r="X92" i="24"/>
  <c r="Z92" i="24" s="1"/>
  <c r="L92" i="24"/>
  <c r="N92" i="24" s="1"/>
  <c r="B92" i="24"/>
  <c r="Z91" i="24"/>
  <c r="X91" i="24"/>
  <c r="T91" i="24"/>
  <c r="P91" i="24"/>
  <c r="H91" i="24"/>
  <c r="D91" i="24"/>
  <c r="L91" i="24" s="1"/>
  <c r="B91" i="24"/>
  <c r="Z90" i="24"/>
  <c r="X90" i="24"/>
  <c r="L90" i="24"/>
  <c r="N90" i="24" s="1"/>
  <c r="B90" i="24"/>
  <c r="T89" i="24"/>
  <c r="P89" i="24"/>
  <c r="H89" i="24"/>
  <c r="D89" i="24"/>
  <c r="L89" i="24" s="1"/>
  <c r="N89" i="24" s="1"/>
  <c r="B89" i="24"/>
  <c r="X88" i="24"/>
  <c r="Z88" i="24" s="1"/>
  <c r="L88" i="24"/>
  <c r="N88" i="24" s="1"/>
  <c r="B88" i="24"/>
  <c r="X87" i="24"/>
  <c r="T87" i="24"/>
  <c r="P87" i="24"/>
  <c r="H87" i="24"/>
  <c r="D87" i="24"/>
  <c r="L87" i="24" s="1"/>
  <c r="N87" i="24" s="1"/>
  <c r="B87" i="24"/>
  <c r="Z86" i="24"/>
  <c r="X86" i="24"/>
  <c r="N86" i="24"/>
  <c r="L86" i="24"/>
  <c r="B86" i="24"/>
  <c r="Z85" i="24"/>
  <c r="X85" i="24"/>
  <c r="N85" i="24"/>
  <c r="L85" i="24"/>
  <c r="B85" i="24"/>
  <c r="Z84" i="24"/>
  <c r="X84" i="24"/>
  <c r="N84" i="24"/>
  <c r="L84" i="24"/>
  <c r="B84" i="24"/>
  <c r="Z83" i="24"/>
  <c r="X83" i="24"/>
  <c r="N83" i="24"/>
  <c r="L83" i="24"/>
  <c r="B83" i="24"/>
  <c r="Z82" i="24"/>
  <c r="T82" i="24"/>
  <c r="P82" i="24"/>
  <c r="X82" i="24" s="1"/>
  <c r="H82" i="24"/>
  <c r="N82" i="24" s="1"/>
  <c r="D82" i="24"/>
  <c r="L82" i="24" s="1"/>
  <c r="B82" i="24"/>
  <c r="X81" i="24"/>
  <c r="Z81" i="24" s="1"/>
  <c r="N81" i="24"/>
  <c r="L81" i="24"/>
  <c r="B81" i="24"/>
  <c r="X80" i="24"/>
  <c r="Z80" i="24" s="1"/>
  <c r="N80" i="24"/>
  <c r="L80" i="24"/>
  <c r="B80" i="24"/>
  <c r="Z79" i="24"/>
  <c r="X79" i="24"/>
  <c r="L79" i="24"/>
  <c r="N79" i="24" s="1"/>
  <c r="B79" i="24"/>
  <c r="Z78" i="24"/>
  <c r="X78" i="24"/>
  <c r="L78" i="24"/>
  <c r="N78" i="24" s="1"/>
  <c r="B78" i="24"/>
  <c r="X77" i="24"/>
  <c r="Z77" i="24" s="1"/>
  <c r="N77" i="24"/>
  <c r="L77" i="24"/>
  <c r="B77" i="24"/>
  <c r="X76" i="24"/>
  <c r="Z76" i="24" s="1"/>
  <c r="L76" i="24"/>
  <c r="N76" i="24" s="1"/>
  <c r="B76" i="24"/>
  <c r="Z75" i="24"/>
  <c r="X75" i="24"/>
  <c r="L75" i="24"/>
  <c r="N75" i="24" s="1"/>
  <c r="B75" i="24"/>
  <c r="Z74" i="24"/>
  <c r="X74" i="24"/>
  <c r="L74" i="24"/>
  <c r="N74" i="24" s="1"/>
  <c r="B74" i="24"/>
  <c r="T73" i="24"/>
  <c r="X73" i="24" s="1"/>
  <c r="P73" i="24"/>
  <c r="H73" i="24"/>
  <c r="D73" i="24"/>
  <c r="L73" i="24" s="1"/>
  <c r="N73" i="24" s="1"/>
  <c r="B73" i="24"/>
  <c r="T72" i="24"/>
  <c r="P72" i="24"/>
  <c r="L72" i="24"/>
  <c r="H72" i="24"/>
  <c r="N72" i="24" s="1"/>
  <c r="D72" i="24"/>
  <c r="Z68" i="24"/>
  <c r="X68" i="24"/>
  <c r="L68" i="24"/>
  <c r="N68" i="24" s="1"/>
  <c r="B68" i="24"/>
  <c r="X67" i="24"/>
  <c r="Z67" i="24" s="1"/>
  <c r="L67" i="24"/>
  <c r="N67" i="24" s="1"/>
  <c r="B67" i="24"/>
  <c r="X66" i="24"/>
  <c r="Z66" i="24" s="1"/>
  <c r="N66" i="24"/>
  <c r="L66" i="24"/>
  <c r="B66" i="24"/>
  <c r="Z65" i="24"/>
  <c r="X65" i="24"/>
  <c r="N65" i="24"/>
  <c r="L65" i="24"/>
  <c r="B65" i="24"/>
  <c r="Z64" i="24"/>
  <c r="X64" i="24"/>
  <c r="L64" i="24"/>
  <c r="N64" i="24" s="1"/>
  <c r="B64" i="24"/>
  <c r="X63" i="24"/>
  <c r="Z63" i="24" s="1"/>
  <c r="L63" i="24"/>
  <c r="N63" i="24" s="1"/>
  <c r="B63" i="24"/>
  <c r="X62" i="24"/>
  <c r="Z62" i="24" s="1"/>
  <c r="N62" i="24"/>
  <c r="L62" i="24"/>
  <c r="B62" i="24"/>
  <c r="Z61" i="24"/>
  <c r="X61" i="24"/>
  <c r="N61" i="24"/>
  <c r="L61" i="24"/>
  <c r="B61" i="24"/>
  <c r="Z60" i="24"/>
  <c r="X60" i="24"/>
  <c r="L60" i="24"/>
  <c r="N60" i="24" s="1"/>
  <c r="B60" i="24"/>
  <c r="X59" i="24"/>
  <c r="Z59" i="24" s="1"/>
  <c r="L59" i="24"/>
  <c r="N59" i="24" s="1"/>
  <c r="B59" i="24"/>
  <c r="X58" i="24"/>
  <c r="Z58" i="24" s="1"/>
  <c r="N58" i="24"/>
  <c r="L58" i="24"/>
  <c r="B58" i="24"/>
  <c r="Z57" i="24"/>
  <c r="X57" i="24"/>
  <c r="N57" i="24"/>
  <c r="L57" i="24"/>
  <c r="B57" i="24"/>
  <c r="Z56" i="24"/>
  <c r="X56" i="24"/>
  <c r="L56" i="24"/>
  <c r="N56" i="24" s="1"/>
  <c r="B56" i="24"/>
  <c r="X55" i="24"/>
  <c r="Z55" i="24" s="1"/>
  <c r="L55" i="24"/>
  <c r="N55" i="24" s="1"/>
  <c r="B55" i="24"/>
  <c r="X54" i="24"/>
  <c r="Z54" i="24" s="1"/>
  <c r="N54" i="24"/>
  <c r="L54" i="24"/>
  <c r="B54" i="24"/>
  <c r="Z53" i="24"/>
  <c r="X53" i="24"/>
  <c r="N53" i="24"/>
  <c r="L53" i="24"/>
  <c r="B53" i="24"/>
  <c r="Z52" i="24"/>
  <c r="X52" i="24"/>
  <c r="L52" i="24"/>
  <c r="N52" i="24" s="1"/>
  <c r="B52" i="24"/>
  <c r="X51" i="24"/>
  <c r="Z51" i="24" s="1"/>
  <c r="L51" i="24"/>
  <c r="N51" i="24" s="1"/>
  <c r="B51" i="24"/>
  <c r="X50" i="24"/>
  <c r="Z50" i="24" s="1"/>
  <c r="N50" i="24"/>
  <c r="L50" i="24"/>
  <c r="B50" i="24"/>
  <c r="Z49" i="24"/>
  <c r="X49" i="24"/>
  <c r="N49" i="24"/>
  <c r="L49" i="24"/>
  <c r="B49" i="24"/>
  <c r="Z48" i="24"/>
  <c r="X48" i="24"/>
  <c r="L48" i="24"/>
  <c r="N48" i="24" s="1"/>
  <c r="B48" i="24"/>
  <c r="T47" i="24"/>
  <c r="P47" i="24"/>
  <c r="X47" i="24" s="1"/>
  <c r="H47" i="24"/>
  <c r="D47" i="24"/>
  <c r="L47" i="24" s="1"/>
  <c r="N47" i="24" s="1"/>
  <c r="X45" i="24"/>
  <c r="T45" i="24"/>
  <c r="P45" i="24"/>
  <c r="N45" i="24"/>
  <c r="L45" i="24"/>
  <c r="H45" i="24"/>
  <c r="D45" i="24"/>
  <c r="B45" i="24"/>
  <c r="X44" i="24"/>
  <c r="T44" i="24"/>
  <c r="Z44" i="24" s="1"/>
  <c r="P44" i="24"/>
  <c r="H44" i="24"/>
  <c r="D44" i="24"/>
  <c r="B44" i="24"/>
  <c r="Z43" i="24"/>
  <c r="T43" i="24"/>
  <c r="X43" i="24" s="1"/>
  <c r="P43" i="24"/>
  <c r="H43" i="24"/>
  <c r="D43" i="24"/>
  <c r="L43" i="24" s="1"/>
  <c r="N43" i="24" s="1"/>
  <c r="B43" i="24"/>
  <c r="T42" i="24"/>
  <c r="P42" i="24"/>
  <c r="X42" i="24" s="1"/>
  <c r="L42" i="24"/>
  <c r="N42" i="24" s="1"/>
  <c r="H42" i="24"/>
  <c r="D42" i="24"/>
  <c r="B42" i="24"/>
  <c r="X41" i="24"/>
  <c r="T41" i="24"/>
  <c r="Z41" i="24" s="1"/>
  <c r="P41" i="24"/>
  <c r="H41" i="24"/>
  <c r="L41" i="24" s="1"/>
  <c r="N41" i="24" s="1"/>
  <c r="D41" i="24"/>
  <c r="B41" i="24"/>
  <c r="X40" i="24"/>
  <c r="T40" i="24"/>
  <c r="Z40" i="24" s="1"/>
  <c r="P40" i="24"/>
  <c r="H40" i="24"/>
  <c r="D40" i="24"/>
  <c r="L40" i="24" s="1"/>
  <c r="N40" i="24" s="1"/>
  <c r="B40" i="24"/>
  <c r="Z39" i="24"/>
  <c r="T39" i="24"/>
  <c r="X39" i="24" s="1"/>
  <c r="P39" i="24"/>
  <c r="H39" i="24"/>
  <c r="D39" i="24"/>
  <c r="L39" i="24" s="1"/>
  <c r="N39" i="24" s="1"/>
  <c r="B39" i="24"/>
  <c r="X38" i="24"/>
  <c r="T38" i="24"/>
  <c r="Z38" i="24" s="1"/>
  <c r="P38" i="24"/>
  <c r="L38" i="24"/>
  <c r="N38" i="24" s="1"/>
  <c r="H38" i="24"/>
  <c r="D38" i="24"/>
  <c r="B38" i="24"/>
  <c r="T37" i="24"/>
  <c r="Z37" i="24" s="1"/>
  <c r="P37" i="24"/>
  <c r="X37" i="24" s="1"/>
  <c r="H37" i="24"/>
  <c r="L37" i="24" s="1"/>
  <c r="D37" i="24"/>
  <c r="B37" i="24"/>
  <c r="X36" i="24"/>
  <c r="T36" i="24"/>
  <c r="Z36" i="24" s="1"/>
  <c r="P36" i="24"/>
  <c r="H36" i="24"/>
  <c r="N36" i="24" s="1"/>
  <c r="D36" i="24"/>
  <c r="L36" i="24" s="1"/>
  <c r="B36" i="24"/>
  <c r="Z35" i="24"/>
  <c r="T35" i="24"/>
  <c r="X35" i="24" s="1"/>
  <c r="P35" i="24"/>
  <c r="H35" i="24"/>
  <c r="D35" i="24"/>
  <c r="L35" i="24" s="1"/>
  <c r="N35" i="24" s="1"/>
  <c r="B35" i="24"/>
  <c r="X34" i="24"/>
  <c r="T34" i="24"/>
  <c r="Z34" i="24" s="1"/>
  <c r="P34" i="24"/>
  <c r="L34" i="24"/>
  <c r="N34" i="24" s="1"/>
  <c r="H34" i="24"/>
  <c r="D34" i="24"/>
  <c r="B34" i="24"/>
  <c r="X33" i="24"/>
  <c r="T33" i="24"/>
  <c r="P33" i="24"/>
  <c r="H33" i="24"/>
  <c r="D33" i="24"/>
  <c r="B33" i="24"/>
  <c r="X32" i="24"/>
  <c r="T32" i="24"/>
  <c r="Z32" i="24" s="1"/>
  <c r="P32" i="24"/>
  <c r="H32" i="24"/>
  <c r="D32" i="24"/>
  <c r="B32" i="24"/>
  <c r="Z31" i="24"/>
  <c r="T31" i="24"/>
  <c r="X31" i="24" s="1"/>
  <c r="P31" i="24"/>
  <c r="H31" i="24"/>
  <c r="D31" i="24"/>
  <c r="L31" i="24" s="1"/>
  <c r="N31" i="24" s="1"/>
  <c r="B31" i="24"/>
  <c r="T30" i="24"/>
  <c r="P30" i="24"/>
  <c r="X30" i="24" s="1"/>
  <c r="Z30" i="24" s="1"/>
  <c r="L30" i="24"/>
  <c r="N30" i="24" s="1"/>
  <c r="H30" i="24"/>
  <c r="D30" i="24"/>
  <c r="B30" i="24"/>
  <c r="X29" i="24"/>
  <c r="T29" i="24"/>
  <c r="P29" i="24"/>
  <c r="N29" i="24"/>
  <c r="L29" i="24"/>
  <c r="H29" i="24"/>
  <c r="D29" i="24"/>
  <c r="B29" i="24"/>
  <c r="T28" i="24"/>
  <c r="P28" i="24"/>
  <c r="H28" i="24"/>
  <c r="D28" i="24"/>
  <c r="L28" i="24" s="1"/>
  <c r="N28" i="24" s="1"/>
  <c r="B28" i="24"/>
  <c r="T27" i="24"/>
  <c r="X27" i="24" s="1"/>
  <c r="Z27" i="24" s="1"/>
  <c r="P27" i="24"/>
  <c r="H27" i="24"/>
  <c r="D27" i="24"/>
  <c r="L27" i="24" s="1"/>
  <c r="N27" i="24" s="1"/>
  <c r="B27" i="24"/>
  <c r="T26" i="24"/>
  <c r="P26" i="24"/>
  <c r="L26" i="24"/>
  <c r="N26" i="24" s="1"/>
  <c r="H26" i="24"/>
  <c r="D26" i="24"/>
  <c r="B26" i="24"/>
  <c r="X25" i="24"/>
  <c r="T25" i="24"/>
  <c r="P25" i="24"/>
  <c r="N25" i="24"/>
  <c r="L25" i="24"/>
  <c r="H25" i="24"/>
  <c r="D25" i="24"/>
  <c r="B25" i="24"/>
  <c r="T24" i="24"/>
  <c r="P24" i="24"/>
  <c r="H24" i="24"/>
  <c r="D24" i="24"/>
  <c r="B24" i="24"/>
  <c r="T23" i="24"/>
  <c r="X23" i="24" s="1"/>
  <c r="P23" i="24"/>
  <c r="H23" i="24"/>
  <c r="D23" i="24"/>
  <c r="L23" i="24" s="1"/>
  <c r="N23" i="24" s="1"/>
  <c r="B23" i="24"/>
  <c r="T22" i="24"/>
  <c r="P22" i="24"/>
  <c r="X22" i="24" s="1"/>
  <c r="Z22" i="24" s="1"/>
  <c r="L22" i="24"/>
  <c r="N22" i="24" s="1"/>
  <c r="H22" i="24"/>
  <c r="D22" i="24"/>
  <c r="B22" i="24"/>
  <c r="T21" i="24"/>
  <c r="P21" i="24"/>
  <c r="X21" i="24" s="1"/>
  <c r="L21" i="24"/>
  <c r="H21" i="24"/>
  <c r="N21" i="24" s="1"/>
  <c r="D21" i="24"/>
  <c r="B21" i="24"/>
  <c r="T20" i="24"/>
  <c r="P20" i="24"/>
  <c r="H20" i="24"/>
  <c r="D20" i="24"/>
  <c r="B20" i="24"/>
  <c r="Z19" i="24"/>
  <c r="T19" i="24"/>
  <c r="X19" i="24" s="1"/>
  <c r="P19" i="24"/>
  <c r="H19" i="24"/>
  <c r="D19" i="24"/>
  <c r="L19" i="24" s="1"/>
  <c r="N19" i="24" s="1"/>
  <c r="B19" i="24"/>
  <c r="T18" i="24"/>
  <c r="P18" i="24"/>
  <c r="X18" i="24" s="1"/>
  <c r="Z18" i="24" s="1"/>
  <c r="L18" i="24"/>
  <c r="N18" i="24" s="1"/>
  <c r="H18" i="24"/>
  <c r="D18" i="24"/>
  <c r="B18" i="24"/>
  <c r="X17" i="24"/>
  <c r="T17" i="24"/>
  <c r="P17" i="24"/>
  <c r="N17" i="24"/>
  <c r="L17" i="24"/>
  <c r="H17" i="24"/>
  <c r="D17" i="24"/>
  <c r="B17" i="24"/>
  <c r="T16" i="24"/>
  <c r="P16" i="24"/>
  <c r="H16" i="24"/>
  <c r="N16" i="24" s="1"/>
  <c r="D16" i="24"/>
  <c r="L16" i="24" s="1"/>
  <c r="B16" i="24"/>
  <c r="Z15" i="24"/>
  <c r="T15" i="24"/>
  <c r="X15" i="24" s="1"/>
  <c r="P15" i="24"/>
  <c r="N15" i="24"/>
  <c r="L15" i="24"/>
  <c r="H15" i="24"/>
  <c r="D15" i="24"/>
  <c r="B15" i="24"/>
  <c r="X14" i="24"/>
  <c r="T14" i="24"/>
  <c r="Z14" i="24" s="1"/>
  <c r="P14" i="24"/>
  <c r="L14" i="24"/>
  <c r="N14" i="24" s="1"/>
  <c r="H14" i="24"/>
  <c r="D14" i="24"/>
  <c r="B14" i="24"/>
  <c r="X13" i="24"/>
  <c r="T13" i="24"/>
  <c r="Z13" i="24" s="1"/>
  <c r="P13" i="24"/>
  <c r="H13" i="24"/>
  <c r="H12" i="24" s="1"/>
  <c r="D13" i="24"/>
  <c r="B13" i="24"/>
  <c r="T12" i="24"/>
  <c r="V72" i="24" s="1"/>
  <c r="D4" i="24"/>
  <c r="Z100" i="21"/>
  <c r="X100" i="21"/>
  <c r="N100" i="21"/>
  <c r="L100" i="21"/>
  <c r="Z96" i="21"/>
  <c r="T96" i="21"/>
  <c r="X96" i="21" s="1"/>
  <c r="P96" i="21"/>
  <c r="N96" i="21"/>
  <c r="H96" i="21"/>
  <c r="D96" i="21"/>
  <c r="L96" i="21" s="1"/>
  <c r="Z94" i="21"/>
  <c r="X94" i="21"/>
  <c r="N94" i="21"/>
  <c r="L94" i="21"/>
  <c r="B94" i="21"/>
  <c r="T93" i="21"/>
  <c r="P93" i="21"/>
  <c r="H93" i="21"/>
  <c r="D93" i="21"/>
  <c r="L93" i="21" s="1"/>
  <c r="N93" i="21" s="1"/>
  <c r="B93" i="21"/>
  <c r="X92" i="21"/>
  <c r="Z92" i="21" s="1"/>
  <c r="L92" i="21"/>
  <c r="N92" i="21" s="1"/>
  <c r="B92" i="21"/>
  <c r="X91" i="21"/>
  <c r="T91" i="21"/>
  <c r="Z91" i="21" s="1"/>
  <c r="R91" i="21"/>
  <c r="P91" i="21"/>
  <c r="H91" i="21"/>
  <c r="N91" i="21" s="1"/>
  <c r="D91" i="21"/>
  <c r="L91" i="21" s="1"/>
  <c r="B91" i="21"/>
  <c r="Z90" i="21"/>
  <c r="X90" i="21"/>
  <c r="R90" i="21"/>
  <c r="N90" i="21"/>
  <c r="L90" i="21"/>
  <c r="B90" i="21"/>
  <c r="T89" i="21"/>
  <c r="P89" i="21"/>
  <c r="N89" i="21"/>
  <c r="L89" i="21"/>
  <c r="H89" i="21"/>
  <c r="D89" i="21"/>
  <c r="B89" i="21"/>
  <c r="Z88" i="21"/>
  <c r="X88" i="21"/>
  <c r="L88" i="21"/>
  <c r="N88" i="21" s="1"/>
  <c r="B88" i="21"/>
  <c r="Z87" i="21"/>
  <c r="X87" i="21"/>
  <c r="L87" i="21"/>
  <c r="N87" i="21" s="1"/>
  <c r="B87" i="21"/>
  <c r="Z86" i="21"/>
  <c r="X86" i="21"/>
  <c r="N86" i="21"/>
  <c r="L86" i="21"/>
  <c r="B86" i="21"/>
  <c r="X85" i="21"/>
  <c r="Z85" i="21" s="1"/>
  <c r="L85" i="21"/>
  <c r="N85" i="21" s="1"/>
  <c r="B85" i="21"/>
  <c r="Z84" i="21"/>
  <c r="X84" i="21"/>
  <c r="L84" i="21"/>
  <c r="N84" i="21" s="1"/>
  <c r="B84" i="21"/>
  <c r="Z83" i="21"/>
  <c r="X83" i="21"/>
  <c r="N83" i="21"/>
  <c r="L83" i="21"/>
  <c r="B83" i="21"/>
  <c r="Z82" i="21"/>
  <c r="X82" i="21"/>
  <c r="N82" i="21"/>
  <c r="L82" i="21"/>
  <c r="B82" i="21"/>
  <c r="T81" i="21"/>
  <c r="Z81" i="21" s="1"/>
  <c r="P81" i="21"/>
  <c r="X81" i="21" s="1"/>
  <c r="H81" i="21"/>
  <c r="D81" i="21"/>
  <c r="L81" i="21" s="1"/>
  <c r="B81" i="21"/>
  <c r="X80" i="21"/>
  <c r="Z80" i="21" s="1"/>
  <c r="N80" i="21"/>
  <c r="L80" i="21"/>
  <c r="B80" i="21"/>
  <c r="X79" i="21"/>
  <c r="T79" i="21"/>
  <c r="Z79" i="21" s="1"/>
  <c r="R79" i="21"/>
  <c r="P79" i="21"/>
  <c r="H79" i="21"/>
  <c r="N79" i="21" s="1"/>
  <c r="D79" i="21"/>
  <c r="L79" i="21" s="1"/>
  <c r="B79" i="21"/>
  <c r="Z78" i="21"/>
  <c r="X78" i="21"/>
  <c r="R78" i="21"/>
  <c r="N78" i="21"/>
  <c r="L78" i="21"/>
  <c r="B78" i="21"/>
  <c r="X77" i="21"/>
  <c r="Z77" i="21" s="1"/>
  <c r="L77" i="21"/>
  <c r="N77" i="21" s="1"/>
  <c r="B77" i="21"/>
  <c r="Z76" i="21"/>
  <c r="X76" i="21"/>
  <c r="N76" i="21"/>
  <c r="L76" i="21"/>
  <c r="B76" i="21"/>
  <c r="Z75" i="21"/>
  <c r="X75" i="21"/>
  <c r="L75" i="21"/>
  <c r="N75" i="21" s="1"/>
  <c r="B75" i="21"/>
  <c r="T74" i="21"/>
  <c r="P74" i="21"/>
  <c r="N74" i="21"/>
  <c r="L74" i="21"/>
  <c r="H74" i="21"/>
  <c r="D74" i="21"/>
  <c r="B74" i="21"/>
  <c r="X73" i="21"/>
  <c r="Z73" i="21" s="1"/>
  <c r="L73" i="21"/>
  <c r="N73" i="21" s="1"/>
  <c r="B73" i="21"/>
  <c r="T72" i="21"/>
  <c r="P72" i="21"/>
  <c r="X72" i="21" s="1"/>
  <c r="Z72" i="21" s="1"/>
  <c r="H72" i="21"/>
  <c r="D72" i="21"/>
  <c r="L72" i="21" s="1"/>
  <c r="N72" i="21" s="1"/>
  <c r="B72" i="21"/>
  <c r="X71" i="21"/>
  <c r="Z71" i="21" s="1"/>
  <c r="N71" i="21"/>
  <c r="L71" i="21"/>
  <c r="B71" i="21"/>
  <c r="Z70" i="21"/>
  <c r="X70" i="21"/>
  <c r="N70" i="21"/>
  <c r="L70" i="21"/>
  <c r="B70" i="21"/>
  <c r="X69" i="21"/>
  <c r="Z69" i="21" s="1"/>
  <c r="L69" i="21"/>
  <c r="N69" i="21" s="1"/>
  <c r="B69" i="21"/>
  <c r="X68" i="21"/>
  <c r="Z68" i="21" s="1"/>
  <c r="T68" i="21"/>
  <c r="P68" i="21"/>
  <c r="N68" i="21"/>
  <c r="L68" i="21"/>
  <c r="H68" i="21"/>
  <c r="D68" i="21"/>
  <c r="B68" i="21"/>
  <c r="Z67" i="21"/>
  <c r="X67" i="21"/>
  <c r="N67" i="21"/>
  <c r="L67" i="21"/>
  <c r="B67" i="21"/>
  <c r="T66" i="21"/>
  <c r="P66" i="21"/>
  <c r="X66" i="21" s="1"/>
  <c r="L66" i="21"/>
  <c r="N66" i="21" s="1"/>
  <c r="H66" i="21"/>
  <c r="D66" i="21"/>
  <c r="B66" i="21"/>
  <c r="X65" i="21"/>
  <c r="Z65" i="21" s="1"/>
  <c r="L65" i="21"/>
  <c r="N65" i="21" s="1"/>
  <c r="B65" i="21"/>
  <c r="T64" i="21"/>
  <c r="P64" i="21"/>
  <c r="X64" i="21" s="1"/>
  <c r="Z64" i="21" s="1"/>
  <c r="H64" i="21"/>
  <c r="D64" i="21"/>
  <c r="L64" i="21" s="1"/>
  <c r="N64" i="21" s="1"/>
  <c r="B64" i="21"/>
  <c r="X63" i="21"/>
  <c r="Z63" i="21" s="1"/>
  <c r="N63" i="21"/>
  <c r="L63" i="21"/>
  <c r="B63" i="21"/>
  <c r="Z62" i="21"/>
  <c r="X62" i="21"/>
  <c r="T62" i="21"/>
  <c r="R62" i="21"/>
  <c r="P62" i="21"/>
  <c r="L62" i="21"/>
  <c r="N62" i="21" s="1"/>
  <c r="H62" i="21"/>
  <c r="D62" i="21"/>
  <c r="B62" i="21"/>
  <c r="X61" i="21"/>
  <c r="Z61" i="21" s="1"/>
  <c r="R61" i="21"/>
  <c r="L61" i="21"/>
  <c r="N61" i="21" s="1"/>
  <c r="J61" i="21"/>
  <c r="B61" i="21"/>
  <c r="X60" i="21"/>
  <c r="Z60" i="21" s="1"/>
  <c r="T60" i="21"/>
  <c r="P60" i="21"/>
  <c r="H60" i="21"/>
  <c r="D60" i="21"/>
  <c r="L60" i="21" s="1"/>
  <c r="B60" i="21"/>
  <c r="Z59" i="21"/>
  <c r="X59" i="21"/>
  <c r="L59" i="21"/>
  <c r="N59" i="21" s="1"/>
  <c r="B59" i="21"/>
  <c r="T58" i="21"/>
  <c r="P58" i="21"/>
  <c r="X58" i="21" s="1"/>
  <c r="Z58" i="21" s="1"/>
  <c r="H58" i="21"/>
  <c r="D58" i="21"/>
  <c r="L58" i="21" s="1"/>
  <c r="N58" i="21" s="1"/>
  <c r="B58" i="21"/>
  <c r="X57" i="21"/>
  <c r="Z57" i="21" s="1"/>
  <c r="L57" i="21"/>
  <c r="N57" i="21" s="1"/>
  <c r="B57" i="21"/>
  <c r="X56" i="21"/>
  <c r="Z56" i="21" s="1"/>
  <c r="T56" i="21"/>
  <c r="P56" i="21"/>
  <c r="N56" i="21"/>
  <c r="L56" i="21"/>
  <c r="H56" i="21"/>
  <c r="D56" i="21"/>
  <c r="B56" i="21"/>
  <c r="Z55" i="21"/>
  <c r="X55" i="21"/>
  <c r="N55" i="21"/>
  <c r="L55" i="21"/>
  <c r="B55" i="21"/>
  <c r="T54" i="21"/>
  <c r="P54" i="21"/>
  <c r="X54" i="21" s="1"/>
  <c r="L54" i="21"/>
  <c r="N54" i="21" s="1"/>
  <c r="H54" i="21"/>
  <c r="D54" i="21"/>
  <c r="B54" i="21"/>
  <c r="X53" i="21"/>
  <c r="Z53" i="21" s="1"/>
  <c r="L53" i="21"/>
  <c r="N53" i="21" s="1"/>
  <c r="B53" i="21"/>
  <c r="Z52" i="21"/>
  <c r="X52" i="21"/>
  <c r="L52" i="21"/>
  <c r="N52" i="21" s="1"/>
  <c r="B52" i="21"/>
  <c r="T51" i="21"/>
  <c r="P51" i="21"/>
  <c r="X51" i="21" s="1"/>
  <c r="Z51" i="21" s="1"/>
  <c r="H51" i="21"/>
  <c r="D51" i="21"/>
  <c r="L51" i="21" s="1"/>
  <c r="B51" i="21"/>
  <c r="Z50" i="21"/>
  <c r="X50" i="21"/>
  <c r="N50" i="21"/>
  <c r="L50" i="21"/>
  <c r="B50" i="21"/>
  <c r="X49" i="21"/>
  <c r="T49" i="21"/>
  <c r="Z49" i="21" s="1"/>
  <c r="P49" i="21"/>
  <c r="L49" i="21"/>
  <c r="H49" i="21"/>
  <c r="N49" i="21" s="1"/>
  <c r="F49" i="21"/>
  <c r="D49" i="21"/>
  <c r="B49" i="21"/>
  <c r="X48" i="21"/>
  <c r="Z48" i="21" s="1"/>
  <c r="N48" i="21"/>
  <c r="L48" i="21"/>
  <c r="B48" i="21"/>
  <c r="Z47" i="21"/>
  <c r="X47" i="21"/>
  <c r="T47" i="21"/>
  <c r="P47" i="21"/>
  <c r="H47" i="21"/>
  <c r="D47" i="21"/>
  <c r="B47" i="21"/>
  <c r="Z46" i="21"/>
  <c r="X46" i="21"/>
  <c r="N46" i="21"/>
  <c r="L46" i="21"/>
  <c r="B46" i="21"/>
  <c r="T45" i="21"/>
  <c r="Z45" i="21" s="1"/>
  <c r="P45" i="21"/>
  <c r="X45" i="21" s="1"/>
  <c r="H45" i="21"/>
  <c r="D45" i="21"/>
  <c r="L45" i="21" s="1"/>
  <c r="N45" i="21" s="1"/>
  <c r="B45" i="21"/>
  <c r="X44" i="21"/>
  <c r="Z44" i="21" s="1"/>
  <c r="L44" i="21"/>
  <c r="N44" i="21" s="1"/>
  <c r="B44" i="21"/>
  <c r="X43" i="21"/>
  <c r="Z43" i="21" s="1"/>
  <c r="N43" i="21"/>
  <c r="L43" i="21"/>
  <c r="B43" i="21"/>
  <c r="Z42" i="21"/>
  <c r="X42" i="21"/>
  <c r="N42" i="21"/>
  <c r="L42" i="21"/>
  <c r="F42" i="21"/>
  <c r="B42" i="21"/>
  <c r="X41" i="21"/>
  <c r="Z41" i="21" s="1"/>
  <c r="L41" i="21"/>
  <c r="N41" i="21" s="1"/>
  <c r="B41" i="21"/>
  <c r="X40" i="21"/>
  <c r="Z40" i="21" s="1"/>
  <c r="N40" i="21"/>
  <c r="L40" i="21"/>
  <c r="B40" i="21"/>
  <c r="X39" i="21"/>
  <c r="Z39" i="21" s="1"/>
  <c r="N39" i="21"/>
  <c r="L39" i="21"/>
  <c r="B39" i="21"/>
  <c r="Z38" i="21"/>
  <c r="X38" i="21"/>
  <c r="T38" i="21"/>
  <c r="R38" i="21"/>
  <c r="P38" i="21"/>
  <c r="L38" i="21"/>
  <c r="N38" i="21" s="1"/>
  <c r="H38" i="21"/>
  <c r="D38" i="21"/>
  <c r="B38" i="21"/>
  <c r="X37" i="21"/>
  <c r="Z37" i="21" s="1"/>
  <c r="R37" i="21"/>
  <c r="L37" i="21"/>
  <c r="N37" i="21" s="1"/>
  <c r="J37" i="21"/>
  <c r="B37" i="21"/>
  <c r="X36" i="21"/>
  <c r="Z36" i="21" s="1"/>
  <c r="N36" i="21"/>
  <c r="L36" i="21"/>
  <c r="B36" i="21"/>
  <c r="Z35" i="21"/>
  <c r="X35" i="21"/>
  <c r="N35" i="21"/>
  <c r="L35" i="21"/>
  <c r="B35" i="21"/>
  <c r="Z34" i="21"/>
  <c r="X34" i="21"/>
  <c r="R34" i="21"/>
  <c r="N34" i="21"/>
  <c r="L34" i="21"/>
  <c r="B34" i="21"/>
  <c r="X33" i="21"/>
  <c r="Z33" i="21" s="1"/>
  <c r="R33" i="21"/>
  <c r="L33" i="21"/>
  <c r="N33" i="21" s="1"/>
  <c r="B33" i="21"/>
  <c r="X32" i="21"/>
  <c r="Z32" i="21" s="1"/>
  <c r="N32" i="21"/>
  <c r="L32" i="21"/>
  <c r="B32" i="21"/>
  <c r="Z31" i="21"/>
  <c r="X31" i="21"/>
  <c r="N31" i="21"/>
  <c r="L31" i="21"/>
  <c r="B31" i="21"/>
  <c r="Z30" i="21"/>
  <c r="X30" i="21"/>
  <c r="R30" i="21"/>
  <c r="N30" i="21"/>
  <c r="L30" i="21"/>
  <c r="B30" i="21"/>
  <c r="T29" i="21"/>
  <c r="P29" i="21"/>
  <c r="N29" i="21"/>
  <c r="L29" i="21"/>
  <c r="H29" i="21"/>
  <c r="D29" i="21"/>
  <c r="B29" i="21"/>
  <c r="T28" i="21"/>
  <c r="P28" i="21"/>
  <c r="X28" i="21" s="1"/>
  <c r="Z28" i="21" s="1"/>
  <c r="H28" i="21"/>
  <c r="D28" i="21"/>
  <c r="L28" i="21" s="1"/>
  <c r="P26" i="21"/>
  <c r="Z24" i="21"/>
  <c r="X24" i="21"/>
  <c r="L24" i="21"/>
  <c r="N24" i="21" s="1"/>
  <c r="B24" i="21"/>
  <c r="Z23" i="21"/>
  <c r="X23" i="21"/>
  <c r="L23" i="21"/>
  <c r="N23" i="21" s="1"/>
  <c r="B23" i="21"/>
  <c r="T22" i="21"/>
  <c r="Z22" i="21" s="1"/>
  <c r="P22" i="21"/>
  <c r="X22" i="21" s="1"/>
  <c r="H22" i="21"/>
  <c r="D22" i="21"/>
  <c r="L22" i="21" s="1"/>
  <c r="N22" i="21" s="1"/>
  <c r="T20" i="21"/>
  <c r="P20" i="21"/>
  <c r="X20" i="21" s="1"/>
  <c r="Z20" i="21" s="1"/>
  <c r="L20" i="21"/>
  <c r="N20" i="21" s="1"/>
  <c r="H20" i="21"/>
  <c r="D20" i="21"/>
  <c r="B20" i="21"/>
  <c r="T19" i="21"/>
  <c r="P19" i="21"/>
  <c r="H19" i="21"/>
  <c r="N19" i="21" s="1"/>
  <c r="D19" i="21"/>
  <c r="L19" i="21" s="1"/>
  <c r="B19" i="21"/>
  <c r="T18" i="21"/>
  <c r="P18" i="21"/>
  <c r="X18" i="21" s="1"/>
  <c r="L18" i="21"/>
  <c r="H18" i="21"/>
  <c r="D18" i="21"/>
  <c r="B18" i="21"/>
  <c r="T17" i="21"/>
  <c r="X17" i="21" s="1"/>
  <c r="Z17" i="21" s="1"/>
  <c r="P17" i="21"/>
  <c r="L17" i="21"/>
  <c r="H17" i="21"/>
  <c r="N17" i="21" s="1"/>
  <c r="D17" i="21"/>
  <c r="B17" i="21"/>
  <c r="T16" i="21"/>
  <c r="P16" i="21"/>
  <c r="X16" i="21" s="1"/>
  <c r="Z16" i="21" s="1"/>
  <c r="L16" i="21"/>
  <c r="N16" i="21" s="1"/>
  <c r="H16" i="21"/>
  <c r="D16" i="21"/>
  <c r="B16" i="21"/>
  <c r="T15" i="21"/>
  <c r="P15" i="21"/>
  <c r="H15" i="21"/>
  <c r="L15" i="21" s="1"/>
  <c r="D15" i="21"/>
  <c r="B15" i="21"/>
  <c r="T14" i="21"/>
  <c r="Z14" i="21" s="1"/>
  <c r="P14" i="21"/>
  <c r="X14" i="21" s="1"/>
  <c r="L14" i="21"/>
  <c r="H14" i="21"/>
  <c r="H12" i="21" s="1"/>
  <c r="D14" i="21"/>
  <c r="B14" i="21"/>
  <c r="T13" i="21"/>
  <c r="P13" i="21"/>
  <c r="L13" i="21"/>
  <c r="H13" i="21"/>
  <c r="N13" i="21" s="1"/>
  <c r="D13" i="21"/>
  <c r="D12" i="21" s="1"/>
  <c r="B13" i="21"/>
  <c r="P12" i="21"/>
  <c r="R75" i="21" s="1"/>
  <c r="D4" i="21"/>
  <c r="Z280" i="18"/>
  <c r="X280" i="18"/>
  <c r="N280" i="18"/>
  <c r="L280" i="18"/>
  <c r="X276" i="18"/>
  <c r="T276" i="18"/>
  <c r="Z276" i="18" s="1"/>
  <c r="P276" i="18"/>
  <c r="L276" i="18"/>
  <c r="H276" i="18"/>
  <c r="N276" i="18" s="1"/>
  <c r="D276" i="18"/>
  <c r="B276" i="18"/>
  <c r="T275" i="18"/>
  <c r="P275" i="18"/>
  <c r="X275" i="18" s="1"/>
  <c r="L275" i="18"/>
  <c r="H275" i="18"/>
  <c r="N275" i="18" s="1"/>
  <c r="D275" i="18"/>
  <c r="B275" i="18"/>
  <c r="T274" i="18"/>
  <c r="Z274" i="18" s="1"/>
  <c r="P274" i="18"/>
  <c r="X274" i="18" s="1"/>
  <c r="H274" i="18"/>
  <c r="D274" i="18"/>
  <c r="L274" i="18" s="1"/>
  <c r="N274" i="18" s="1"/>
  <c r="B274" i="18"/>
  <c r="X273" i="18"/>
  <c r="Z273" i="18" s="1"/>
  <c r="T273" i="18"/>
  <c r="P273" i="18"/>
  <c r="L273" i="18"/>
  <c r="N273" i="18" s="1"/>
  <c r="H273" i="18"/>
  <c r="D273" i="18"/>
  <c r="B273" i="18"/>
  <c r="Z272" i="18"/>
  <c r="T272" i="18"/>
  <c r="X272" i="18" s="1"/>
  <c r="P272" i="18"/>
  <c r="H272" i="18"/>
  <c r="D272" i="18"/>
  <c r="L272" i="18" s="1"/>
  <c r="B272" i="18"/>
  <c r="T271" i="18"/>
  <c r="Z271" i="18" s="1"/>
  <c r="P271" i="18"/>
  <c r="X271" i="18" s="1"/>
  <c r="H271" i="18"/>
  <c r="D271" i="18"/>
  <c r="L271" i="18" s="1"/>
  <c r="N271" i="18" s="1"/>
  <c r="B271" i="18"/>
  <c r="X270" i="18"/>
  <c r="T270" i="18"/>
  <c r="Z270" i="18" s="1"/>
  <c r="P270" i="18"/>
  <c r="L270" i="18"/>
  <c r="H270" i="18"/>
  <c r="N270" i="18" s="1"/>
  <c r="D270" i="18"/>
  <c r="B270" i="18"/>
  <c r="X269" i="18"/>
  <c r="T269" i="18"/>
  <c r="Z269" i="18" s="1"/>
  <c r="P269" i="18"/>
  <c r="H269" i="18"/>
  <c r="D269" i="18"/>
  <c r="L269" i="18" s="1"/>
  <c r="B269" i="18"/>
  <c r="T268" i="18"/>
  <c r="P268" i="18"/>
  <c r="X268" i="18" s="1"/>
  <c r="Z268" i="18" s="1"/>
  <c r="H268" i="18"/>
  <c r="N268" i="18" s="1"/>
  <c r="D268" i="18"/>
  <c r="L268" i="18" s="1"/>
  <c r="B268" i="18"/>
  <c r="X267" i="18"/>
  <c r="Z267" i="18" s="1"/>
  <c r="T267" i="18"/>
  <c r="P267" i="18"/>
  <c r="N267" i="18"/>
  <c r="L267" i="18"/>
  <c r="H267" i="18"/>
  <c r="D267" i="18"/>
  <c r="D266" i="18" s="1"/>
  <c r="B267" i="18"/>
  <c r="Z264" i="18"/>
  <c r="X264" i="18"/>
  <c r="L264" i="18"/>
  <c r="N264" i="18" s="1"/>
  <c r="B264" i="18"/>
  <c r="X263" i="18"/>
  <c r="T263" i="18"/>
  <c r="Z263" i="18" s="1"/>
  <c r="P263" i="18"/>
  <c r="H263" i="18"/>
  <c r="D263" i="18"/>
  <c r="B263" i="18"/>
  <c r="Z262" i="18"/>
  <c r="X262" i="18"/>
  <c r="L262" i="18"/>
  <c r="N262" i="18" s="1"/>
  <c r="B262" i="18"/>
  <c r="Z261" i="18"/>
  <c r="X261" i="18"/>
  <c r="L261" i="18"/>
  <c r="N261" i="18" s="1"/>
  <c r="B261" i="18"/>
  <c r="X260" i="18"/>
  <c r="Z260" i="18" s="1"/>
  <c r="L260" i="18"/>
  <c r="N260" i="18" s="1"/>
  <c r="B260" i="18"/>
  <c r="T259" i="18"/>
  <c r="P259" i="18"/>
  <c r="X259" i="18" s="1"/>
  <c r="Z259" i="18" s="1"/>
  <c r="H259" i="18"/>
  <c r="N259" i="18" s="1"/>
  <c r="D259" i="18"/>
  <c r="L259" i="18" s="1"/>
  <c r="B259" i="18"/>
  <c r="X258" i="18"/>
  <c r="Z258" i="18" s="1"/>
  <c r="N258" i="18"/>
  <c r="L258" i="18"/>
  <c r="B258" i="18"/>
  <c r="X257" i="18"/>
  <c r="Z257" i="18" s="1"/>
  <c r="T257" i="18"/>
  <c r="P257" i="18"/>
  <c r="L257" i="18"/>
  <c r="N257" i="18" s="1"/>
  <c r="H257" i="18"/>
  <c r="D257" i="18"/>
  <c r="B257" i="18"/>
  <c r="Z256" i="18"/>
  <c r="X256" i="18"/>
  <c r="L256" i="18"/>
  <c r="N256" i="18" s="1"/>
  <c r="B256" i="18"/>
  <c r="X255" i="18"/>
  <c r="Z255" i="18" s="1"/>
  <c r="N255" i="18"/>
  <c r="L255" i="18"/>
  <c r="J255" i="18"/>
  <c r="B255" i="18"/>
  <c r="Z254" i="18"/>
  <c r="T254" i="18"/>
  <c r="X254" i="18" s="1"/>
  <c r="P254" i="18"/>
  <c r="H254" i="18"/>
  <c r="D254" i="18"/>
  <c r="B254" i="18"/>
  <c r="Z253" i="18"/>
  <c r="X253" i="18"/>
  <c r="L253" i="18"/>
  <c r="N253" i="18" s="1"/>
  <c r="B253" i="18"/>
  <c r="X252" i="18"/>
  <c r="Z252" i="18" s="1"/>
  <c r="L252" i="18"/>
  <c r="N252" i="18" s="1"/>
  <c r="B252" i="18"/>
  <c r="Z251" i="18"/>
  <c r="X251" i="18"/>
  <c r="L251" i="18"/>
  <c r="N251" i="18" s="1"/>
  <c r="B251" i="18"/>
  <c r="Z250" i="18"/>
  <c r="X250" i="18"/>
  <c r="L250" i="18"/>
  <c r="N250" i="18" s="1"/>
  <c r="B250" i="18"/>
  <c r="Z249" i="18"/>
  <c r="X249" i="18"/>
  <c r="L249" i="18"/>
  <c r="N249" i="18" s="1"/>
  <c r="B249" i="18"/>
  <c r="Z248" i="18"/>
  <c r="X248" i="18"/>
  <c r="N248" i="18"/>
  <c r="L248" i="18"/>
  <c r="B248" i="18"/>
  <c r="Z247" i="18"/>
  <c r="X247" i="18"/>
  <c r="N247" i="18"/>
  <c r="L247" i="18"/>
  <c r="B247" i="18"/>
  <c r="T246" i="18"/>
  <c r="P246" i="18"/>
  <c r="X246" i="18" s="1"/>
  <c r="Z246" i="18" s="1"/>
  <c r="H246" i="18"/>
  <c r="D246" i="18"/>
  <c r="L246" i="18" s="1"/>
  <c r="N246" i="18" s="1"/>
  <c r="B246" i="18"/>
  <c r="X245" i="18"/>
  <c r="Z245" i="18" s="1"/>
  <c r="N245" i="18"/>
  <c r="L245" i="18"/>
  <c r="B245" i="18"/>
  <c r="X244" i="18"/>
  <c r="Z244" i="18" s="1"/>
  <c r="N244" i="18"/>
  <c r="L244" i="18"/>
  <c r="B244" i="18"/>
  <c r="X243" i="18"/>
  <c r="Z243" i="18" s="1"/>
  <c r="T243" i="18"/>
  <c r="P243" i="18"/>
  <c r="H243" i="18"/>
  <c r="D243" i="18"/>
  <c r="L243" i="18" s="1"/>
  <c r="N243" i="18" s="1"/>
  <c r="B243" i="18"/>
  <c r="Z242" i="18"/>
  <c r="X242" i="18"/>
  <c r="N242" i="18"/>
  <c r="L242" i="18"/>
  <c r="B242" i="18"/>
  <c r="Z241" i="18"/>
  <c r="X241" i="18"/>
  <c r="N241" i="18"/>
  <c r="L241" i="18"/>
  <c r="B241" i="18"/>
  <c r="Z240" i="18"/>
  <c r="X240" i="18"/>
  <c r="N240" i="18"/>
  <c r="L240" i="18"/>
  <c r="B240" i="18"/>
  <c r="X239" i="18"/>
  <c r="Z239" i="18" s="1"/>
  <c r="N239" i="18"/>
  <c r="L239" i="18"/>
  <c r="B239" i="18"/>
  <c r="T238" i="18"/>
  <c r="X238" i="18" s="1"/>
  <c r="Z238" i="18" s="1"/>
  <c r="P238" i="18"/>
  <c r="H238" i="18"/>
  <c r="D238" i="18"/>
  <c r="B238" i="18"/>
  <c r="Z237" i="18"/>
  <c r="X237" i="18"/>
  <c r="L237" i="18"/>
  <c r="N237" i="18" s="1"/>
  <c r="B237" i="18"/>
  <c r="Z236" i="18"/>
  <c r="X236" i="18"/>
  <c r="L236" i="18"/>
  <c r="N236" i="18" s="1"/>
  <c r="B236" i="18"/>
  <c r="X235" i="18"/>
  <c r="Z235" i="18" s="1"/>
  <c r="N235" i="18"/>
  <c r="L235" i="18"/>
  <c r="B235" i="18"/>
  <c r="T234" i="18"/>
  <c r="P234" i="18"/>
  <c r="X234" i="18" s="1"/>
  <c r="Z234" i="18" s="1"/>
  <c r="H234" i="18"/>
  <c r="D234" i="18"/>
  <c r="L234" i="18" s="1"/>
  <c r="N234" i="18" s="1"/>
  <c r="B234" i="18"/>
  <c r="X233" i="18"/>
  <c r="Z233" i="18" s="1"/>
  <c r="N233" i="18"/>
  <c r="L233" i="18"/>
  <c r="B233" i="18"/>
  <c r="X232" i="18"/>
  <c r="Z232" i="18" s="1"/>
  <c r="N232" i="18"/>
  <c r="L232" i="18"/>
  <c r="B232" i="18"/>
  <c r="Z231" i="18"/>
  <c r="X231" i="18"/>
  <c r="N231" i="18"/>
  <c r="L231" i="18"/>
  <c r="B231" i="18"/>
  <c r="X230" i="18"/>
  <c r="Z230" i="18" s="1"/>
  <c r="N230" i="18"/>
  <c r="L230" i="18"/>
  <c r="B230" i="18"/>
  <c r="T229" i="18"/>
  <c r="P229" i="18"/>
  <c r="X229" i="18" s="1"/>
  <c r="Z229" i="18" s="1"/>
  <c r="L229" i="18"/>
  <c r="N229" i="18" s="1"/>
  <c r="H229" i="18"/>
  <c r="D229" i="18"/>
  <c r="B229" i="18"/>
  <c r="Z228" i="18"/>
  <c r="X228" i="18"/>
  <c r="N228" i="18"/>
  <c r="L228" i="18"/>
  <c r="J228" i="18"/>
  <c r="B228" i="18"/>
  <c r="X227" i="18"/>
  <c r="T227" i="18"/>
  <c r="Z227" i="18" s="1"/>
  <c r="P227" i="18"/>
  <c r="N227" i="18"/>
  <c r="H227" i="18"/>
  <c r="L227" i="18" s="1"/>
  <c r="D227" i="18"/>
  <c r="B227" i="18"/>
  <c r="Z226" i="18"/>
  <c r="X226" i="18"/>
  <c r="N226" i="18"/>
  <c r="L226" i="18"/>
  <c r="B226" i="18"/>
  <c r="T225" i="18"/>
  <c r="Z225" i="18" s="1"/>
  <c r="P225" i="18"/>
  <c r="X225" i="18" s="1"/>
  <c r="H225" i="18"/>
  <c r="N225" i="18" s="1"/>
  <c r="D225" i="18"/>
  <c r="L225" i="18" s="1"/>
  <c r="B225" i="18"/>
  <c r="X224" i="18"/>
  <c r="Z224" i="18" s="1"/>
  <c r="N224" i="18"/>
  <c r="L224" i="18"/>
  <c r="B224" i="18"/>
  <c r="X223" i="18"/>
  <c r="Z223" i="18" s="1"/>
  <c r="T223" i="18"/>
  <c r="P223" i="18"/>
  <c r="H223" i="18"/>
  <c r="D223" i="18"/>
  <c r="L223" i="18" s="1"/>
  <c r="N223" i="18" s="1"/>
  <c r="B223" i="18"/>
  <c r="Z222" i="18"/>
  <c r="X222" i="18"/>
  <c r="N222" i="18"/>
  <c r="L222" i="18"/>
  <c r="B222" i="18"/>
  <c r="Z221" i="18"/>
  <c r="T221" i="18"/>
  <c r="X221" i="18" s="1"/>
  <c r="P221" i="18"/>
  <c r="L221" i="18"/>
  <c r="H221" i="18"/>
  <c r="N221" i="18" s="1"/>
  <c r="D221" i="18"/>
  <c r="B221" i="18"/>
  <c r="Z220" i="18"/>
  <c r="X220" i="18"/>
  <c r="L220" i="18"/>
  <c r="N220" i="18" s="1"/>
  <c r="B220" i="18"/>
  <c r="T219" i="18"/>
  <c r="P219" i="18"/>
  <c r="H219" i="18"/>
  <c r="D219" i="18"/>
  <c r="L219" i="18" s="1"/>
  <c r="B219" i="18"/>
  <c r="X218" i="18"/>
  <c r="Z218" i="18" s="1"/>
  <c r="N218" i="18"/>
  <c r="L218" i="18"/>
  <c r="B218" i="18"/>
  <c r="X217" i="18"/>
  <c r="Z217" i="18" s="1"/>
  <c r="N217" i="18"/>
  <c r="L217" i="18"/>
  <c r="B217" i="18"/>
  <c r="X216" i="18"/>
  <c r="T216" i="18"/>
  <c r="Z216" i="18" s="1"/>
  <c r="P216" i="18"/>
  <c r="L216" i="18"/>
  <c r="H216" i="18"/>
  <c r="N216" i="18" s="1"/>
  <c r="D216" i="18"/>
  <c r="B216" i="18"/>
  <c r="X215" i="18"/>
  <c r="Z215" i="18" s="1"/>
  <c r="L215" i="18"/>
  <c r="N215" i="18" s="1"/>
  <c r="B215" i="18"/>
  <c r="Z214" i="18"/>
  <c r="T214" i="18"/>
  <c r="X214" i="18" s="1"/>
  <c r="P214" i="18"/>
  <c r="H214" i="18"/>
  <c r="D214" i="18"/>
  <c r="L214" i="18" s="1"/>
  <c r="B214" i="18"/>
  <c r="Z213" i="18"/>
  <c r="X213" i="18"/>
  <c r="L213" i="18"/>
  <c r="N213" i="18" s="1"/>
  <c r="B213" i="18"/>
  <c r="Z212" i="18"/>
  <c r="T212" i="18"/>
  <c r="P212" i="18"/>
  <c r="X212" i="18" s="1"/>
  <c r="H212" i="18"/>
  <c r="D212" i="18"/>
  <c r="L212" i="18" s="1"/>
  <c r="N212" i="18" s="1"/>
  <c r="B212" i="18"/>
  <c r="X211" i="18"/>
  <c r="Z211" i="18" s="1"/>
  <c r="L211" i="18"/>
  <c r="N211" i="18" s="1"/>
  <c r="B211" i="18"/>
  <c r="X210" i="18"/>
  <c r="T210" i="18"/>
  <c r="Z210" i="18" s="1"/>
  <c r="P210" i="18"/>
  <c r="L210" i="18"/>
  <c r="H210" i="18"/>
  <c r="N210" i="18" s="1"/>
  <c r="D210" i="18"/>
  <c r="B210" i="18"/>
  <c r="Z209" i="18"/>
  <c r="X209" i="18"/>
  <c r="N209" i="18"/>
  <c r="L209" i="18"/>
  <c r="B209" i="18"/>
  <c r="Z208" i="18"/>
  <c r="X208" i="18"/>
  <c r="N208" i="18"/>
  <c r="L208" i="18"/>
  <c r="J208" i="18"/>
  <c r="B208" i="18"/>
  <c r="X207" i="18"/>
  <c r="T207" i="18"/>
  <c r="Z207" i="18" s="1"/>
  <c r="P207" i="18"/>
  <c r="N207" i="18"/>
  <c r="L207" i="18"/>
  <c r="H207" i="18"/>
  <c r="D207" i="18"/>
  <c r="B207" i="18"/>
  <c r="Z206" i="18"/>
  <c r="X206" i="18"/>
  <c r="L206" i="18"/>
  <c r="N206" i="18" s="1"/>
  <c r="B206" i="18"/>
  <c r="Z205" i="18"/>
  <c r="X205" i="18"/>
  <c r="L205" i="18"/>
  <c r="N205" i="18" s="1"/>
  <c r="B205" i="18"/>
  <c r="T204" i="18"/>
  <c r="P204" i="18"/>
  <c r="X204" i="18" s="1"/>
  <c r="Z204" i="18" s="1"/>
  <c r="H204" i="18"/>
  <c r="D204" i="18"/>
  <c r="L204" i="18" s="1"/>
  <c r="N204" i="18" s="1"/>
  <c r="B204" i="18"/>
  <c r="X203" i="18"/>
  <c r="Z203" i="18" s="1"/>
  <c r="L203" i="18"/>
  <c r="N203" i="18" s="1"/>
  <c r="B203" i="18"/>
  <c r="X202" i="18"/>
  <c r="T202" i="18"/>
  <c r="P202" i="18"/>
  <c r="L202" i="18"/>
  <c r="H202" i="18"/>
  <c r="N202" i="18" s="1"/>
  <c r="D202" i="18"/>
  <c r="B202" i="18"/>
  <c r="Z201" i="18"/>
  <c r="X201" i="18"/>
  <c r="N201" i="18"/>
  <c r="L201" i="18"/>
  <c r="B201" i="18"/>
  <c r="T200" i="18"/>
  <c r="P200" i="18"/>
  <c r="X200" i="18" s="1"/>
  <c r="H200" i="18"/>
  <c r="L200" i="18" s="1"/>
  <c r="N200" i="18" s="1"/>
  <c r="D200" i="18"/>
  <c r="B200" i="18"/>
  <c r="X199" i="18"/>
  <c r="Z199" i="18" s="1"/>
  <c r="L199" i="18"/>
  <c r="N199" i="18" s="1"/>
  <c r="B199" i="18"/>
  <c r="T198" i="18"/>
  <c r="P198" i="18"/>
  <c r="X198" i="18" s="1"/>
  <c r="Z198" i="18" s="1"/>
  <c r="N198" i="18"/>
  <c r="H198" i="18"/>
  <c r="D198" i="18"/>
  <c r="L198" i="18" s="1"/>
  <c r="B198" i="18"/>
  <c r="X197" i="18"/>
  <c r="Z197" i="18" s="1"/>
  <c r="L197" i="18"/>
  <c r="N197" i="18" s="1"/>
  <c r="B197" i="18"/>
  <c r="X196" i="18"/>
  <c r="Z196" i="18" s="1"/>
  <c r="N196" i="18"/>
  <c r="L196" i="18"/>
  <c r="B196" i="18"/>
  <c r="X195" i="18"/>
  <c r="Z195" i="18" s="1"/>
  <c r="L195" i="18"/>
  <c r="N195" i="18" s="1"/>
  <c r="B195" i="18"/>
  <c r="X194" i="18"/>
  <c r="Z194" i="18" s="1"/>
  <c r="N194" i="18"/>
  <c r="L194" i="18"/>
  <c r="B194" i="18"/>
  <c r="X193" i="18"/>
  <c r="Z193" i="18" s="1"/>
  <c r="N193" i="18"/>
  <c r="L193" i="18"/>
  <c r="B193" i="18"/>
  <c r="X192" i="18"/>
  <c r="Z192" i="18" s="1"/>
  <c r="N192" i="18"/>
  <c r="L192" i="18"/>
  <c r="B192" i="18"/>
  <c r="X191" i="18"/>
  <c r="Z191" i="18" s="1"/>
  <c r="L191" i="18"/>
  <c r="N191" i="18" s="1"/>
  <c r="B191" i="18"/>
  <c r="X190" i="18"/>
  <c r="T190" i="18"/>
  <c r="Z190" i="18" s="1"/>
  <c r="P190" i="18"/>
  <c r="L190" i="18"/>
  <c r="H190" i="18"/>
  <c r="N190" i="18" s="1"/>
  <c r="D190" i="18"/>
  <c r="B190" i="18"/>
  <c r="Z189" i="18"/>
  <c r="X189" i="18"/>
  <c r="N189" i="18"/>
  <c r="L189" i="18"/>
  <c r="B189" i="18"/>
  <c r="Z188" i="18"/>
  <c r="X188" i="18"/>
  <c r="N188" i="18"/>
  <c r="L188" i="18"/>
  <c r="B188" i="18"/>
  <c r="X187" i="18"/>
  <c r="Z187" i="18" s="1"/>
  <c r="N187" i="18"/>
  <c r="L187" i="18"/>
  <c r="B187" i="18"/>
  <c r="Z186" i="18"/>
  <c r="X186" i="18"/>
  <c r="N186" i="18"/>
  <c r="L186" i="18"/>
  <c r="B186" i="18"/>
  <c r="Z185" i="18"/>
  <c r="X185" i="18"/>
  <c r="N185" i="18"/>
  <c r="L185" i="18"/>
  <c r="B185" i="18"/>
  <c r="Z184" i="18"/>
  <c r="X184" i="18"/>
  <c r="N184" i="18"/>
  <c r="L184" i="18"/>
  <c r="B184" i="18"/>
  <c r="X183" i="18"/>
  <c r="Z183" i="18" s="1"/>
  <c r="N183" i="18"/>
  <c r="L183" i="18"/>
  <c r="B183" i="18"/>
  <c r="Z182" i="18"/>
  <c r="X182" i="18"/>
  <c r="N182" i="18"/>
  <c r="L182" i="18"/>
  <c r="B182" i="18"/>
  <c r="Z181" i="18"/>
  <c r="X181" i="18"/>
  <c r="N181" i="18"/>
  <c r="L181" i="18"/>
  <c r="B181" i="18"/>
  <c r="X180" i="18"/>
  <c r="Z180" i="18" s="1"/>
  <c r="N180" i="18"/>
  <c r="L180" i="18"/>
  <c r="B180" i="18"/>
  <c r="X179" i="18"/>
  <c r="T179" i="18"/>
  <c r="Z179" i="18" s="1"/>
  <c r="P179" i="18"/>
  <c r="H179" i="18"/>
  <c r="D179" i="18"/>
  <c r="B179" i="18"/>
  <c r="T178" i="18"/>
  <c r="P178" i="18"/>
  <c r="X178" i="18" s="1"/>
  <c r="N178" i="18"/>
  <c r="H178" i="18"/>
  <c r="D178" i="18"/>
  <c r="L178" i="18" s="1"/>
  <c r="Z174" i="18"/>
  <c r="X174" i="18"/>
  <c r="L174" i="18"/>
  <c r="N174" i="18" s="1"/>
  <c r="B174" i="18"/>
  <c r="Z173" i="18"/>
  <c r="X173" i="18"/>
  <c r="L173" i="18"/>
  <c r="N173" i="18" s="1"/>
  <c r="B173" i="18"/>
  <c r="Z172" i="18"/>
  <c r="X172" i="18"/>
  <c r="L172" i="18"/>
  <c r="N172" i="18" s="1"/>
  <c r="B172" i="18"/>
  <c r="Z171" i="18"/>
  <c r="X171" i="18"/>
  <c r="L171" i="18"/>
  <c r="N171" i="18" s="1"/>
  <c r="B171" i="18"/>
  <c r="Z170" i="18"/>
  <c r="X170" i="18"/>
  <c r="L170" i="18"/>
  <c r="N170" i="18" s="1"/>
  <c r="B170" i="18"/>
  <c r="Z169" i="18"/>
  <c r="X169" i="18"/>
  <c r="L169" i="18"/>
  <c r="N169" i="18" s="1"/>
  <c r="B169" i="18"/>
  <c r="Z168" i="18"/>
  <c r="X168" i="18"/>
  <c r="L168" i="18"/>
  <c r="N168" i="18" s="1"/>
  <c r="B168" i="18"/>
  <c r="Z167" i="18"/>
  <c r="X167" i="18"/>
  <c r="N167" i="18"/>
  <c r="L167" i="18"/>
  <c r="B167" i="18"/>
  <c r="Z166" i="18"/>
  <c r="X166" i="18"/>
  <c r="L166" i="18"/>
  <c r="N166" i="18" s="1"/>
  <c r="B166" i="18"/>
  <c r="Z165" i="18"/>
  <c r="X165" i="18"/>
  <c r="L165" i="18"/>
  <c r="N165" i="18" s="1"/>
  <c r="B165" i="18"/>
  <c r="Z164" i="18"/>
  <c r="X164" i="18"/>
  <c r="L164" i="18"/>
  <c r="N164" i="18" s="1"/>
  <c r="B164" i="18"/>
  <c r="Z163" i="18"/>
  <c r="X163" i="18"/>
  <c r="L163" i="18"/>
  <c r="N163" i="18" s="1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X159" i="18"/>
  <c r="Z159" i="18" s="1"/>
  <c r="L159" i="18"/>
  <c r="N159" i="18" s="1"/>
  <c r="B159" i="18"/>
  <c r="Z158" i="18"/>
  <c r="X158" i="18"/>
  <c r="N158" i="18"/>
  <c r="L158" i="18"/>
  <c r="B158" i="18"/>
  <c r="Z157" i="18"/>
  <c r="X157" i="18"/>
  <c r="L157" i="18"/>
  <c r="N157" i="18" s="1"/>
  <c r="B157" i="18"/>
  <c r="X156" i="18"/>
  <c r="Z156" i="18" s="1"/>
  <c r="L156" i="18"/>
  <c r="N156" i="18" s="1"/>
  <c r="B156" i="18"/>
  <c r="Z155" i="18"/>
  <c r="X155" i="18"/>
  <c r="N155" i="18"/>
  <c r="L155" i="18"/>
  <c r="B155" i="18"/>
  <c r="Z154" i="18"/>
  <c r="X154" i="18"/>
  <c r="N154" i="18"/>
  <c r="L154" i="18"/>
  <c r="B154" i="18"/>
  <c r="Z153" i="18"/>
  <c r="X153" i="18"/>
  <c r="N153" i="18"/>
  <c r="L153" i="18"/>
  <c r="B153" i="18"/>
  <c r="Z152" i="18"/>
  <c r="X152" i="18"/>
  <c r="L152" i="18"/>
  <c r="N152" i="18" s="1"/>
  <c r="B152" i="18"/>
  <c r="Z151" i="18"/>
  <c r="X151" i="18"/>
  <c r="N151" i="18"/>
  <c r="L151" i="18"/>
  <c r="B151" i="18"/>
  <c r="Z150" i="18"/>
  <c r="X150" i="18"/>
  <c r="N150" i="18"/>
  <c r="L150" i="18"/>
  <c r="B150" i="18"/>
  <c r="Z149" i="18"/>
  <c r="X149" i="18"/>
  <c r="N149" i="18"/>
  <c r="L149" i="18"/>
  <c r="B149" i="18"/>
  <c r="Z148" i="18"/>
  <c r="X148" i="18"/>
  <c r="L148" i="18"/>
  <c r="N148" i="18" s="1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L145" i="18"/>
  <c r="N145" i="18" s="1"/>
  <c r="B145" i="18"/>
  <c r="X144" i="18"/>
  <c r="Z144" i="18" s="1"/>
  <c r="L144" i="18"/>
  <c r="N144" i="18" s="1"/>
  <c r="B144" i="18"/>
  <c r="Z143" i="18"/>
  <c r="X143" i="18"/>
  <c r="L143" i="18"/>
  <c r="N143" i="18" s="1"/>
  <c r="B143" i="18"/>
  <c r="Z142" i="18"/>
  <c r="X142" i="18"/>
  <c r="N142" i="18"/>
  <c r="L142" i="18"/>
  <c r="J142" i="18"/>
  <c r="B142" i="18"/>
  <c r="Z141" i="18"/>
  <c r="X141" i="18"/>
  <c r="N141" i="18"/>
  <c r="L141" i="18"/>
  <c r="B141" i="18"/>
  <c r="Z140" i="18"/>
  <c r="X140" i="18"/>
  <c r="L140" i="18"/>
  <c r="N140" i="18" s="1"/>
  <c r="B140" i="18"/>
  <c r="Z139" i="18"/>
  <c r="X139" i="18"/>
  <c r="N139" i="18"/>
  <c r="L139" i="18"/>
  <c r="B139" i="18"/>
  <c r="Z138" i="18"/>
  <c r="X138" i="18"/>
  <c r="L138" i="18"/>
  <c r="N138" i="18" s="1"/>
  <c r="B138" i="18"/>
  <c r="X137" i="18"/>
  <c r="Z137" i="18" s="1"/>
  <c r="N137" i="18"/>
  <c r="L137" i="18"/>
  <c r="B137" i="18"/>
  <c r="X136" i="18"/>
  <c r="Z136" i="18" s="1"/>
  <c r="L136" i="18"/>
  <c r="N136" i="18" s="1"/>
  <c r="B136" i="18"/>
  <c r="Z135" i="18"/>
  <c r="X135" i="18"/>
  <c r="N135" i="18"/>
  <c r="L135" i="18"/>
  <c r="B135" i="18"/>
  <c r="X134" i="18"/>
  <c r="Z134" i="18" s="1"/>
  <c r="L134" i="18"/>
  <c r="N134" i="18" s="1"/>
  <c r="B134" i="18"/>
  <c r="X133" i="18"/>
  <c r="Z133" i="18" s="1"/>
  <c r="N133" i="18"/>
  <c r="L133" i="18"/>
  <c r="B133" i="18"/>
  <c r="X132" i="18"/>
  <c r="Z132" i="18" s="1"/>
  <c r="L132" i="18"/>
  <c r="N132" i="18" s="1"/>
  <c r="B132" i="18"/>
  <c r="Z131" i="18"/>
  <c r="X131" i="18"/>
  <c r="N131" i="18"/>
  <c r="L131" i="18"/>
  <c r="B131" i="18"/>
  <c r="X130" i="18"/>
  <c r="Z130" i="18" s="1"/>
  <c r="L130" i="18"/>
  <c r="N130" i="18" s="1"/>
  <c r="B130" i="18"/>
  <c r="X129" i="18"/>
  <c r="Z129" i="18" s="1"/>
  <c r="N129" i="18"/>
  <c r="L129" i="18"/>
  <c r="B129" i="18"/>
  <c r="Z128" i="18"/>
  <c r="X128" i="18"/>
  <c r="L128" i="18"/>
  <c r="N128" i="18" s="1"/>
  <c r="B128" i="18"/>
  <c r="Z127" i="18"/>
  <c r="X127" i="18"/>
  <c r="N127" i="18"/>
  <c r="L127" i="18"/>
  <c r="B127" i="18"/>
  <c r="X126" i="18"/>
  <c r="Z126" i="18" s="1"/>
  <c r="L126" i="18"/>
  <c r="N126" i="18" s="1"/>
  <c r="B126" i="18"/>
  <c r="X125" i="18"/>
  <c r="Z125" i="18" s="1"/>
  <c r="N125" i="18"/>
  <c r="L125" i="18"/>
  <c r="B125" i="18"/>
  <c r="X124" i="18"/>
  <c r="Z124" i="18" s="1"/>
  <c r="L124" i="18"/>
  <c r="N124" i="18" s="1"/>
  <c r="B124" i="18"/>
  <c r="Z123" i="18"/>
  <c r="X123" i="18"/>
  <c r="N123" i="18"/>
  <c r="L123" i="18"/>
  <c r="B123" i="18"/>
  <c r="X122" i="18"/>
  <c r="Z122" i="18" s="1"/>
  <c r="L122" i="18"/>
  <c r="N122" i="18" s="1"/>
  <c r="B122" i="18"/>
  <c r="X121" i="18"/>
  <c r="Z121" i="18" s="1"/>
  <c r="L121" i="18"/>
  <c r="N121" i="18" s="1"/>
  <c r="B121" i="18"/>
  <c r="X120" i="18"/>
  <c r="Z120" i="18" s="1"/>
  <c r="T120" i="18"/>
  <c r="P120" i="18"/>
  <c r="H120" i="18"/>
  <c r="D120" i="18"/>
  <c r="L120" i="18" s="1"/>
  <c r="N120" i="18" s="1"/>
  <c r="X118" i="18"/>
  <c r="Z118" i="18" s="1"/>
  <c r="T118" i="18"/>
  <c r="P118" i="18"/>
  <c r="L118" i="18"/>
  <c r="H118" i="18"/>
  <c r="N118" i="18" s="1"/>
  <c r="D118" i="18"/>
  <c r="B118" i="18"/>
  <c r="T117" i="18"/>
  <c r="Z117" i="18" s="1"/>
  <c r="P117" i="18"/>
  <c r="X117" i="18" s="1"/>
  <c r="N117" i="18"/>
  <c r="L117" i="18"/>
  <c r="H117" i="18"/>
  <c r="D117" i="18"/>
  <c r="B117" i="18"/>
  <c r="T116" i="18"/>
  <c r="P116" i="18"/>
  <c r="H116" i="18"/>
  <c r="N116" i="18" s="1"/>
  <c r="D116" i="18"/>
  <c r="L116" i="18" s="1"/>
  <c r="B116" i="18"/>
  <c r="T115" i="18"/>
  <c r="Z115" i="18" s="1"/>
  <c r="P115" i="18"/>
  <c r="X115" i="18" s="1"/>
  <c r="N115" i="18"/>
  <c r="L115" i="18"/>
  <c r="H115" i="18"/>
  <c r="D115" i="18"/>
  <c r="B115" i="18"/>
  <c r="X114" i="18"/>
  <c r="T114" i="18"/>
  <c r="P114" i="18"/>
  <c r="L114" i="18"/>
  <c r="H114" i="18"/>
  <c r="N114" i="18" s="1"/>
  <c r="D114" i="18"/>
  <c r="B114" i="18"/>
  <c r="T113" i="18"/>
  <c r="Z113" i="18" s="1"/>
  <c r="P113" i="18"/>
  <c r="X113" i="18" s="1"/>
  <c r="N113" i="18"/>
  <c r="L113" i="18"/>
  <c r="H113" i="18"/>
  <c r="D113" i="18"/>
  <c r="B113" i="18"/>
  <c r="T112" i="18"/>
  <c r="P112" i="18"/>
  <c r="H112" i="18"/>
  <c r="D112" i="18"/>
  <c r="L112" i="18" s="1"/>
  <c r="B112" i="18"/>
  <c r="T111" i="18"/>
  <c r="Z111" i="18" s="1"/>
  <c r="P111" i="18"/>
  <c r="X111" i="18" s="1"/>
  <c r="L111" i="18"/>
  <c r="N111" i="18" s="1"/>
  <c r="H111" i="18"/>
  <c r="D111" i="18"/>
  <c r="B111" i="18"/>
  <c r="X110" i="18"/>
  <c r="T110" i="18"/>
  <c r="Z110" i="18" s="1"/>
  <c r="P110" i="18"/>
  <c r="L110" i="18"/>
  <c r="H110" i="18"/>
  <c r="N110" i="18" s="1"/>
  <c r="D110" i="18"/>
  <c r="B110" i="18"/>
  <c r="T109" i="18"/>
  <c r="Z109" i="18" s="1"/>
  <c r="P109" i="18"/>
  <c r="X109" i="18" s="1"/>
  <c r="N109" i="18"/>
  <c r="L109" i="18"/>
  <c r="H109" i="18"/>
  <c r="D109" i="18"/>
  <c r="B109" i="18"/>
  <c r="T108" i="18"/>
  <c r="P108" i="18"/>
  <c r="H108" i="18"/>
  <c r="N108" i="18" s="1"/>
  <c r="D108" i="18"/>
  <c r="L108" i="18" s="1"/>
  <c r="B108" i="18"/>
  <c r="T107" i="18"/>
  <c r="Z107" i="18" s="1"/>
  <c r="P107" i="18"/>
  <c r="X107" i="18" s="1"/>
  <c r="L107" i="18"/>
  <c r="N107" i="18" s="1"/>
  <c r="H107" i="18"/>
  <c r="D107" i="18"/>
  <c r="B107" i="18"/>
  <c r="X106" i="18"/>
  <c r="T106" i="18"/>
  <c r="P106" i="18"/>
  <c r="L106" i="18"/>
  <c r="H106" i="18"/>
  <c r="N106" i="18" s="1"/>
  <c r="D106" i="18"/>
  <c r="B106" i="18"/>
  <c r="T105" i="18"/>
  <c r="P105" i="18"/>
  <c r="X105" i="18" s="1"/>
  <c r="N105" i="18"/>
  <c r="L105" i="18"/>
  <c r="H105" i="18"/>
  <c r="D105" i="18"/>
  <c r="B105" i="18"/>
  <c r="T104" i="18"/>
  <c r="P104" i="18"/>
  <c r="H104" i="18"/>
  <c r="N104" i="18" s="1"/>
  <c r="D104" i="18"/>
  <c r="L104" i="18" s="1"/>
  <c r="B104" i="18"/>
  <c r="T103" i="18"/>
  <c r="P103" i="18"/>
  <c r="X103" i="18" s="1"/>
  <c r="L103" i="18"/>
  <c r="N103" i="18" s="1"/>
  <c r="H103" i="18"/>
  <c r="D103" i="18"/>
  <c r="B103" i="18"/>
  <c r="X102" i="18"/>
  <c r="T102" i="18"/>
  <c r="P102" i="18"/>
  <c r="L102" i="18"/>
  <c r="H102" i="18"/>
  <c r="N102" i="18" s="1"/>
  <c r="D102" i="18"/>
  <c r="B102" i="18"/>
  <c r="T101" i="18"/>
  <c r="P101" i="18"/>
  <c r="X101" i="18" s="1"/>
  <c r="N101" i="18"/>
  <c r="L101" i="18"/>
  <c r="H101" i="18"/>
  <c r="D101" i="18"/>
  <c r="B101" i="18"/>
  <c r="T100" i="18"/>
  <c r="P100" i="18"/>
  <c r="H100" i="18"/>
  <c r="N100" i="18" s="1"/>
  <c r="D100" i="18"/>
  <c r="L100" i="18" s="1"/>
  <c r="B100" i="18"/>
  <c r="T99" i="18"/>
  <c r="P99" i="18"/>
  <c r="X99" i="18" s="1"/>
  <c r="L99" i="18"/>
  <c r="N99" i="18" s="1"/>
  <c r="H99" i="18"/>
  <c r="D99" i="18"/>
  <c r="B99" i="18"/>
  <c r="X98" i="18"/>
  <c r="T98" i="18"/>
  <c r="Z98" i="18" s="1"/>
  <c r="P98" i="18"/>
  <c r="L98" i="18"/>
  <c r="H98" i="18"/>
  <c r="N98" i="18" s="1"/>
  <c r="D98" i="18"/>
  <c r="B98" i="18"/>
  <c r="T97" i="18"/>
  <c r="Z97" i="18" s="1"/>
  <c r="P97" i="18"/>
  <c r="X97" i="18" s="1"/>
  <c r="N97" i="18"/>
  <c r="L97" i="18"/>
  <c r="H97" i="18"/>
  <c r="D97" i="18"/>
  <c r="B97" i="18"/>
  <c r="T96" i="18"/>
  <c r="P96" i="18"/>
  <c r="H96" i="18"/>
  <c r="N96" i="18" s="1"/>
  <c r="D96" i="18"/>
  <c r="L96" i="18" s="1"/>
  <c r="B96" i="18"/>
  <c r="T95" i="18"/>
  <c r="Z95" i="18" s="1"/>
  <c r="P95" i="18"/>
  <c r="X95" i="18" s="1"/>
  <c r="L95" i="18"/>
  <c r="N95" i="18" s="1"/>
  <c r="H95" i="18"/>
  <c r="D95" i="18"/>
  <c r="B95" i="18"/>
  <c r="X94" i="18"/>
  <c r="T94" i="18"/>
  <c r="P94" i="18"/>
  <c r="L94" i="18"/>
  <c r="H94" i="18"/>
  <c r="N94" i="18" s="1"/>
  <c r="D94" i="18"/>
  <c r="B94" i="18"/>
  <c r="T93" i="18"/>
  <c r="P93" i="18"/>
  <c r="N93" i="18"/>
  <c r="L93" i="18"/>
  <c r="H93" i="18"/>
  <c r="D93" i="18"/>
  <c r="B93" i="18"/>
  <c r="T92" i="18"/>
  <c r="P92" i="18"/>
  <c r="H92" i="18"/>
  <c r="D92" i="18"/>
  <c r="L92" i="18" s="1"/>
  <c r="B92" i="18"/>
  <c r="T91" i="18"/>
  <c r="P91" i="18"/>
  <c r="X91" i="18" s="1"/>
  <c r="L91" i="18"/>
  <c r="N91" i="18" s="1"/>
  <c r="H91" i="18"/>
  <c r="D91" i="18"/>
  <c r="B91" i="18"/>
  <c r="X90" i="18"/>
  <c r="T90" i="18"/>
  <c r="P90" i="18"/>
  <c r="L90" i="18"/>
  <c r="H90" i="18"/>
  <c r="N90" i="18" s="1"/>
  <c r="D90" i="18"/>
  <c r="B90" i="18"/>
  <c r="T89" i="18"/>
  <c r="P89" i="18"/>
  <c r="N89" i="18"/>
  <c r="L89" i="18"/>
  <c r="H89" i="18"/>
  <c r="D89" i="18"/>
  <c r="B89" i="18"/>
  <c r="T88" i="18"/>
  <c r="P88" i="18"/>
  <c r="L88" i="18"/>
  <c r="H88" i="18"/>
  <c r="D88" i="18"/>
  <c r="B88" i="18"/>
  <c r="T87" i="18"/>
  <c r="Z87" i="18" s="1"/>
  <c r="P87" i="18"/>
  <c r="X87" i="18" s="1"/>
  <c r="L87" i="18"/>
  <c r="N87" i="18" s="1"/>
  <c r="H87" i="18"/>
  <c r="D87" i="18"/>
  <c r="B87" i="18"/>
  <c r="X86" i="18"/>
  <c r="T86" i="18"/>
  <c r="Z86" i="18" s="1"/>
  <c r="P86" i="18"/>
  <c r="L86" i="18"/>
  <c r="H86" i="18"/>
  <c r="N86" i="18" s="1"/>
  <c r="D86" i="18"/>
  <c r="B86" i="18"/>
  <c r="T85" i="18"/>
  <c r="P85" i="18"/>
  <c r="X85" i="18" s="1"/>
  <c r="N85" i="18"/>
  <c r="L85" i="18"/>
  <c r="H85" i="18"/>
  <c r="D85" i="18"/>
  <c r="B85" i="18"/>
  <c r="T84" i="18"/>
  <c r="P84" i="18"/>
  <c r="H84" i="18"/>
  <c r="D84" i="18"/>
  <c r="L84" i="18" s="1"/>
  <c r="B84" i="18"/>
  <c r="T83" i="18"/>
  <c r="Z83" i="18" s="1"/>
  <c r="P83" i="18"/>
  <c r="X83" i="18" s="1"/>
  <c r="L83" i="18"/>
  <c r="N83" i="18" s="1"/>
  <c r="H83" i="18"/>
  <c r="D83" i="18"/>
  <c r="B83" i="18"/>
  <c r="X82" i="18"/>
  <c r="T82" i="18"/>
  <c r="P82" i="18"/>
  <c r="L82" i="18"/>
  <c r="H82" i="18"/>
  <c r="N82" i="18" s="1"/>
  <c r="D82" i="18"/>
  <c r="B82" i="18"/>
  <c r="T81" i="18"/>
  <c r="P81" i="18"/>
  <c r="X81" i="18" s="1"/>
  <c r="N81" i="18"/>
  <c r="L81" i="18"/>
  <c r="H81" i="18"/>
  <c r="D81" i="18"/>
  <c r="B81" i="18"/>
  <c r="T80" i="18"/>
  <c r="P80" i="18"/>
  <c r="L80" i="18"/>
  <c r="H80" i="18"/>
  <c r="D80" i="18"/>
  <c r="B80" i="18"/>
  <c r="T79" i="18"/>
  <c r="Z79" i="18" s="1"/>
  <c r="P79" i="18"/>
  <c r="X79" i="18" s="1"/>
  <c r="N79" i="18"/>
  <c r="L79" i="18"/>
  <c r="H79" i="18"/>
  <c r="D79" i="18"/>
  <c r="B79" i="18"/>
  <c r="X78" i="18"/>
  <c r="T78" i="18"/>
  <c r="P78" i="18"/>
  <c r="L78" i="18"/>
  <c r="H78" i="18"/>
  <c r="N78" i="18" s="1"/>
  <c r="D78" i="18"/>
  <c r="B78" i="18"/>
  <c r="T77" i="18"/>
  <c r="P77" i="18"/>
  <c r="X77" i="18" s="1"/>
  <c r="N77" i="18"/>
  <c r="L77" i="18"/>
  <c r="H77" i="18"/>
  <c r="D77" i="18"/>
  <c r="B77" i="18"/>
  <c r="T76" i="18"/>
  <c r="P76" i="18"/>
  <c r="H76" i="18"/>
  <c r="D76" i="18"/>
  <c r="L76" i="18" s="1"/>
  <c r="B76" i="18"/>
  <c r="T75" i="18"/>
  <c r="P75" i="18"/>
  <c r="X75" i="18" s="1"/>
  <c r="L75" i="18"/>
  <c r="N75" i="18" s="1"/>
  <c r="H75" i="18"/>
  <c r="D75" i="18"/>
  <c r="B75" i="18"/>
  <c r="X74" i="18"/>
  <c r="T74" i="18"/>
  <c r="Z74" i="18" s="1"/>
  <c r="P74" i="18"/>
  <c r="L74" i="18"/>
  <c r="H74" i="18"/>
  <c r="N74" i="18" s="1"/>
  <c r="D74" i="18"/>
  <c r="B74" i="18"/>
  <c r="T73" i="18"/>
  <c r="P73" i="18"/>
  <c r="N73" i="18"/>
  <c r="L73" i="18"/>
  <c r="H73" i="18"/>
  <c r="D73" i="18"/>
  <c r="B73" i="18"/>
  <c r="T72" i="18"/>
  <c r="P72" i="18"/>
  <c r="L72" i="18"/>
  <c r="H72" i="18"/>
  <c r="N72" i="18" s="1"/>
  <c r="D72" i="18"/>
  <c r="B72" i="18"/>
  <c r="T71" i="18"/>
  <c r="Z71" i="18" s="1"/>
  <c r="P71" i="18"/>
  <c r="X71" i="18" s="1"/>
  <c r="N71" i="18"/>
  <c r="L71" i="18"/>
  <c r="H71" i="18"/>
  <c r="D71" i="18"/>
  <c r="B71" i="18"/>
  <c r="X70" i="18"/>
  <c r="T70" i="18"/>
  <c r="P70" i="18"/>
  <c r="L70" i="18"/>
  <c r="H70" i="18"/>
  <c r="N70" i="18" s="1"/>
  <c r="D70" i="18"/>
  <c r="B70" i="18"/>
  <c r="T69" i="18"/>
  <c r="P69" i="18"/>
  <c r="N69" i="18"/>
  <c r="L69" i="18"/>
  <c r="H69" i="18"/>
  <c r="D69" i="18"/>
  <c r="B69" i="18"/>
  <c r="T68" i="18"/>
  <c r="P68" i="18"/>
  <c r="L68" i="18"/>
  <c r="H68" i="18"/>
  <c r="D68" i="18"/>
  <c r="B68" i="18"/>
  <c r="T67" i="18"/>
  <c r="Z67" i="18" s="1"/>
  <c r="P67" i="18"/>
  <c r="X67" i="18" s="1"/>
  <c r="L67" i="18"/>
  <c r="N67" i="18" s="1"/>
  <c r="H67" i="18"/>
  <c r="D67" i="18"/>
  <c r="B67" i="18"/>
  <c r="X66" i="18"/>
  <c r="T66" i="18"/>
  <c r="Z66" i="18" s="1"/>
  <c r="P66" i="18"/>
  <c r="L66" i="18"/>
  <c r="H66" i="18"/>
  <c r="N66" i="18" s="1"/>
  <c r="D66" i="18"/>
  <c r="B66" i="18"/>
  <c r="T65" i="18"/>
  <c r="Z65" i="18" s="1"/>
  <c r="P65" i="18"/>
  <c r="X65" i="18" s="1"/>
  <c r="N65" i="18"/>
  <c r="L65" i="18"/>
  <c r="H65" i="18"/>
  <c r="D65" i="18"/>
  <c r="B65" i="18"/>
  <c r="T64" i="18"/>
  <c r="P64" i="18"/>
  <c r="H64" i="18"/>
  <c r="D64" i="18"/>
  <c r="L64" i="18" s="1"/>
  <c r="B64" i="18"/>
  <c r="T63" i="18"/>
  <c r="P63" i="18"/>
  <c r="X63" i="18" s="1"/>
  <c r="L63" i="18"/>
  <c r="N63" i="18" s="1"/>
  <c r="H63" i="18"/>
  <c r="D63" i="18"/>
  <c r="B63" i="18"/>
  <c r="X62" i="18"/>
  <c r="T62" i="18"/>
  <c r="P62" i="18"/>
  <c r="L62" i="18"/>
  <c r="H62" i="18"/>
  <c r="N62" i="18" s="1"/>
  <c r="D62" i="18"/>
  <c r="B62" i="18"/>
  <c r="T61" i="18"/>
  <c r="P61" i="18"/>
  <c r="X61" i="18" s="1"/>
  <c r="N61" i="18"/>
  <c r="L61" i="18"/>
  <c r="H61" i="18"/>
  <c r="D61" i="18"/>
  <c r="B61" i="18"/>
  <c r="T60" i="18"/>
  <c r="P60" i="18"/>
  <c r="L60" i="18"/>
  <c r="H60" i="18"/>
  <c r="D60" i="18"/>
  <c r="B60" i="18"/>
  <c r="T59" i="18"/>
  <c r="Z59" i="18" s="1"/>
  <c r="P59" i="18"/>
  <c r="X59" i="18" s="1"/>
  <c r="L59" i="18"/>
  <c r="N59" i="18" s="1"/>
  <c r="H59" i="18"/>
  <c r="D59" i="18"/>
  <c r="B59" i="18"/>
  <c r="X58" i="18"/>
  <c r="T58" i="18"/>
  <c r="Z58" i="18" s="1"/>
  <c r="P58" i="18"/>
  <c r="L58" i="18"/>
  <c r="H58" i="18"/>
  <c r="N58" i="18" s="1"/>
  <c r="D58" i="18"/>
  <c r="B58" i="18"/>
  <c r="T57" i="18"/>
  <c r="P57" i="18"/>
  <c r="N57" i="18"/>
  <c r="L57" i="18"/>
  <c r="H57" i="18"/>
  <c r="D57" i="18"/>
  <c r="B57" i="18"/>
  <c r="T56" i="18"/>
  <c r="P56" i="18"/>
  <c r="H56" i="18"/>
  <c r="N56" i="18" s="1"/>
  <c r="D56" i="18"/>
  <c r="L56" i="18" s="1"/>
  <c r="B56" i="18"/>
  <c r="T55" i="18"/>
  <c r="P55" i="18"/>
  <c r="X55" i="18" s="1"/>
  <c r="L55" i="18"/>
  <c r="N55" i="18" s="1"/>
  <c r="H55" i="18"/>
  <c r="D55" i="18"/>
  <c r="B55" i="18"/>
  <c r="X54" i="18"/>
  <c r="T54" i="18"/>
  <c r="P54" i="18"/>
  <c r="L54" i="18"/>
  <c r="H54" i="18"/>
  <c r="N54" i="18" s="1"/>
  <c r="D54" i="18"/>
  <c r="B54" i="18"/>
  <c r="T53" i="18"/>
  <c r="P53" i="18"/>
  <c r="X53" i="18" s="1"/>
  <c r="N53" i="18"/>
  <c r="L53" i="18"/>
  <c r="H53" i="18"/>
  <c r="D53" i="18"/>
  <c r="B53" i="18"/>
  <c r="T52" i="18"/>
  <c r="P52" i="18"/>
  <c r="L52" i="18"/>
  <c r="H52" i="18"/>
  <c r="D52" i="18"/>
  <c r="B52" i="18"/>
  <c r="T51" i="18"/>
  <c r="Z51" i="18" s="1"/>
  <c r="P51" i="18"/>
  <c r="X51" i="18" s="1"/>
  <c r="L51" i="18"/>
  <c r="N51" i="18" s="1"/>
  <c r="H51" i="18"/>
  <c r="D51" i="18"/>
  <c r="B51" i="18"/>
  <c r="X50" i="18"/>
  <c r="T50" i="18"/>
  <c r="Z50" i="18" s="1"/>
  <c r="P50" i="18"/>
  <c r="L50" i="18"/>
  <c r="H50" i="18"/>
  <c r="N50" i="18" s="1"/>
  <c r="D50" i="18"/>
  <c r="B50" i="18"/>
  <c r="T49" i="18"/>
  <c r="P49" i="18"/>
  <c r="N49" i="18"/>
  <c r="L49" i="18"/>
  <c r="H49" i="18"/>
  <c r="D49" i="18"/>
  <c r="B49" i="18"/>
  <c r="T48" i="18"/>
  <c r="P48" i="18"/>
  <c r="H48" i="18"/>
  <c r="D48" i="18"/>
  <c r="L48" i="18" s="1"/>
  <c r="B48" i="18"/>
  <c r="T47" i="18"/>
  <c r="P47" i="18"/>
  <c r="X47" i="18" s="1"/>
  <c r="L47" i="18"/>
  <c r="N47" i="18" s="1"/>
  <c r="H47" i="18"/>
  <c r="D47" i="18"/>
  <c r="B47" i="18"/>
  <c r="X46" i="18"/>
  <c r="T46" i="18"/>
  <c r="P46" i="18"/>
  <c r="L46" i="18"/>
  <c r="H46" i="18"/>
  <c r="N46" i="18" s="1"/>
  <c r="D46" i="18"/>
  <c r="B46" i="18"/>
  <c r="T45" i="18"/>
  <c r="P45" i="18"/>
  <c r="N45" i="18"/>
  <c r="L45" i="18"/>
  <c r="H45" i="18"/>
  <c r="D45" i="18"/>
  <c r="B45" i="18"/>
  <c r="T44" i="18"/>
  <c r="P44" i="18"/>
  <c r="L44" i="18"/>
  <c r="H44" i="18"/>
  <c r="N44" i="18" s="1"/>
  <c r="D44" i="18"/>
  <c r="B44" i="18"/>
  <c r="T43" i="18"/>
  <c r="Z43" i="18" s="1"/>
  <c r="P43" i="18"/>
  <c r="X43" i="18" s="1"/>
  <c r="L43" i="18"/>
  <c r="N43" i="18" s="1"/>
  <c r="H43" i="18"/>
  <c r="D43" i="18"/>
  <c r="B43" i="18"/>
  <c r="X42" i="18"/>
  <c r="T42" i="18"/>
  <c r="Z42" i="18" s="1"/>
  <c r="P42" i="18"/>
  <c r="L42" i="18"/>
  <c r="H42" i="18"/>
  <c r="N42" i="18" s="1"/>
  <c r="D42" i="18"/>
  <c r="B42" i="18"/>
  <c r="T41" i="18"/>
  <c r="P41" i="18"/>
  <c r="X41" i="18" s="1"/>
  <c r="N41" i="18"/>
  <c r="L41" i="18"/>
  <c r="H41" i="18"/>
  <c r="D41" i="18"/>
  <c r="B41" i="18"/>
  <c r="T40" i="18"/>
  <c r="P40" i="18"/>
  <c r="H40" i="18"/>
  <c r="D40" i="18"/>
  <c r="L40" i="18" s="1"/>
  <c r="B40" i="18"/>
  <c r="T39" i="18"/>
  <c r="P39" i="18"/>
  <c r="X39" i="18" s="1"/>
  <c r="L39" i="18"/>
  <c r="N39" i="18" s="1"/>
  <c r="H39" i="18"/>
  <c r="D39" i="18"/>
  <c r="B39" i="18"/>
  <c r="X38" i="18"/>
  <c r="T38" i="18"/>
  <c r="P38" i="18"/>
  <c r="L38" i="18"/>
  <c r="H38" i="18"/>
  <c r="N38" i="18" s="1"/>
  <c r="D38" i="18"/>
  <c r="B38" i="18"/>
  <c r="T37" i="18"/>
  <c r="P37" i="18"/>
  <c r="X37" i="18" s="1"/>
  <c r="N37" i="18"/>
  <c r="L37" i="18"/>
  <c r="H37" i="18"/>
  <c r="D37" i="18"/>
  <c r="B37" i="18"/>
  <c r="T36" i="18"/>
  <c r="P36" i="18"/>
  <c r="L36" i="18"/>
  <c r="H36" i="18"/>
  <c r="D36" i="18"/>
  <c r="B36" i="18"/>
  <c r="T35" i="18"/>
  <c r="Z35" i="18" s="1"/>
  <c r="P35" i="18"/>
  <c r="X35" i="18" s="1"/>
  <c r="L35" i="18"/>
  <c r="N35" i="18" s="1"/>
  <c r="H35" i="18"/>
  <c r="D35" i="18"/>
  <c r="B35" i="18"/>
  <c r="X34" i="18"/>
  <c r="T34" i="18"/>
  <c r="Z34" i="18" s="1"/>
  <c r="P34" i="18"/>
  <c r="L34" i="18"/>
  <c r="H34" i="18"/>
  <c r="N34" i="18" s="1"/>
  <c r="D34" i="18"/>
  <c r="B34" i="18"/>
  <c r="T33" i="18"/>
  <c r="P33" i="18"/>
  <c r="N33" i="18"/>
  <c r="L33" i="18"/>
  <c r="H33" i="18"/>
  <c r="D33" i="18"/>
  <c r="B33" i="18"/>
  <c r="T32" i="18"/>
  <c r="P32" i="18"/>
  <c r="H32" i="18"/>
  <c r="D32" i="18"/>
  <c r="L32" i="18" s="1"/>
  <c r="B32" i="18"/>
  <c r="T31" i="18"/>
  <c r="P31" i="18"/>
  <c r="X31" i="18" s="1"/>
  <c r="L31" i="18"/>
  <c r="N31" i="18" s="1"/>
  <c r="H31" i="18"/>
  <c r="D31" i="18"/>
  <c r="B31" i="18"/>
  <c r="X30" i="18"/>
  <c r="T30" i="18"/>
  <c r="P30" i="18"/>
  <c r="L30" i="18"/>
  <c r="H30" i="18"/>
  <c r="N30" i="18" s="1"/>
  <c r="D30" i="18"/>
  <c r="B30" i="18"/>
  <c r="T29" i="18"/>
  <c r="P29" i="18"/>
  <c r="X29" i="18" s="1"/>
  <c r="N29" i="18"/>
  <c r="L29" i="18"/>
  <c r="H29" i="18"/>
  <c r="D29" i="18"/>
  <c r="B29" i="18"/>
  <c r="T28" i="18"/>
  <c r="P28" i="18"/>
  <c r="L28" i="18"/>
  <c r="H28" i="18"/>
  <c r="D28" i="18"/>
  <c r="B28" i="18"/>
  <c r="T27" i="18"/>
  <c r="Z27" i="18" s="1"/>
  <c r="P27" i="18"/>
  <c r="X27" i="18" s="1"/>
  <c r="L27" i="18"/>
  <c r="N27" i="18" s="1"/>
  <c r="H27" i="18"/>
  <c r="D27" i="18"/>
  <c r="B27" i="18"/>
  <c r="X26" i="18"/>
  <c r="T26" i="18"/>
  <c r="Z26" i="18" s="1"/>
  <c r="P26" i="18"/>
  <c r="L26" i="18"/>
  <c r="H26" i="18"/>
  <c r="N26" i="18" s="1"/>
  <c r="D26" i="18"/>
  <c r="B26" i="18"/>
  <c r="T25" i="18"/>
  <c r="P25" i="18"/>
  <c r="N25" i="18"/>
  <c r="L25" i="18"/>
  <c r="H25" i="18"/>
  <c r="D25" i="18"/>
  <c r="B25" i="18"/>
  <c r="T24" i="18"/>
  <c r="P24" i="18"/>
  <c r="H24" i="18"/>
  <c r="D24" i="18"/>
  <c r="L24" i="18" s="1"/>
  <c r="B24" i="18"/>
  <c r="T23" i="18"/>
  <c r="P23" i="18"/>
  <c r="X23" i="18" s="1"/>
  <c r="N23" i="18"/>
  <c r="L23" i="18"/>
  <c r="H23" i="18"/>
  <c r="D23" i="18"/>
  <c r="B23" i="18"/>
  <c r="X22" i="18"/>
  <c r="T22" i="18"/>
  <c r="P22" i="18"/>
  <c r="L22" i="18"/>
  <c r="H22" i="18"/>
  <c r="N22" i="18" s="1"/>
  <c r="D22" i="18"/>
  <c r="B22" i="18"/>
  <c r="T21" i="18"/>
  <c r="P21" i="18"/>
  <c r="N21" i="18"/>
  <c r="L21" i="18"/>
  <c r="H21" i="18"/>
  <c r="D21" i="18"/>
  <c r="B21" i="18"/>
  <c r="T20" i="18"/>
  <c r="P20" i="18"/>
  <c r="H20" i="18"/>
  <c r="D20" i="18"/>
  <c r="B20" i="18"/>
  <c r="T19" i="18"/>
  <c r="P19" i="18"/>
  <c r="X19" i="18" s="1"/>
  <c r="L19" i="18"/>
  <c r="N19" i="18" s="1"/>
  <c r="H19" i="18"/>
  <c r="D19" i="18"/>
  <c r="B19" i="18"/>
  <c r="X18" i="18"/>
  <c r="T18" i="18"/>
  <c r="Z18" i="18" s="1"/>
  <c r="P18" i="18"/>
  <c r="L18" i="18"/>
  <c r="H18" i="18"/>
  <c r="N18" i="18" s="1"/>
  <c r="D18" i="18"/>
  <c r="B18" i="18"/>
  <c r="T17" i="18"/>
  <c r="P17" i="18"/>
  <c r="X17" i="18" s="1"/>
  <c r="N17" i="18"/>
  <c r="L17" i="18"/>
  <c r="H17" i="18"/>
  <c r="D17" i="18"/>
  <c r="B17" i="18"/>
  <c r="T16" i="18"/>
  <c r="P16" i="18"/>
  <c r="L16" i="18"/>
  <c r="H16" i="18"/>
  <c r="D16" i="18"/>
  <c r="B16" i="18"/>
  <c r="T15" i="18"/>
  <c r="P15" i="18"/>
  <c r="X15" i="18" s="1"/>
  <c r="L15" i="18"/>
  <c r="N15" i="18" s="1"/>
  <c r="H15" i="18"/>
  <c r="D15" i="18"/>
  <c r="B15" i="18"/>
  <c r="X14" i="18"/>
  <c r="T14" i="18"/>
  <c r="P14" i="18"/>
  <c r="L14" i="18"/>
  <c r="H14" i="18"/>
  <c r="N14" i="18" s="1"/>
  <c r="D14" i="18"/>
  <c r="B14" i="18"/>
  <c r="T13" i="18"/>
  <c r="P13" i="18"/>
  <c r="P12" i="18" s="1"/>
  <c r="R159" i="18" s="1"/>
  <c r="N13" i="18"/>
  <c r="L13" i="18"/>
  <c r="H13" i="18"/>
  <c r="D13" i="18"/>
  <c r="B13" i="18"/>
  <c r="H12" i="18"/>
  <c r="J264" i="18" s="1"/>
  <c r="D4" i="18"/>
  <c r="Z254" i="15"/>
  <c r="X254" i="15"/>
  <c r="L254" i="15"/>
  <c r="N254" i="15" s="1"/>
  <c r="Z250" i="15"/>
  <c r="X250" i="15"/>
  <c r="T250" i="15"/>
  <c r="P250" i="15"/>
  <c r="N250" i="15"/>
  <c r="L250" i="15"/>
  <c r="H250" i="15"/>
  <c r="D250" i="15"/>
  <c r="B250" i="15"/>
  <c r="Z249" i="15"/>
  <c r="T249" i="15"/>
  <c r="P249" i="15"/>
  <c r="X249" i="15" s="1"/>
  <c r="N249" i="15"/>
  <c r="H249" i="15"/>
  <c r="D249" i="15"/>
  <c r="B249" i="15"/>
  <c r="T248" i="15"/>
  <c r="P248" i="15"/>
  <c r="X248" i="15" s="1"/>
  <c r="H248" i="15"/>
  <c r="N248" i="15" s="1"/>
  <c r="D248" i="15"/>
  <c r="L248" i="15" s="1"/>
  <c r="B248" i="15"/>
  <c r="X247" i="15"/>
  <c r="T247" i="15"/>
  <c r="P247" i="15"/>
  <c r="L247" i="15"/>
  <c r="H247" i="15"/>
  <c r="D247" i="15"/>
  <c r="B247" i="15"/>
  <c r="Z246" i="15"/>
  <c r="T246" i="15"/>
  <c r="X246" i="15" s="1"/>
  <c r="P246" i="15"/>
  <c r="N246" i="15"/>
  <c r="H246" i="15"/>
  <c r="L246" i="15" s="1"/>
  <c r="D246" i="15"/>
  <c r="B246" i="15"/>
  <c r="T245" i="15"/>
  <c r="P245" i="15"/>
  <c r="X245" i="15" s="1"/>
  <c r="Z245" i="15" s="1"/>
  <c r="L245" i="15"/>
  <c r="N245" i="15" s="1"/>
  <c r="H245" i="15"/>
  <c r="D245" i="15"/>
  <c r="D242" i="15" s="1"/>
  <c r="B245" i="15"/>
  <c r="X244" i="15"/>
  <c r="Z244" i="15" s="1"/>
  <c r="T244" i="15"/>
  <c r="P244" i="15"/>
  <c r="N244" i="15"/>
  <c r="L244" i="15"/>
  <c r="H244" i="15"/>
  <c r="D244" i="15"/>
  <c r="B244" i="15"/>
  <c r="T243" i="15"/>
  <c r="T242" i="15" s="1"/>
  <c r="P243" i="15"/>
  <c r="H243" i="15"/>
  <c r="D243" i="15"/>
  <c r="B243" i="15"/>
  <c r="P242" i="15"/>
  <c r="X240" i="15"/>
  <c r="Z240" i="15" s="1"/>
  <c r="N240" i="15"/>
  <c r="L240" i="15"/>
  <c r="B240" i="15"/>
  <c r="T239" i="15"/>
  <c r="P239" i="15"/>
  <c r="X239" i="15" s="1"/>
  <c r="Z239" i="15" s="1"/>
  <c r="L239" i="15"/>
  <c r="N239" i="15" s="1"/>
  <c r="H239" i="15"/>
  <c r="D239" i="15"/>
  <c r="B239" i="15"/>
  <c r="X238" i="15"/>
  <c r="Z238" i="15" s="1"/>
  <c r="N238" i="15"/>
  <c r="L238" i="15"/>
  <c r="B238" i="15"/>
  <c r="X237" i="15"/>
  <c r="Z237" i="15" s="1"/>
  <c r="N237" i="15"/>
  <c r="L237" i="15"/>
  <c r="B237" i="15"/>
  <c r="X236" i="15"/>
  <c r="Z236" i="15" s="1"/>
  <c r="N236" i="15"/>
  <c r="L236" i="15"/>
  <c r="F236" i="15"/>
  <c r="B236" i="15"/>
  <c r="T235" i="15"/>
  <c r="X235" i="15" s="1"/>
  <c r="P235" i="15"/>
  <c r="L235" i="15"/>
  <c r="H235" i="15"/>
  <c r="D235" i="15"/>
  <c r="B235" i="15"/>
  <c r="Z234" i="15"/>
  <c r="X234" i="15"/>
  <c r="N234" i="15"/>
  <c r="L234" i="15"/>
  <c r="B234" i="15"/>
  <c r="T233" i="15"/>
  <c r="Z233" i="15" s="1"/>
  <c r="P233" i="15"/>
  <c r="X233" i="15" s="1"/>
  <c r="H233" i="15"/>
  <c r="D233" i="15"/>
  <c r="L233" i="15" s="1"/>
  <c r="N233" i="15" s="1"/>
  <c r="B233" i="15"/>
  <c r="Z232" i="15"/>
  <c r="X232" i="15"/>
  <c r="N232" i="15"/>
  <c r="L232" i="15"/>
  <c r="B232" i="15"/>
  <c r="X231" i="15"/>
  <c r="Z231" i="15" s="1"/>
  <c r="L231" i="15"/>
  <c r="N231" i="15" s="1"/>
  <c r="B231" i="15"/>
  <c r="T230" i="15"/>
  <c r="P230" i="15"/>
  <c r="X230" i="15" s="1"/>
  <c r="H230" i="15"/>
  <c r="N230" i="15" s="1"/>
  <c r="D230" i="15"/>
  <c r="L230" i="15" s="1"/>
  <c r="B230" i="15"/>
  <c r="X229" i="15"/>
  <c r="Z229" i="15" s="1"/>
  <c r="N229" i="15"/>
  <c r="L229" i="15"/>
  <c r="F229" i="15"/>
  <c r="B229" i="15"/>
  <c r="X228" i="15"/>
  <c r="Z228" i="15" s="1"/>
  <c r="N228" i="15"/>
  <c r="L228" i="15"/>
  <c r="B228" i="15"/>
  <c r="X227" i="15"/>
  <c r="Z227" i="15" s="1"/>
  <c r="N227" i="15"/>
  <c r="L227" i="15"/>
  <c r="F227" i="15"/>
  <c r="B227" i="15"/>
  <c r="X226" i="15"/>
  <c r="Z226" i="15" s="1"/>
  <c r="N226" i="15"/>
  <c r="L226" i="15"/>
  <c r="B226" i="15"/>
  <c r="X225" i="15"/>
  <c r="Z225" i="15" s="1"/>
  <c r="N225" i="15"/>
  <c r="L225" i="15"/>
  <c r="B225" i="15"/>
  <c r="Z224" i="15"/>
  <c r="X224" i="15"/>
  <c r="N224" i="15"/>
  <c r="L224" i="15"/>
  <c r="B224" i="15"/>
  <c r="X223" i="15"/>
  <c r="Z223" i="15" s="1"/>
  <c r="N223" i="15"/>
  <c r="L223" i="15"/>
  <c r="B223" i="15"/>
  <c r="X222" i="15"/>
  <c r="Z222" i="15" s="1"/>
  <c r="T222" i="15"/>
  <c r="P222" i="15"/>
  <c r="N222" i="15"/>
  <c r="L222" i="15"/>
  <c r="H222" i="15"/>
  <c r="D222" i="15"/>
  <c r="B222" i="15"/>
  <c r="Z221" i="15"/>
  <c r="X221" i="15"/>
  <c r="L221" i="15"/>
  <c r="N221" i="15" s="1"/>
  <c r="B221" i="15"/>
  <c r="Z220" i="15"/>
  <c r="X220" i="15"/>
  <c r="N220" i="15"/>
  <c r="L220" i="15"/>
  <c r="B220" i="15"/>
  <c r="T219" i="15"/>
  <c r="P219" i="15"/>
  <c r="H219" i="15"/>
  <c r="D219" i="15"/>
  <c r="L219" i="15" s="1"/>
  <c r="N219" i="15" s="1"/>
  <c r="B219" i="15"/>
  <c r="Z218" i="15"/>
  <c r="X218" i="15"/>
  <c r="L218" i="15"/>
  <c r="N218" i="15" s="1"/>
  <c r="B218" i="15"/>
  <c r="X217" i="15"/>
  <c r="Z217" i="15" s="1"/>
  <c r="L217" i="15"/>
  <c r="N217" i="15" s="1"/>
  <c r="B217" i="15"/>
  <c r="Z216" i="15"/>
  <c r="X216" i="15"/>
  <c r="L216" i="15"/>
  <c r="N216" i="15" s="1"/>
  <c r="B216" i="15"/>
  <c r="X215" i="15"/>
  <c r="Z215" i="15" s="1"/>
  <c r="L215" i="15"/>
  <c r="N215" i="15" s="1"/>
  <c r="B215" i="15"/>
  <c r="T214" i="15"/>
  <c r="P214" i="15"/>
  <c r="X214" i="15" s="1"/>
  <c r="H214" i="15"/>
  <c r="D214" i="15"/>
  <c r="L214" i="15" s="1"/>
  <c r="B214" i="15"/>
  <c r="X213" i="15"/>
  <c r="Z213" i="15" s="1"/>
  <c r="N213" i="15"/>
  <c r="L213" i="15"/>
  <c r="B213" i="15"/>
  <c r="X212" i="15"/>
  <c r="Z212" i="15" s="1"/>
  <c r="N212" i="15"/>
  <c r="L212" i="15"/>
  <c r="B212" i="15"/>
  <c r="X211" i="15"/>
  <c r="Z211" i="15" s="1"/>
  <c r="N211" i="15"/>
  <c r="L211" i="15"/>
  <c r="B211" i="15"/>
  <c r="X210" i="15"/>
  <c r="Z210" i="15" s="1"/>
  <c r="T210" i="15"/>
  <c r="P210" i="15"/>
  <c r="L210" i="15"/>
  <c r="N210" i="15" s="1"/>
  <c r="H210" i="15"/>
  <c r="D210" i="15"/>
  <c r="B210" i="15"/>
  <c r="Z209" i="15"/>
  <c r="X209" i="15"/>
  <c r="L209" i="15"/>
  <c r="N209" i="15" s="1"/>
  <c r="B209" i="15"/>
  <c r="Z208" i="15"/>
  <c r="X208" i="15"/>
  <c r="N208" i="15"/>
  <c r="L208" i="15"/>
  <c r="B208" i="15"/>
  <c r="Z207" i="15"/>
  <c r="X207" i="15"/>
  <c r="N207" i="15"/>
  <c r="L207" i="15"/>
  <c r="B207" i="15"/>
  <c r="Z206" i="15"/>
  <c r="X206" i="15"/>
  <c r="N206" i="15"/>
  <c r="L206" i="15"/>
  <c r="B206" i="15"/>
  <c r="Z205" i="15"/>
  <c r="T205" i="15"/>
  <c r="P205" i="15"/>
  <c r="X205" i="15" s="1"/>
  <c r="N205" i="15"/>
  <c r="H205" i="15"/>
  <c r="D205" i="15"/>
  <c r="L205" i="15" s="1"/>
  <c r="B205" i="15"/>
  <c r="X204" i="15"/>
  <c r="Z204" i="15" s="1"/>
  <c r="N204" i="15"/>
  <c r="L204" i="15"/>
  <c r="B204" i="15"/>
  <c r="T203" i="15"/>
  <c r="P203" i="15"/>
  <c r="X203" i="15" s="1"/>
  <c r="Z203" i="15" s="1"/>
  <c r="H203" i="15"/>
  <c r="D203" i="15"/>
  <c r="L203" i="15" s="1"/>
  <c r="N203" i="15" s="1"/>
  <c r="B203" i="15"/>
  <c r="Z202" i="15"/>
  <c r="X202" i="15"/>
  <c r="N202" i="15"/>
  <c r="L202" i="15"/>
  <c r="B202" i="15"/>
  <c r="T201" i="15"/>
  <c r="P201" i="15"/>
  <c r="H201" i="15"/>
  <c r="N201" i="15" s="1"/>
  <c r="D201" i="15"/>
  <c r="B201" i="15"/>
  <c r="Z200" i="15"/>
  <c r="X200" i="15"/>
  <c r="N200" i="15"/>
  <c r="L200" i="15"/>
  <c r="B200" i="15"/>
  <c r="T199" i="15"/>
  <c r="P199" i="15"/>
  <c r="X199" i="15" s="1"/>
  <c r="Z199" i="15" s="1"/>
  <c r="N199" i="15"/>
  <c r="H199" i="15"/>
  <c r="D199" i="15"/>
  <c r="L199" i="15" s="1"/>
  <c r="B199" i="15"/>
  <c r="Z198" i="15"/>
  <c r="X198" i="15"/>
  <c r="N198" i="15"/>
  <c r="L198" i="15"/>
  <c r="B198" i="15"/>
  <c r="X197" i="15"/>
  <c r="Z197" i="15" s="1"/>
  <c r="T197" i="15"/>
  <c r="P197" i="15"/>
  <c r="H197" i="15"/>
  <c r="D197" i="15"/>
  <c r="L197" i="15" s="1"/>
  <c r="N197" i="15" s="1"/>
  <c r="B197" i="15"/>
  <c r="Z196" i="15"/>
  <c r="X196" i="15"/>
  <c r="N196" i="15"/>
  <c r="L196" i="15"/>
  <c r="B196" i="15"/>
  <c r="T195" i="15"/>
  <c r="P195" i="15"/>
  <c r="L195" i="15"/>
  <c r="H195" i="15"/>
  <c r="D195" i="15"/>
  <c r="B195" i="15"/>
  <c r="X194" i="15"/>
  <c r="Z194" i="15" s="1"/>
  <c r="N194" i="15"/>
  <c r="L194" i="15"/>
  <c r="B194" i="15"/>
  <c r="Z193" i="15"/>
  <c r="X193" i="15"/>
  <c r="L193" i="15"/>
  <c r="N193" i="15" s="1"/>
  <c r="B193" i="15"/>
  <c r="X192" i="15"/>
  <c r="Z192" i="15" s="1"/>
  <c r="T192" i="15"/>
  <c r="P192" i="15"/>
  <c r="L192" i="15"/>
  <c r="N192" i="15" s="1"/>
  <c r="H192" i="15"/>
  <c r="D192" i="15"/>
  <c r="B192" i="15"/>
  <c r="X191" i="15"/>
  <c r="Z191" i="15" s="1"/>
  <c r="L191" i="15"/>
  <c r="N191" i="15" s="1"/>
  <c r="B191" i="15"/>
  <c r="T190" i="15"/>
  <c r="P190" i="15"/>
  <c r="H190" i="15"/>
  <c r="D190" i="15"/>
  <c r="L190" i="15" s="1"/>
  <c r="B190" i="15"/>
  <c r="X189" i="15"/>
  <c r="Z189" i="15" s="1"/>
  <c r="N189" i="15"/>
  <c r="L189" i="15"/>
  <c r="B189" i="15"/>
  <c r="T188" i="15"/>
  <c r="R188" i="15"/>
  <c r="P188" i="15"/>
  <c r="X188" i="15" s="1"/>
  <c r="Z188" i="15" s="1"/>
  <c r="L188" i="15"/>
  <c r="N188" i="15" s="1"/>
  <c r="H188" i="15"/>
  <c r="D188" i="15"/>
  <c r="B188" i="15"/>
  <c r="Z187" i="15"/>
  <c r="X187" i="15"/>
  <c r="L187" i="15"/>
  <c r="N187" i="15" s="1"/>
  <c r="B187" i="15"/>
  <c r="T186" i="15"/>
  <c r="X186" i="15" s="1"/>
  <c r="Z186" i="15" s="1"/>
  <c r="P186" i="15"/>
  <c r="L186" i="15"/>
  <c r="H186" i="15"/>
  <c r="N186" i="15" s="1"/>
  <c r="D186" i="15"/>
  <c r="B186" i="15"/>
  <c r="X185" i="15"/>
  <c r="Z185" i="15" s="1"/>
  <c r="L185" i="15"/>
  <c r="N185" i="15" s="1"/>
  <c r="B185" i="15"/>
  <c r="X184" i="15"/>
  <c r="Z184" i="15" s="1"/>
  <c r="N184" i="15"/>
  <c r="L184" i="15"/>
  <c r="B184" i="15"/>
  <c r="Z183" i="15"/>
  <c r="X183" i="15"/>
  <c r="T183" i="15"/>
  <c r="P183" i="15"/>
  <c r="H183" i="15"/>
  <c r="D183" i="15"/>
  <c r="L183" i="15" s="1"/>
  <c r="N183" i="15" s="1"/>
  <c r="B183" i="15"/>
  <c r="X182" i="15"/>
  <c r="Z182" i="15" s="1"/>
  <c r="L182" i="15"/>
  <c r="N182" i="15" s="1"/>
  <c r="B182" i="15"/>
  <c r="X181" i="15"/>
  <c r="Z181" i="15" s="1"/>
  <c r="N181" i="15"/>
  <c r="L181" i="15"/>
  <c r="B181" i="15"/>
  <c r="X180" i="15"/>
  <c r="Z180" i="15" s="1"/>
  <c r="T180" i="15"/>
  <c r="P180" i="15"/>
  <c r="H180" i="15"/>
  <c r="F180" i="15"/>
  <c r="D180" i="15"/>
  <c r="L180" i="15" s="1"/>
  <c r="N180" i="15" s="1"/>
  <c r="B180" i="15"/>
  <c r="Z179" i="15"/>
  <c r="X179" i="15"/>
  <c r="N179" i="15"/>
  <c r="L179" i="15"/>
  <c r="B179" i="15"/>
  <c r="T178" i="15"/>
  <c r="P178" i="15"/>
  <c r="H178" i="15"/>
  <c r="L178" i="15" s="1"/>
  <c r="N178" i="15" s="1"/>
  <c r="D178" i="15"/>
  <c r="B178" i="15"/>
  <c r="Z177" i="15"/>
  <c r="X177" i="15"/>
  <c r="L177" i="15"/>
  <c r="N177" i="15" s="1"/>
  <c r="B177" i="15"/>
  <c r="T176" i="15"/>
  <c r="P176" i="15"/>
  <c r="H176" i="15"/>
  <c r="D176" i="15"/>
  <c r="B176" i="15"/>
  <c r="Z175" i="15"/>
  <c r="X175" i="15"/>
  <c r="N175" i="15"/>
  <c r="L175" i="15"/>
  <c r="B175" i="15"/>
  <c r="T174" i="15"/>
  <c r="P174" i="15"/>
  <c r="X174" i="15" s="1"/>
  <c r="Z174" i="15" s="1"/>
  <c r="L174" i="15"/>
  <c r="N174" i="15" s="1"/>
  <c r="H174" i="15"/>
  <c r="D174" i="15"/>
  <c r="B174" i="15"/>
  <c r="Z173" i="15"/>
  <c r="X173" i="15"/>
  <c r="N173" i="15"/>
  <c r="L173" i="15"/>
  <c r="B173" i="15"/>
  <c r="Z172" i="15"/>
  <c r="X172" i="15"/>
  <c r="L172" i="15"/>
  <c r="N172" i="15" s="1"/>
  <c r="B172" i="15"/>
  <c r="Z171" i="15"/>
  <c r="X171" i="15"/>
  <c r="N171" i="15"/>
  <c r="L171" i="15"/>
  <c r="B171" i="15"/>
  <c r="Z170" i="15"/>
  <c r="X170" i="15"/>
  <c r="N170" i="15"/>
  <c r="L170" i="15"/>
  <c r="B170" i="15"/>
  <c r="Z169" i="15"/>
  <c r="X169" i="15"/>
  <c r="L169" i="15"/>
  <c r="N169" i="15" s="1"/>
  <c r="B169" i="15"/>
  <c r="Z168" i="15"/>
  <c r="X168" i="15"/>
  <c r="L168" i="15"/>
  <c r="N168" i="15" s="1"/>
  <c r="F168" i="15"/>
  <c r="B168" i="15"/>
  <c r="X167" i="15"/>
  <c r="Z167" i="15" s="1"/>
  <c r="N167" i="15"/>
  <c r="L167" i="15"/>
  <c r="B167" i="15"/>
  <c r="X166" i="15"/>
  <c r="Z166" i="15" s="1"/>
  <c r="T166" i="15"/>
  <c r="P166" i="15"/>
  <c r="H166" i="15"/>
  <c r="L166" i="15" s="1"/>
  <c r="D166" i="15"/>
  <c r="B166" i="15"/>
  <c r="Z165" i="15"/>
  <c r="X165" i="15"/>
  <c r="N165" i="15"/>
  <c r="L165" i="15"/>
  <c r="B165" i="15"/>
  <c r="Z164" i="15"/>
  <c r="X164" i="15"/>
  <c r="L164" i="15"/>
  <c r="N164" i="15" s="1"/>
  <c r="B164" i="15"/>
  <c r="Z163" i="15"/>
  <c r="X163" i="15"/>
  <c r="L163" i="15"/>
  <c r="N163" i="15" s="1"/>
  <c r="B163" i="15"/>
  <c r="Z162" i="15"/>
  <c r="X162" i="15"/>
  <c r="L162" i="15"/>
  <c r="N162" i="15" s="1"/>
  <c r="B162" i="15"/>
  <c r="Z161" i="15"/>
  <c r="X161" i="15"/>
  <c r="N161" i="15"/>
  <c r="L161" i="15"/>
  <c r="B161" i="15"/>
  <c r="Z160" i="15"/>
  <c r="X160" i="15"/>
  <c r="L160" i="15"/>
  <c r="N160" i="15" s="1"/>
  <c r="B160" i="15"/>
  <c r="Z159" i="15"/>
  <c r="X159" i="15"/>
  <c r="L159" i="15"/>
  <c r="N159" i="15" s="1"/>
  <c r="B159" i="15"/>
  <c r="Z158" i="15"/>
  <c r="X158" i="15"/>
  <c r="L158" i="15"/>
  <c r="N158" i="15" s="1"/>
  <c r="B158" i="15"/>
  <c r="Z157" i="15"/>
  <c r="X157" i="15"/>
  <c r="N157" i="15"/>
  <c r="L157" i="15"/>
  <c r="B157" i="15"/>
  <c r="Z156" i="15"/>
  <c r="X156" i="15"/>
  <c r="L156" i="15"/>
  <c r="N156" i="15" s="1"/>
  <c r="B156" i="15"/>
  <c r="T155" i="15"/>
  <c r="P155" i="15"/>
  <c r="X155" i="15" s="1"/>
  <c r="Z155" i="15" s="1"/>
  <c r="H155" i="15"/>
  <c r="D155" i="15"/>
  <c r="B155" i="15"/>
  <c r="T154" i="15"/>
  <c r="P154" i="15"/>
  <c r="X154" i="15" s="1"/>
  <c r="H154" i="15"/>
  <c r="D154" i="15"/>
  <c r="L154" i="15" s="1"/>
  <c r="X150" i="15"/>
  <c r="Z150" i="15" s="1"/>
  <c r="L150" i="15"/>
  <c r="N150" i="15" s="1"/>
  <c r="B150" i="15"/>
  <c r="Z149" i="15"/>
  <c r="X149" i="15"/>
  <c r="N149" i="15"/>
  <c r="L149" i="15"/>
  <c r="B149" i="15"/>
  <c r="X148" i="15"/>
  <c r="Z148" i="15" s="1"/>
  <c r="L148" i="15"/>
  <c r="N148" i="15" s="1"/>
  <c r="B148" i="15"/>
  <c r="Z147" i="15"/>
  <c r="X147" i="15"/>
  <c r="N147" i="15"/>
  <c r="L147" i="15"/>
  <c r="B147" i="15"/>
  <c r="X146" i="15"/>
  <c r="Z146" i="15" s="1"/>
  <c r="L146" i="15"/>
  <c r="N146" i="15" s="1"/>
  <c r="B146" i="15"/>
  <c r="Z145" i="15"/>
  <c r="X145" i="15"/>
  <c r="N145" i="15"/>
  <c r="L145" i="15"/>
  <c r="B145" i="15"/>
  <c r="X144" i="15"/>
  <c r="Z144" i="15" s="1"/>
  <c r="L144" i="15"/>
  <c r="N144" i="15" s="1"/>
  <c r="B144" i="15"/>
  <c r="Z143" i="15"/>
  <c r="X143" i="15"/>
  <c r="L143" i="15"/>
  <c r="N143" i="15" s="1"/>
  <c r="B143" i="15"/>
  <c r="X142" i="15"/>
  <c r="Z142" i="15" s="1"/>
  <c r="L142" i="15"/>
  <c r="N142" i="15" s="1"/>
  <c r="B142" i="15"/>
  <c r="Z141" i="15"/>
  <c r="X141" i="15"/>
  <c r="N141" i="15"/>
  <c r="L141" i="15"/>
  <c r="B141" i="15"/>
  <c r="X140" i="15"/>
  <c r="Z140" i="15" s="1"/>
  <c r="N140" i="15"/>
  <c r="L140" i="15"/>
  <c r="B140" i="15"/>
  <c r="Z139" i="15"/>
  <c r="X139" i="15"/>
  <c r="L139" i="15"/>
  <c r="N139" i="15" s="1"/>
  <c r="B139" i="15"/>
  <c r="X138" i="15"/>
  <c r="Z138" i="15" s="1"/>
  <c r="L138" i="15"/>
  <c r="N138" i="15" s="1"/>
  <c r="B138" i="15"/>
  <c r="Z137" i="15"/>
  <c r="X137" i="15"/>
  <c r="N137" i="15"/>
  <c r="L137" i="15"/>
  <c r="B137" i="15"/>
  <c r="X136" i="15"/>
  <c r="Z136" i="15" s="1"/>
  <c r="L136" i="15"/>
  <c r="N136" i="15" s="1"/>
  <c r="B136" i="15"/>
  <c r="Z135" i="15"/>
  <c r="X135" i="15"/>
  <c r="L135" i="15"/>
  <c r="N135" i="15" s="1"/>
  <c r="B135" i="15"/>
  <c r="Z134" i="15"/>
  <c r="X134" i="15"/>
  <c r="N134" i="15"/>
  <c r="L134" i="15"/>
  <c r="B134" i="15"/>
  <c r="Z133" i="15"/>
  <c r="X133" i="15"/>
  <c r="N133" i="15"/>
  <c r="L133" i="15"/>
  <c r="B133" i="15"/>
  <c r="X132" i="15"/>
  <c r="Z132" i="15" s="1"/>
  <c r="L132" i="15"/>
  <c r="N132" i="15" s="1"/>
  <c r="B132" i="15"/>
  <c r="Z131" i="15"/>
  <c r="X131" i="15"/>
  <c r="L131" i="15"/>
  <c r="N131" i="15" s="1"/>
  <c r="B131" i="15"/>
  <c r="X130" i="15"/>
  <c r="Z130" i="15" s="1"/>
  <c r="L130" i="15"/>
  <c r="N130" i="15" s="1"/>
  <c r="B130" i="15"/>
  <c r="Z129" i="15"/>
  <c r="X129" i="15"/>
  <c r="N129" i="15"/>
  <c r="L129" i="15"/>
  <c r="B129" i="15"/>
  <c r="X128" i="15"/>
  <c r="Z128" i="15" s="1"/>
  <c r="L128" i="15"/>
  <c r="N128" i="15" s="1"/>
  <c r="B128" i="15"/>
  <c r="Z127" i="15"/>
  <c r="X127" i="15"/>
  <c r="L127" i="15"/>
  <c r="N127" i="15" s="1"/>
  <c r="B127" i="15"/>
  <c r="X126" i="15"/>
  <c r="Z126" i="15" s="1"/>
  <c r="L126" i="15"/>
  <c r="N126" i="15" s="1"/>
  <c r="B126" i="15"/>
  <c r="Z125" i="15"/>
  <c r="X125" i="15"/>
  <c r="N125" i="15"/>
  <c r="L125" i="15"/>
  <c r="B125" i="15"/>
  <c r="X124" i="15"/>
  <c r="Z124" i="15" s="1"/>
  <c r="L124" i="15"/>
  <c r="N124" i="15" s="1"/>
  <c r="B124" i="15"/>
  <c r="Z123" i="15"/>
  <c r="X123" i="15"/>
  <c r="L123" i="15"/>
  <c r="N123" i="15" s="1"/>
  <c r="B123" i="15"/>
  <c r="X122" i="15"/>
  <c r="Z122" i="15" s="1"/>
  <c r="L122" i="15"/>
  <c r="N122" i="15" s="1"/>
  <c r="B122" i="15"/>
  <c r="Z121" i="15"/>
  <c r="X121" i="15"/>
  <c r="N121" i="15"/>
  <c r="L121" i="15"/>
  <c r="B121" i="15"/>
  <c r="X120" i="15"/>
  <c r="Z120" i="15" s="1"/>
  <c r="L120" i="15"/>
  <c r="N120" i="15" s="1"/>
  <c r="B120" i="15"/>
  <c r="Z119" i="15"/>
  <c r="X119" i="15"/>
  <c r="L119" i="15"/>
  <c r="N119" i="15" s="1"/>
  <c r="B119" i="15"/>
  <c r="X118" i="15"/>
  <c r="Z118" i="15" s="1"/>
  <c r="L118" i="15"/>
  <c r="N118" i="15" s="1"/>
  <c r="B118" i="15"/>
  <c r="Z117" i="15"/>
  <c r="X117" i="15"/>
  <c r="N117" i="15"/>
  <c r="L117" i="15"/>
  <c r="B117" i="15"/>
  <c r="X116" i="15"/>
  <c r="Z116" i="15" s="1"/>
  <c r="L116" i="15"/>
  <c r="N116" i="15" s="1"/>
  <c r="B116" i="15"/>
  <c r="Z115" i="15"/>
  <c r="X115" i="15"/>
  <c r="L115" i="15"/>
  <c r="N115" i="15" s="1"/>
  <c r="B115" i="15"/>
  <c r="X114" i="15"/>
  <c r="Z114" i="15" s="1"/>
  <c r="L114" i="15"/>
  <c r="N114" i="15" s="1"/>
  <c r="B114" i="15"/>
  <c r="Z113" i="15"/>
  <c r="X113" i="15"/>
  <c r="N113" i="15"/>
  <c r="L113" i="15"/>
  <c r="B113" i="15"/>
  <c r="X112" i="15"/>
  <c r="Z112" i="15" s="1"/>
  <c r="N112" i="15"/>
  <c r="L112" i="15"/>
  <c r="B112" i="15"/>
  <c r="Z111" i="15"/>
  <c r="X111" i="15"/>
  <c r="L111" i="15"/>
  <c r="N111" i="15" s="1"/>
  <c r="B111" i="15"/>
  <c r="X110" i="15"/>
  <c r="Z110" i="15" s="1"/>
  <c r="L110" i="15"/>
  <c r="N110" i="15" s="1"/>
  <c r="B110" i="15"/>
  <c r="Z109" i="15"/>
  <c r="X109" i="15"/>
  <c r="L109" i="15"/>
  <c r="N109" i="15" s="1"/>
  <c r="B109" i="15"/>
  <c r="X108" i="15"/>
  <c r="Z108" i="15" s="1"/>
  <c r="L108" i="15"/>
  <c r="N108" i="15" s="1"/>
  <c r="B108" i="15"/>
  <c r="Z107" i="15"/>
  <c r="X107" i="15"/>
  <c r="L107" i="15"/>
  <c r="N107" i="15" s="1"/>
  <c r="B107" i="15"/>
  <c r="X106" i="15"/>
  <c r="Z106" i="15" s="1"/>
  <c r="N106" i="15"/>
  <c r="L106" i="15"/>
  <c r="B106" i="15"/>
  <c r="Z105" i="15"/>
  <c r="X105" i="15"/>
  <c r="L105" i="15"/>
  <c r="N105" i="15" s="1"/>
  <c r="B105" i="15"/>
  <c r="X104" i="15"/>
  <c r="Z104" i="15" s="1"/>
  <c r="L104" i="15"/>
  <c r="N104" i="15" s="1"/>
  <c r="B104" i="15"/>
  <c r="T103" i="15"/>
  <c r="P103" i="15"/>
  <c r="X103" i="15" s="1"/>
  <c r="Z103" i="15" s="1"/>
  <c r="H103" i="15"/>
  <c r="D103" i="15"/>
  <c r="L103" i="15" s="1"/>
  <c r="N103" i="15" s="1"/>
  <c r="T101" i="15"/>
  <c r="P101" i="15"/>
  <c r="L101" i="15"/>
  <c r="H101" i="15"/>
  <c r="N101" i="15" s="1"/>
  <c r="D101" i="15"/>
  <c r="B101" i="15"/>
  <c r="T100" i="15"/>
  <c r="P100" i="15"/>
  <c r="L100" i="15"/>
  <c r="N100" i="15" s="1"/>
  <c r="H100" i="15"/>
  <c r="D100" i="15"/>
  <c r="B100" i="15"/>
  <c r="T99" i="15"/>
  <c r="P99" i="15"/>
  <c r="N99" i="15"/>
  <c r="L99" i="15"/>
  <c r="H99" i="15"/>
  <c r="D99" i="15"/>
  <c r="B99" i="15"/>
  <c r="T98" i="15"/>
  <c r="P98" i="15"/>
  <c r="L98" i="15"/>
  <c r="N98" i="15" s="1"/>
  <c r="H98" i="15"/>
  <c r="D98" i="15"/>
  <c r="B98" i="15"/>
  <c r="T97" i="15"/>
  <c r="P97" i="15"/>
  <c r="L97" i="15"/>
  <c r="H97" i="15"/>
  <c r="D97" i="15"/>
  <c r="B97" i="15"/>
  <c r="T96" i="15"/>
  <c r="P96" i="15"/>
  <c r="L96" i="15"/>
  <c r="N96" i="15" s="1"/>
  <c r="H96" i="15"/>
  <c r="D96" i="15"/>
  <c r="B96" i="15"/>
  <c r="T95" i="15"/>
  <c r="P95" i="15"/>
  <c r="L95" i="15"/>
  <c r="N95" i="15" s="1"/>
  <c r="H95" i="15"/>
  <c r="D95" i="15"/>
  <c r="B95" i="15"/>
  <c r="T94" i="15"/>
  <c r="P94" i="15"/>
  <c r="L94" i="15"/>
  <c r="N94" i="15" s="1"/>
  <c r="H94" i="15"/>
  <c r="D94" i="15"/>
  <c r="B94" i="15"/>
  <c r="T93" i="15"/>
  <c r="P93" i="15"/>
  <c r="L93" i="15"/>
  <c r="H93" i="15"/>
  <c r="D93" i="15"/>
  <c r="B93" i="15"/>
  <c r="T92" i="15"/>
  <c r="P92" i="15"/>
  <c r="L92" i="15"/>
  <c r="N92" i="15" s="1"/>
  <c r="H92" i="15"/>
  <c r="D92" i="15"/>
  <c r="B92" i="15"/>
  <c r="T91" i="15"/>
  <c r="P91" i="15"/>
  <c r="N91" i="15"/>
  <c r="L91" i="15"/>
  <c r="H91" i="15"/>
  <c r="D91" i="15"/>
  <c r="B91" i="15"/>
  <c r="T90" i="15"/>
  <c r="P90" i="15"/>
  <c r="X90" i="15" s="1"/>
  <c r="N90" i="15"/>
  <c r="L90" i="15"/>
  <c r="H90" i="15"/>
  <c r="D90" i="15"/>
  <c r="B90" i="15"/>
  <c r="T89" i="15"/>
  <c r="P89" i="15"/>
  <c r="L89" i="15"/>
  <c r="H89" i="15"/>
  <c r="N89" i="15" s="1"/>
  <c r="D89" i="15"/>
  <c r="B89" i="15"/>
  <c r="T88" i="15"/>
  <c r="P88" i="15"/>
  <c r="L88" i="15"/>
  <c r="N88" i="15" s="1"/>
  <c r="H88" i="15"/>
  <c r="D88" i="15"/>
  <c r="B88" i="15"/>
  <c r="T87" i="15"/>
  <c r="P87" i="15"/>
  <c r="L87" i="15"/>
  <c r="N87" i="15" s="1"/>
  <c r="H87" i="15"/>
  <c r="D87" i="15"/>
  <c r="B87" i="15"/>
  <c r="T86" i="15"/>
  <c r="P86" i="15"/>
  <c r="L86" i="15"/>
  <c r="N86" i="15" s="1"/>
  <c r="H86" i="15"/>
  <c r="D86" i="15"/>
  <c r="B86" i="15"/>
  <c r="T85" i="15"/>
  <c r="P85" i="15"/>
  <c r="L85" i="15"/>
  <c r="H85" i="15"/>
  <c r="N85" i="15" s="1"/>
  <c r="D85" i="15"/>
  <c r="B85" i="15"/>
  <c r="T84" i="15"/>
  <c r="P84" i="15"/>
  <c r="L84" i="15"/>
  <c r="N84" i="15" s="1"/>
  <c r="H84" i="15"/>
  <c r="D84" i="15"/>
  <c r="B84" i="15"/>
  <c r="T83" i="15"/>
  <c r="P83" i="15"/>
  <c r="L83" i="15"/>
  <c r="N83" i="15" s="1"/>
  <c r="H83" i="15"/>
  <c r="D83" i="15"/>
  <c r="B83" i="15"/>
  <c r="T82" i="15"/>
  <c r="P82" i="15"/>
  <c r="L82" i="15"/>
  <c r="N82" i="15" s="1"/>
  <c r="H82" i="15"/>
  <c r="D82" i="15"/>
  <c r="B82" i="15"/>
  <c r="T81" i="15"/>
  <c r="P81" i="15"/>
  <c r="L81" i="15"/>
  <c r="H81" i="15"/>
  <c r="N81" i="15" s="1"/>
  <c r="D81" i="15"/>
  <c r="B81" i="15"/>
  <c r="T80" i="15"/>
  <c r="P80" i="15"/>
  <c r="L80" i="15"/>
  <c r="N80" i="15" s="1"/>
  <c r="H80" i="15"/>
  <c r="D80" i="15"/>
  <c r="B80" i="15"/>
  <c r="T79" i="15"/>
  <c r="P79" i="15"/>
  <c r="L79" i="15"/>
  <c r="N79" i="15" s="1"/>
  <c r="H79" i="15"/>
  <c r="D79" i="15"/>
  <c r="B79" i="15"/>
  <c r="T78" i="15"/>
  <c r="P78" i="15"/>
  <c r="L78" i="15"/>
  <c r="N78" i="15" s="1"/>
  <c r="H78" i="15"/>
  <c r="D78" i="15"/>
  <c r="B78" i="15"/>
  <c r="T77" i="15"/>
  <c r="P77" i="15"/>
  <c r="L77" i="15"/>
  <c r="H77" i="15"/>
  <c r="N77" i="15" s="1"/>
  <c r="D77" i="15"/>
  <c r="B77" i="15"/>
  <c r="T76" i="15"/>
  <c r="P76" i="15"/>
  <c r="L76" i="15"/>
  <c r="N76" i="15" s="1"/>
  <c r="H76" i="15"/>
  <c r="D76" i="15"/>
  <c r="B76" i="15"/>
  <c r="T75" i="15"/>
  <c r="P75" i="15"/>
  <c r="L75" i="15"/>
  <c r="N75" i="15" s="1"/>
  <c r="H75" i="15"/>
  <c r="D75" i="15"/>
  <c r="B75" i="15"/>
  <c r="T74" i="15"/>
  <c r="P74" i="15"/>
  <c r="L74" i="15"/>
  <c r="N74" i="15" s="1"/>
  <c r="H74" i="15"/>
  <c r="D74" i="15"/>
  <c r="B74" i="15"/>
  <c r="T73" i="15"/>
  <c r="P73" i="15"/>
  <c r="L73" i="15"/>
  <c r="H73" i="15"/>
  <c r="N73" i="15" s="1"/>
  <c r="D73" i="15"/>
  <c r="B73" i="15"/>
  <c r="T72" i="15"/>
  <c r="P72" i="15"/>
  <c r="L72" i="15"/>
  <c r="N72" i="15" s="1"/>
  <c r="H72" i="15"/>
  <c r="D72" i="15"/>
  <c r="B72" i="15"/>
  <c r="T71" i="15"/>
  <c r="P71" i="15"/>
  <c r="L71" i="15"/>
  <c r="N71" i="15" s="1"/>
  <c r="H71" i="15"/>
  <c r="D71" i="15"/>
  <c r="B71" i="15"/>
  <c r="T70" i="15"/>
  <c r="P70" i="15"/>
  <c r="N70" i="15"/>
  <c r="L70" i="15"/>
  <c r="H70" i="15"/>
  <c r="D70" i="15"/>
  <c r="B70" i="15"/>
  <c r="T69" i="15"/>
  <c r="P69" i="15"/>
  <c r="L69" i="15"/>
  <c r="H69" i="15"/>
  <c r="N69" i="15" s="1"/>
  <c r="D69" i="15"/>
  <c r="B69" i="15"/>
  <c r="T68" i="15"/>
  <c r="Z68" i="15" s="1"/>
  <c r="P68" i="15"/>
  <c r="N68" i="15"/>
  <c r="L68" i="15"/>
  <c r="H68" i="15"/>
  <c r="D68" i="15"/>
  <c r="B68" i="15"/>
  <c r="T67" i="15"/>
  <c r="P67" i="15"/>
  <c r="L67" i="15"/>
  <c r="N67" i="15" s="1"/>
  <c r="H67" i="15"/>
  <c r="D67" i="15"/>
  <c r="B67" i="15"/>
  <c r="T66" i="15"/>
  <c r="P66" i="15"/>
  <c r="L66" i="15"/>
  <c r="N66" i="15" s="1"/>
  <c r="H66" i="15"/>
  <c r="D66" i="15"/>
  <c r="B66" i="15"/>
  <c r="T65" i="15"/>
  <c r="P65" i="15"/>
  <c r="L65" i="15"/>
  <c r="H65" i="15"/>
  <c r="D65" i="15"/>
  <c r="B65" i="15"/>
  <c r="T64" i="15"/>
  <c r="P64" i="15"/>
  <c r="L64" i="15"/>
  <c r="N64" i="15" s="1"/>
  <c r="H64" i="15"/>
  <c r="D64" i="15"/>
  <c r="B64" i="15"/>
  <c r="T63" i="15"/>
  <c r="P63" i="15"/>
  <c r="L63" i="15"/>
  <c r="N63" i="15" s="1"/>
  <c r="H63" i="15"/>
  <c r="D63" i="15"/>
  <c r="B63" i="15"/>
  <c r="T62" i="15"/>
  <c r="Z62" i="15" s="1"/>
  <c r="P62" i="15"/>
  <c r="N62" i="15"/>
  <c r="L62" i="15"/>
  <c r="H62" i="15"/>
  <c r="D62" i="15"/>
  <c r="B62" i="15"/>
  <c r="T61" i="15"/>
  <c r="P61" i="15"/>
  <c r="L61" i="15"/>
  <c r="H61" i="15"/>
  <c r="N61" i="15" s="1"/>
  <c r="D61" i="15"/>
  <c r="B61" i="15"/>
  <c r="T60" i="15"/>
  <c r="P60" i="15"/>
  <c r="L60" i="15"/>
  <c r="N60" i="15" s="1"/>
  <c r="H60" i="15"/>
  <c r="D60" i="15"/>
  <c r="B60" i="15"/>
  <c r="T59" i="15"/>
  <c r="P59" i="15"/>
  <c r="L59" i="15"/>
  <c r="N59" i="15" s="1"/>
  <c r="H59" i="15"/>
  <c r="D59" i="15"/>
  <c r="B59" i="15"/>
  <c r="T58" i="15"/>
  <c r="P58" i="15"/>
  <c r="L58" i="15"/>
  <c r="N58" i="15" s="1"/>
  <c r="H58" i="15"/>
  <c r="D58" i="15"/>
  <c r="B58" i="15"/>
  <c r="T57" i="15"/>
  <c r="P57" i="15"/>
  <c r="L57" i="15"/>
  <c r="H57" i="15"/>
  <c r="N57" i="15" s="1"/>
  <c r="D57" i="15"/>
  <c r="B57" i="15"/>
  <c r="T56" i="15"/>
  <c r="P56" i="15"/>
  <c r="L56" i="15"/>
  <c r="N56" i="15" s="1"/>
  <c r="H56" i="15"/>
  <c r="D56" i="15"/>
  <c r="B56" i="15"/>
  <c r="T55" i="15"/>
  <c r="P55" i="15"/>
  <c r="L55" i="15"/>
  <c r="N55" i="15" s="1"/>
  <c r="H55" i="15"/>
  <c r="D55" i="15"/>
  <c r="B55" i="15"/>
  <c r="T54" i="15"/>
  <c r="P54" i="15"/>
  <c r="L54" i="15"/>
  <c r="N54" i="15" s="1"/>
  <c r="H54" i="15"/>
  <c r="D54" i="15"/>
  <c r="B54" i="15"/>
  <c r="T53" i="15"/>
  <c r="P53" i="15"/>
  <c r="L53" i="15"/>
  <c r="H53" i="15"/>
  <c r="N53" i="15" s="1"/>
  <c r="D53" i="15"/>
  <c r="B53" i="15"/>
  <c r="T52" i="15"/>
  <c r="P52" i="15"/>
  <c r="L52" i="15"/>
  <c r="N52" i="15" s="1"/>
  <c r="H52" i="15"/>
  <c r="D52" i="15"/>
  <c r="B52" i="15"/>
  <c r="T51" i="15"/>
  <c r="P51" i="15"/>
  <c r="L51" i="15"/>
  <c r="N51" i="15" s="1"/>
  <c r="H51" i="15"/>
  <c r="D51" i="15"/>
  <c r="B51" i="15"/>
  <c r="T50" i="15"/>
  <c r="P50" i="15"/>
  <c r="L50" i="15"/>
  <c r="N50" i="15" s="1"/>
  <c r="H50" i="15"/>
  <c r="D50" i="15"/>
  <c r="B50" i="15"/>
  <c r="T49" i="15"/>
  <c r="P49" i="15"/>
  <c r="L49" i="15"/>
  <c r="H49" i="15"/>
  <c r="N49" i="15" s="1"/>
  <c r="D49" i="15"/>
  <c r="B49" i="15"/>
  <c r="T48" i="15"/>
  <c r="P48" i="15"/>
  <c r="L48" i="15"/>
  <c r="N48" i="15" s="1"/>
  <c r="H48" i="15"/>
  <c r="D48" i="15"/>
  <c r="B48" i="15"/>
  <c r="T47" i="15"/>
  <c r="P47" i="15"/>
  <c r="L47" i="15"/>
  <c r="N47" i="15" s="1"/>
  <c r="H47" i="15"/>
  <c r="D47" i="15"/>
  <c r="B47" i="15"/>
  <c r="T46" i="15"/>
  <c r="P46" i="15"/>
  <c r="L46" i="15"/>
  <c r="N46" i="15" s="1"/>
  <c r="H46" i="15"/>
  <c r="D46" i="15"/>
  <c r="B46" i="15"/>
  <c r="T45" i="15"/>
  <c r="P45" i="15"/>
  <c r="L45" i="15"/>
  <c r="H45" i="15"/>
  <c r="N45" i="15" s="1"/>
  <c r="D45" i="15"/>
  <c r="B45" i="15"/>
  <c r="T44" i="15"/>
  <c r="P44" i="15"/>
  <c r="L44" i="15"/>
  <c r="N44" i="15" s="1"/>
  <c r="H44" i="15"/>
  <c r="D44" i="15"/>
  <c r="B44" i="15"/>
  <c r="T43" i="15"/>
  <c r="P43" i="15"/>
  <c r="L43" i="15"/>
  <c r="N43" i="15" s="1"/>
  <c r="H43" i="15"/>
  <c r="D43" i="15"/>
  <c r="B43" i="15"/>
  <c r="T42" i="15"/>
  <c r="P42" i="15"/>
  <c r="L42" i="15"/>
  <c r="N42" i="15" s="1"/>
  <c r="H42" i="15"/>
  <c r="D42" i="15"/>
  <c r="B42" i="15"/>
  <c r="T41" i="15"/>
  <c r="P41" i="15"/>
  <c r="L41" i="15"/>
  <c r="H41" i="15"/>
  <c r="N41" i="15" s="1"/>
  <c r="D41" i="15"/>
  <c r="B41" i="15"/>
  <c r="T40" i="15"/>
  <c r="P40" i="15"/>
  <c r="L40" i="15"/>
  <c r="N40" i="15" s="1"/>
  <c r="H40" i="15"/>
  <c r="D40" i="15"/>
  <c r="B40" i="15"/>
  <c r="T39" i="15"/>
  <c r="P39" i="15"/>
  <c r="L39" i="15"/>
  <c r="N39" i="15" s="1"/>
  <c r="H39" i="15"/>
  <c r="D39" i="15"/>
  <c r="B39" i="15"/>
  <c r="T38" i="15"/>
  <c r="P38" i="15"/>
  <c r="L38" i="15"/>
  <c r="N38" i="15" s="1"/>
  <c r="H38" i="15"/>
  <c r="D38" i="15"/>
  <c r="B38" i="15"/>
  <c r="T37" i="15"/>
  <c r="P37" i="15"/>
  <c r="L37" i="15"/>
  <c r="H37" i="15"/>
  <c r="N37" i="15" s="1"/>
  <c r="D37" i="15"/>
  <c r="B37" i="15"/>
  <c r="T36" i="15"/>
  <c r="P36" i="15"/>
  <c r="L36" i="15"/>
  <c r="N36" i="15" s="1"/>
  <c r="H36" i="15"/>
  <c r="D36" i="15"/>
  <c r="B36" i="15"/>
  <c r="T35" i="15"/>
  <c r="P35" i="15"/>
  <c r="L35" i="15"/>
  <c r="N35" i="15" s="1"/>
  <c r="H35" i="15"/>
  <c r="D35" i="15"/>
  <c r="B35" i="15"/>
  <c r="T34" i="15"/>
  <c r="P34" i="15"/>
  <c r="L34" i="15"/>
  <c r="N34" i="15" s="1"/>
  <c r="H34" i="15"/>
  <c r="D34" i="15"/>
  <c r="B34" i="15"/>
  <c r="T33" i="15"/>
  <c r="P33" i="15"/>
  <c r="L33" i="15"/>
  <c r="H33" i="15"/>
  <c r="N33" i="15" s="1"/>
  <c r="D33" i="15"/>
  <c r="B33" i="15"/>
  <c r="T32" i="15"/>
  <c r="P32" i="15"/>
  <c r="L32" i="15"/>
  <c r="N32" i="15" s="1"/>
  <c r="H32" i="15"/>
  <c r="D32" i="15"/>
  <c r="B32" i="15"/>
  <c r="T31" i="15"/>
  <c r="P31" i="15"/>
  <c r="L31" i="15"/>
  <c r="N31" i="15" s="1"/>
  <c r="H31" i="15"/>
  <c r="D31" i="15"/>
  <c r="B31" i="15"/>
  <c r="T30" i="15"/>
  <c r="P30" i="15"/>
  <c r="L30" i="15"/>
  <c r="N30" i="15" s="1"/>
  <c r="H30" i="15"/>
  <c r="D30" i="15"/>
  <c r="B30" i="15"/>
  <c r="T29" i="15"/>
  <c r="P29" i="15"/>
  <c r="L29" i="15"/>
  <c r="H29" i="15"/>
  <c r="N29" i="15" s="1"/>
  <c r="D29" i="15"/>
  <c r="B29" i="15"/>
  <c r="T28" i="15"/>
  <c r="P28" i="15"/>
  <c r="L28" i="15"/>
  <c r="N28" i="15" s="1"/>
  <c r="H28" i="15"/>
  <c r="D28" i="15"/>
  <c r="B28" i="15"/>
  <c r="T27" i="15"/>
  <c r="P27" i="15"/>
  <c r="L27" i="15"/>
  <c r="N27" i="15" s="1"/>
  <c r="H27" i="15"/>
  <c r="D27" i="15"/>
  <c r="B27" i="15"/>
  <c r="T26" i="15"/>
  <c r="P26" i="15"/>
  <c r="L26" i="15"/>
  <c r="N26" i="15" s="1"/>
  <c r="H26" i="15"/>
  <c r="D26" i="15"/>
  <c r="B26" i="15"/>
  <c r="T25" i="15"/>
  <c r="P25" i="15"/>
  <c r="L25" i="15"/>
  <c r="H25" i="15"/>
  <c r="N25" i="15" s="1"/>
  <c r="D25" i="15"/>
  <c r="B25" i="15"/>
  <c r="T24" i="15"/>
  <c r="P24" i="15"/>
  <c r="L24" i="15"/>
  <c r="N24" i="15" s="1"/>
  <c r="H24" i="15"/>
  <c r="D24" i="15"/>
  <c r="B24" i="15"/>
  <c r="T23" i="15"/>
  <c r="P23" i="15"/>
  <c r="N23" i="15"/>
  <c r="L23" i="15"/>
  <c r="H23" i="15"/>
  <c r="D23" i="15"/>
  <c r="B23" i="15"/>
  <c r="T22" i="15"/>
  <c r="P22" i="15"/>
  <c r="X22" i="15" s="1"/>
  <c r="L22" i="15"/>
  <c r="N22" i="15" s="1"/>
  <c r="H22" i="15"/>
  <c r="D22" i="15"/>
  <c r="B22" i="15"/>
  <c r="T21" i="15"/>
  <c r="P21" i="15"/>
  <c r="L21" i="15"/>
  <c r="H21" i="15"/>
  <c r="D21" i="15"/>
  <c r="B21" i="15"/>
  <c r="T20" i="15"/>
  <c r="P20" i="15"/>
  <c r="L20" i="15"/>
  <c r="N20" i="15" s="1"/>
  <c r="H20" i="15"/>
  <c r="D20" i="15"/>
  <c r="B20" i="15"/>
  <c r="T19" i="15"/>
  <c r="P19" i="15"/>
  <c r="L19" i="15"/>
  <c r="N19" i="15" s="1"/>
  <c r="H19" i="15"/>
  <c r="D19" i="15"/>
  <c r="B19" i="15"/>
  <c r="T18" i="15"/>
  <c r="P18" i="15"/>
  <c r="L18" i="15"/>
  <c r="N18" i="15" s="1"/>
  <c r="H18" i="15"/>
  <c r="D18" i="15"/>
  <c r="B18" i="15"/>
  <c r="T17" i="15"/>
  <c r="P17" i="15"/>
  <c r="L17" i="15"/>
  <c r="H17" i="15"/>
  <c r="D17" i="15"/>
  <c r="B17" i="15"/>
  <c r="T16" i="15"/>
  <c r="P16" i="15"/>
  <c r="L16" i="15"/>
  <c r="N16" i="15" s="1"/>
  <c r="H16" i="15"/>
  <c r="D16" i="15"/>
  <c r="B16" i="15"/>
  <c r="T15" i="15"/>
  <c r="P15" i="15"/>
  <c r="L15" i="15"/>
  <c r="N15" i="15" s="1"/>
  <c r="H15" i="15"/>
  <c r="D15" i="15"/>
  <c r="B15" i="15"/>
  <c r="T14" i="15"/>
  <c r="P14" i="15"/>
  <c r="P12" i="15" s="1"/>
  <c r="R201" i="15" s="1"/>
  <c r="L14" i="15"/>
  <c r="N14" i="15" s="1"/>
  <c r="H14" i="15"/>
  <c r="D14" i="15"/>
  <c r="B14" i="15"/>
  <c r="T13" i="15"/>
  <c r="P13" i="15"/>
  <c r="L13" i="15"/>
  <c r="H13" i="15"/>
  <c r="H12" i="15" s="1"/>
  <c r="J160" i="15" s="1"/>
  <c r="D13" i="15"/>
  <c r="B13" i="15"/>
  <c r="L12" i="15"/>
  <c r="D12" i="15"/>
  <c r="F238" i="15" s="1"/>
  <c r="D4" i="15"/>
  <c r="Z262" i="12"/>
  <c r="X262" i="12"/>
  <c r="N262" i="12"/>
  <c r="L262" i="12"/>
  <c r="Z258" i="12"/>
  <c r="X258" i="12"/>
  <c r="T258" i="12"/>
  <c r="P258" i="12"/>
  <c r="N258" i="12"/>
  <c r="L258" i="12"/>
  <c r="H258" i="12"/>
  <c r="D258" i="12"/>
  <c r="B258" i="12"/>
  <c r="T257" i="12"/>
  <c r="X257" i="12" s="1"/>
  <c r="Z257" i="12" s="1"/>
  <c r="P257" i="12"/>
  <c r="H257" i="12"/>
  <c r="N257" i="12" s="1"/>
  <c r="D257" i="12"/>
  <c r="L257" i="12" s="1"/>
  <c r="B257" i="12"/>
  <c r="T256" i="12"/>
  <c r="P256" i="12"/>
  <c r="X256" i="12" s="1"/>
  <c r="Z256" i="12" s="1"/>
  <c r="H256" i="12"/>
  <c r="D256" i="12"/>
  <c r="L256" i="12" s="1"/>
  <c r="N256" i="12" s="1"/>
  <c r="B256" i="12"/>
  <c r="X255" i="12"/>
  <c r="T255" i="12"/>
  <c r="Z255" i="12" s="1"/>
  <c r="P255" i="12"/>
  <c r="L255" i="12"/>
  <c r="H255" i="12"/>
  <c r="N255" i="12" s="1"/>
  <c r="D255" i="12"/>
  <c r="B255" i="12"/>
  <c r="T254" i="12"/>
  <c r="X254" i="12" s="1"/>
  <c r="Z254" i="12" s="1"/>
  <c r="P254" i="12"/>
  <c r="H254" i="12"/>
  <c r="D254" i="12"/>
  <c r="L254" i="12" s="1"/>
  <c r="N254" i="12" s="1"/>
  <c r="B254" i="12"/>
  <c r="T253" i="12"/>
  <c r="P253" i="12"/>
  <c r="X253" i="12" s="1"/>
  <c r="H253" i="12"/>
  <c r="D253" i="12"/>
  <c r="D250" i="12" s="1"/>
  <c r="L250" i="12" s="1"/>
  <c r="B253" i="12"/>
  <c r="X252" i="12"/>
  <c r="Z252" i="12" s="1"/>
  <c r="T252" i="12"/>
  <c r="P252" i="12"/>
  <c r="N252" i="12"/>
  <c r="L252" i="12"/>
  <c r="H252" i="12"/>
  <c r="D252" i="12"/>
  <c r="B252" i="12"/>
  <c r="T251" i="12"/>
  <c r="P251" i="12"/>
  <c r="X251" i="12" s="1"/>
  <c r="N251" i="12"/>
  <c r="H251" i="12"/>
  <c r="H250" i="12" s="1"/>
  <c r="D251" i="12"/>
  <c r="B251" i="12"/>
  <c r="P250" i="12"/>
  <c r="Z248" i="12"/>
  <c r="X248" i="12"/>
  <c r="L248" i="12"/>
  <c r="N248" i="12" s="1"/>
  <c r="B248" i="12"/>
  <c r="T247" i="12"/>
  <c r="Z247" i="12" s="1"/>
  <c r="P247" i="12"/>
  <c r="X247" i="12" s="1"/>
  <c r="H247" i="12"/>
  <c r="D247" i="12"/>
  <c r="L247" i="12" s="1"/>
  <c r="B247" i="12"/>
  <c r="X246" i="12"/>
  <c r="Z246" i="12" s="1"/>
  <c r="N246" i="12"/>
  <c r="L246" i="12"/>
  <c r="B246" i="12"/>
  <c r="X245" i="12"/>
  <c r="Z245" i="12" s="1"/>
  <c r="N245" i="12"/>
  <c r="L245" i="12"/>
  <c r="B245" i="12"/>
  <c r="X244" i="12"/>
  <c r="Z244" i="12" s="1"/>
  <c r="N244" i="12"/>
  <c r="L244" i="12"/>
  <c r="B244" i="12"/>
  <c r="X243" i="12"/>
  <c r="T243" i="12"/>
  <c r="Z243" i="12" s="1"/>
  <c r="P243" i="12"/>
  <c r="L243" i="12"/>
  <c r="H243" i="12"/>
  <c r="N243" i="12" s="1"/>
  <c r="D243" i="12"/>
  <c r="B243" i="12"/>
  <c r="Z242" i="12"/>
  <c r="X242" i="12"/>
  <c r="N242" i="12"/>
  <c r="L242" i="12"/>
  <c r="B242" i="12"/>
  <c r="T241" i="12"/>
  <c r="P241" i="12"/>
  <c r="N241" i="12"/>
  <c r="H241" i="12"/>
  <c r="L241" i="12" s="1"/>
  <c r="D241" i="12"/>
  <c r="B241" i="12"/>
  <c r="Z240" i="12"/>
  <c r="X240" i="12"/>
  <c r="L240" i="12"/>
  <c r="N240" i="12" s="1"/>
  <c r="B240" i="12"/>
  <c r="X239" i="12"/>
  <c r="Z239" i="12" s="1"/>
  <c r="L239" i="12"/>
  <c r="N239" i="12" s="1"/>
  <c r="B239" i="12"/>
  <c r="T238" i="12"/>
  <c r="P238" i="12"/>
  <c r="X238" i="12" s="1"/>
  <c r="Z238" i="12" s="1"/>
  <c r="H238" i="12"/>
  <c r="D238" i="12"/>
  <c r="L238" i="12" s="1"/>
  <c r="N238" i="12" s="1"/>
  <c r="B238" i="12"/>
  <c r="X237" i="12"/>
  <c r="Z237" i="12" s="1"/>
  <c r="N237" i="12"/>
  <c r="L237" i="12"/>
  <c r="B237" i="12"/>
  <c r="X236" i="12"/>
  <c r="Z236" i="12" s="1"/>
  <c r="N236" i="12"/>
  <c r="L236" i="12"/>
  <c r="B236" i="12"/>
  <c r="X235" i="12"/>
  <c r="Z235" i="12" s="1"/>
  <c r="N235" i="12"/>
  <c r="L235" i="12"/>
  <c r="B235" i="12"/>
  <c r="X234" i="12"/>
  <c r="Z234" i="12" s="1"/>
  <c r="N234" i="12"/>
  <c r="L234" i="12"/>
  <c r="B234" i="12"/>
  <c r="X233" i="12"/>
  <c r="Z233" i="12" s="1"/>
  <c r="N233" i="12"/>
  <c r="L233" i="12"/>
  <c r="B233" i="12"/>
  <c r="Z232" i="12"/>
  <c r="X232" i="12"/>
  <c r="N232" i="12"/>
  <c r="L232" i="12"/>
  <c r="B232" i="12"/>
  <c r="X231" i="12"/>
  <c r="Z231" i="12" s="1"/>
  <c r="N231" i="12"/>
  <c r="L231" i="12"/>
  <c r="B231" i="12"/>
  <c r="X230" i="12"/>
  <c r="Z230" i="12" s="1"/>
  <c r="T230" i="12"/>
  <c r="P230" i="12"/>
  <c r="L230" i="12"/>
  <c r="N230" i="12" s="1"/>
  <c r="H230" i="12"/>
  <c r="D230" i="12"/>
  <c r="B230" i="12"/>
  <c r="Z229" i="12"/>
  <c r="X229" i="12"/>
  <c r="L229" i="12"/>
  <c r="N229" i="12" s="1"/>
  <c r="B229" i="12"/>
  <c r="Z228" i="12"/>
  <c r="X228" i="12"/>
  <c r="N228" i="12"/>
  <c r="L228" i="12"/>
  <c r="B228" i="12"/>
  <c r="Z227" i="12"/>
  <c r="T227" i="12"/>
  <c r="X227" i="12" s="1"/>
  <c r="P227" i="12"/>
  <c r="H227" i="12"/>
  <c r="D227" i="12"/>
  <c r="B227" i="12"/>
  <c r="Z226" i="12"/>
  <c r="X226" i="12"/>
  <c r="L226" i="12"/>
  <c r="N226" i="12" s="1"/>
  <c r="B226" i="12"/>
  <c r="X225" i="12"/>
  <c r="Z225" i="12" s="1"/>
  <c r="L225" i="12"/>
  <c r="N225" i="12" s="1"/>
  <c r="B225" i="12"/>
  <c r="Z224" i="12"/>
  <c r="X224" i="12"/>
  <c r="L224" i="12"/>
  <c r="N224" i="12" s="1"/>
  <c r="B224" i="12"/>
  <c r="X223" i="12"/>
  <c r="Z223" i="12" s="1"/>
  <c r="L223" i="12"/>
  <c r="N223" i="12" s="1"/>
  <c r="B223" i="12"/>
  <c r="Z222" i="12"/>
  <c r="X222" i="12"/>
  <c r="L222" i="12"/>
  <c r="N222" i="12" s="1"/>
  <c r="B222" i="12"/>
  <c r="T221" i="12"/>
  <c r="Z221" i="12" s="1"/>
  <c r="P221" i="12"/>
  <c r="X221" i="12" s="1"/>
  <c r="H221" i="12"/>
  <c r="D221" i="12"/>
  <c r="L221" i="12" s="1"/>
  <c r="N221" i="12" s="1"/>
  <c r="B221" i="12"/>
  <c r="X220" i="12"/>
  <c r="Z220" i="12" s="1"/>
  <c r="N220" i="12"/>
  <c r="L220" i="12"/>
  <c r="B220" i="12"/>
  <c r="X219" i="12"/>
  <c r="Z219" i="12" s="1"/>
  <c r="N219" i="12"/>
  <c r="L219" i="12"/>
  <c r="B219" i="12"/>
  <c r="X218" i="12"/>
  <c r="Z218" i="12" s="1"/>
  <c r="N218" i="12"/>
  <c r="L218" i="12"/>
  <c r="B218" i="12"/>
  <c r="X217" i="12"/>
  <c r="T217" i="12"/>
  <c r="Z217" i="12" s="1"/>
  <c r="P217" i="12"/>
  <c r="L217" i="12"/>
  <c r="H217" i="12"/>
  <c r="F217" i="12"/>
  <c r="D217" i="12"/>
  <c r="B217" i="12"/>
  <c r="Z216" i="12"/>
  <c r="X216" i="12"/>
  <c r="N216" i="12"/>
  <c r="L216" i="12"/>
  <c r="B216" i="12"/>
  <c r="Z215" i="12"/>
  <c r="X215" i="12"/>
  <c r="L215" i="12"/>
  <c r="N215" i="12" s="1"/>
  <c r="B215" i="12"/>
  <c r="Z214" i="12"/>
  <c r="X214" i="12"/>
  <c r="N214" i="12"/>
  <c r="L214" i="12"/>
  <c r="B214" i="12"/>
  <c r="Z213" i="12"/>
  <c r="X213" i="12"/>
  <c r="L213" i="12"/>
  <c r="N213" i="12" s="1"/>
  <c r="B213" i="12"/>
  <c r="T212" i="12"/>
  <c r="X212" i="12" s="1"/>
  <c r="Z212" i="12" s="1"/>
  <c r="P212" i="12"/>
  <c r="H212" i="12"/>
  <c r="D212" i="12"/>
  <c r="B212" i="12"/>
  <c r="X211" i="12"/>
  <c r="Z211" i="12" s="1"/>
  <c r="L211" i="12"/>
  <c r="N211" i="12" s="1"/>
  <c r="B211" i="12"/>
  <c r="T210" i="12"/>
  <c r="P210" i="12"/>
  <c r="X210" i="12" s="1"/>
  <c r="Z210" i="12" s="1"/>
  <c r="H210" i="12"/>
  <c r="D210" i="12"/>
  <c r="L210" i="12" s="1"/>
  <c r="N210" i="12" s="1"/>
  <c r="B210" i="12"/>
  <c r="X209" i="12"/>
  <c r="Z209" i="12" s="1"/>
  <c r="N209" i="12"/>
  <c r="L209" i="12"/>
  <c r="F209" i="12"/>
  <c r="B209" i="12"/>
  <c r="X208" i="12"/>
  <c r="Z208" i="12" s="1"/>
  <c r="T208" i="12"/>
  <c r="P208" i="12"/>
  <c r="N208" i="12"/>
  <c r="L208" i="12"/>
  <c r="H208" i="12"/>
  <c r="D208" i="12"/>
  <c r="B208" i="12"/>
  <c r="Z207" i="12"/>
  <c r="X207" i="12"/>
  <c r="L207" i="12"/>
  <c r="N207" i="12" s="1"/>
  <c r="B207" i="12"/>
  <c r="T206" i="12"/>
  <c r="P206" i="12"/>
  <c r="X206" i="12" s="1"/>
  <c r="Z206" i="12" s="1"/>
  <c r="H206" i="12"/>
  <c r="L206" i="12" s="1"/>
  <c r="N206" i="12" s="1"/>
  <c r="D206" i="12"/>
  <c r="B206" i="12"/>
  <c r="X205" i="12"/>
  <c r="Z205" i="12" s="1"/>
  <c r="L205" i="12"/>
  <c r="N205" i="12" s="1"/>
  <c r="B205" i="12"/>
  <c r="T204" i="12"/>
  <c r="P204" i="12"/>
  <c r="X204" i="12" s="1"/>
  <c r="Z204" i="12" s="1"/>
  <c r="H204" i="12"/>
  <c r="D204" i="12"/>
  <c r="L204" i="12" s="1"/>
  <c r="N204" i="12" s="1"/>
  <c r="B204" i="12"/>
  <c r="X203" i="12"/>
  <c r="Z203" i="12" s="1"/>
  <c r="N203" i="12"/>
  <c r="L203" i="12"/>
  <c r="B203" i="12"/>
  <c r="X202" i="12"/>
  <c r="Z202" i="12" s="1"/>
  <c r="T202" i="12"/>
  <c r="P202" i="12"/>
  <c r="L202" i="12"/>
  <c r="N202" i="12" s="1"/>
  <c r="H202" i="12"/>
  <c r="D202" i="12"/>
  <c r="B202" i="12"/>
  <c r="Z201" i="12"/>
  <c r="X201" i="12"/>
  <c r="L201" i="12"/>
  <c r="N201" i="12" s="1"/>
  <c r="B201" i="12"/>
  <c r="T200" i="12"/>
  <c r="X200" i="12" s="1"/>
  <c r="Z200" i="12" s="1"/>
  <c r="P200" i="12"/>
  <c r="H200" i="12"/>
  <c r="D200" i="12"/>
  <c r="L200" i="12" s="1"/>
  <c r="N200" i="12" s="1"/>
  <c r="B200" i="12"/>
  <c r="X199" i="12"/>
  <c r="Z199" i="12" s="1"/>
  <c r="L199" i="12"/>
  <c r="N199" i="12" s="1"/>
  <c r="B199" i="12"/>
  <c r="Z198" i="12"/>
  <c r="X198" i="12"/>
  <c r="L198" i="12"/>
  <c r="N198" i="12" s="1"/>
  <c r="B198" i="12"/>
  <c r="T197" i="12"/>
  <c r="Z197" i="12" s="1"/>
  <c r="P197" i="12"/>
  <c r="X197" i="12" s="1"/>
  <c r="H197" i="12"/>
  <c r="D197" i="12"/>
  <c r="L197" i="12" s="1"/>
  <c r="N197" i="12" s="1"/>
  <c r="B197" i="12"/>
  <c r="X196" i="12"/>
  <c r="Z196" i="12" s="1"/>
  <c r="N196" i="12"/>
  <c r="L196" i="12"/>
  <c r="B196" i="12"/>
  <c r="X195" i="12"/>
  <c r="T195" i="12"/>
  <c r="P195" i="12"/>
  <c r="L195" i="12"/>
  <c r="H195" i="12"/>
  <c r="N195" i="12" s="1"/>
  <c r="D195" i="12"/>
  <c r="B195" i="12"/>
  <c r="Z194" i="12"/>
  <c r="X194" i="12"/>
  <c r="N194" i="12"/>
  <c r="L194" i="12"/>
  <c r="B194" i="12"/>
  <c r="T193" i="12"/>
  <c r="P193" i="12"/>
  <c r="H193" i="12"/>
  <c r="D193" i="12"/>
  <c r="L193" i="12" s="1"/>
  <c r="N193" i="12" s="1"/>
  <c r="B193" i="12"/>
  <c r="Z192" i="12"/>
  <c r="X192" i="12"/>
  <c r="L192" i="12"/>
  <c r="N192" i="12" s="1"/>
  <c r="B192" i="12"/>
  <c r="T191" i="12"/>
  <c r="P191" i="12"/>
  <c r="X191" i="12" s="1"/>
  <c r="Z191" i="12" s="1"/>
  <c r="H191" i="12"/>
  <c r="D191" i="12"/>
  <c r="L191" i="12" s="1"/>
  <c r="B191" i="12"/>
  <c r="X190" i="12"/>
  <c r="Z190" i="12" s="1"/>
  <c r="N190" i="12"/>
  <c r="L190" i="12"/>
  <c r="B190" i="12"/>
  <c r="X189" i="12"/>
  <c r="Z189" i="12" s="1"/>
  <c r="N189" i="12"/>
  <c r="L189" i="12"/>
  <c r="B189" i="12"/>
  <c r="X188" i="12"/>
  <c r="Z188" i="12" s="1"/>
  <c r="T188" i="12"/>
  <c r="P188" i="12"/>
  <c r="L188" i="12"/>
  <c r="N188" i="12" s="1"/>
  <c r="H188" i="12"/>
  <c r="D188" i="12"/>
  <c r="B188" i="12"/>
  <c r="Z187" i="12"/>
  <c r="X187" i="12"/>
  <c r="L187" i="12"/>
  <c r="N187" i="12" s="1"/>
  <c r="B187" i="12"/>
  <c r="Z186" i="12"/>
  <c r="X186" i="12"/>
  <c r="N186" i="12"/>
  <c r="L186" i="12"/>
  <c r="B186" i="12"/>
  <c r="T185" i="12"/>
  <c r="P185" i="12"/>
  <c r="X185" i="12" s="1"/>
  <c r="H185" i="12"/>
  <c r="D185" i="12"/>
  <c r="L185" i="12" s="1"/>
  <c r="N185" i="12" s="1"/>
  <c r="B185" i="12"/>
  <c r="Z184" i="12"/>
  <c r="X184" i="12"/>
  <c r="L184" i="12"/>
  <c r="N184" i="12" s="1"/>
  <c r="B184" i="12"/>
  <c r="T183" i="12"/>
  <c r="P183" i="12"/>
  <c r="X183" i="12" s="1"/>
  <c r="Z183" i="12" s="1"/>
  <c r="H183" i="12"/>
  <c r="D183" i="12"/>
  <c r="L183" i="12" s="1"/>
  <c r="B183" i="12"/>
  <c r="X182" i="12"/>
  <c r="Z182" i="12" s="1"/>
  <c r="N182" i="12"/>
  <c r="L182" i="12"/>
  <c r="B182" i="12"/>
  <c r="X181" i="12"/>
  <c r="T181" i="12"/>
  <c r="Z181" i="12" s="1"/>
  <c r="P181" i="12"/>
  <c r="L181" i="12"/>
  <c r="H181" i="12"/>
  <c r="D181" i="12"/>
  <c r="B181" i="12"/>
  <c r="Z180" i="12"/>
  <c r="X180" i="12"/>
  <c r="N180" i="12"/>
  <c r="L180" i="12"/>
  <c r="B180" i="12"/>
  <c r="T179" i="12"/>
  <c r="X179" i="12" s="1"/>
  <c r="Z179" i="12" s="1"/>
  <c r="P179" i="12"/>
  <c r="H179" i="12"/>
  <c r="D179" i="12"/>
  <c r="L179" i="12" s="1"/>
  <c r="B179" i="12"/>
  <c r="Z178" i="12"/>
  <c r="X178" i="12"/>
  <c r="L178" i="12"/>
  <c r="N178" i="12" s="1"/>
  <c r="B178" i="12"/>
  <c r="X177" i="12"/>
  <c r="Z177" i="12" s="1"/>
  <c r="L177" i="12"/>
  <c r="N177" i="12" s="1"/>
  <c r="B177" i="12"/>
  <c r="Z176" i="12"/>
  <c r="X176" i="12"/>
  <c r="L176" i="12"/>
  <c r="N176" i="12" s="1"/>
  <c r="B176" i="12"/>
  <c r="X175" i="12"/>
  <c r="Z175" i="12" s="1"/>
  <c r="L175" i="12"/>
  <c r="N175" i="12" s="1"/>
  <c r="B175" i="12"/>
  <c r="Z174" i="12"/>
  <c r="X174" i="12"/>
  <c r="L174" i="12"/>
  <c r="N174" i="12" s="1"/>
  <c r="B174" i="12"/>
  <c r="X173" i="12"/>
  <c r="Z173" i="12" s="1"/>
  <c r="L173" i="12"/>
  <c r="N173" i="12" s="1"/>
  <c r="B173" i="12"/>
  <c r="Z172" i="12"/>
  <c r="X172" i="12"/>
  <c r="L172" i="12"/>
  <c r="N172" i="12" s="1"/>
  <c r="B172" i="12"/>
  <c r="T171" i="12"/>
  <c r="P171" i="12"/>
  <c r="X171" i="12" s="1"/>
  <c r="Z171" i="12" s="1"/>
  <c r="H171" i="12"/>
  <c r="D171" i="12"/>
  <c r="L171" i="12" s="1"/>
  <c r="B171" i="12"/>
  <c r="X170" i="12"/>
  <c r="Z170" i="12" s="1"/>
  <c r="N170" i="12"/>
  <c r="L170" i="12"/>
  <c r="B170" i="12"/>
  <c r="X169" i="12"/>
  <c r="Z169" i="12" s="1"/>
  <c r="N169" i="12"/>
  <c r="L169" i="12"/>
  <c r="F169" i="12"/>
  <c r="B169" i="12"/>
  <c r="X168" i="12"/>
  <c r="Z168" i="12" s="1"/>
  <c r="N168" i="12"/>
  <c r="L168" i="12"/>
  <c r="B168" i="12"/>
  <c r="X167" i="12"/>
  <c r="Z167" i="12" s="1"/>
  <c r="N167" i="12"/>
  <c r="L167" i="12"/>
  <c r="B167" i="12"/>
  <c r="Z166" i="12"/>
  <c r="X166" i="12"/>
  <c r="N166" i="12"/>
  <c r="L166" i="12"/>
  <c r="B166" i="12"/>
  <c r="X165" i="12"/>
  <c r="Z165" i="12" s="1"/>
  <c r="N165" i="12"/>
  <c r="L165" i="12"/>
  <c r="B165" i="12"/>
  <c r="X164" i="12"/>
  <c r="Z164" i="12" s="1"/>
  <c r="N164" i="12"/>
  <c r="L164" i="12"/>
  <c r="B164" i="12"/>
  <c r="X163" i="12"/>
  <c r="Z163" i="12" s="1"/>
  <c r="N163" i="12"/>
  <c r="L163" i="12"/>
  <c r="B163" i="12"/>
  <c r="X162" i="12"/>
  <c r="Z162" i="12" s="1"/>
  <c r="N162" i="12"/>
  <c r="L162" i="12"/>
  <c r="B162" i="12"/>
  <c r="X161" i="12"/>
  <c r="Z161" i="12" s="1"/>
  <c r="N161" i="12"/>
  <c r="L161" i="12"/>
  <c r="B161" i="12"/>
  <c r="X160" i="12"/>
  <c r="Z160" i="12" s="1"/>
  <c r="T160" i="12"/>
  <c r="P160" i="12"/>
  <c r="L160" i="12"/>
  <c r="N160" i="12" s="1"/>
  <c r="H160" i="12"/>
  <c r="D160" i="12"/>
  <c r="B160" i="12"/>
  <c r="Z159" i="12"/>
  <c r="T159" i="12"/>
  <c r="P159" i="12"/>
  <c r="X159" i="12" s="1"/>
  <c r="H159" i="12"/>
  <c r="D159" i="12"/>
  <c r="Z155" i="12"/>
  <c r="X155" i="12"/>
  <c r="L155" i="12"/>
  <c r="N155" i="12" s="1"/>
  <c r="B155" i="12"/>
  <c r="Z154" i="12"/>
  <c r="X154" i="12"/>
  <c r="N154" i="12"/>
  <c r="L154" i="12"/>
  <c r="B154" i="12"/>
  <c r="Z153" i="12"/>
  <c r="X153" i="12"/>
  <c r="L153" i="12"/>
  <c r="N153" i="12" s="1"/>
  <c r="B153" i="12"/>
  <c r="Z152" i="12"/>
  <c r="X152" i="12"/>
  <c r="N152" i="12"/>
  <c r="L152" i="12"/>
  <c r="B152" i="12"/>
  <c r="Z151" i="12"/>
  <c r="X151" i="12"/>
  <c r="L151" i="12"/>
  <c r="N151" i="12" s="1"/>
  <c r="B151" i="12"/>
  <c r="Z150" i="12"/>
  <c r="X150" i="12"/>
  <c r="N150" i="12"/>
  <c r="L150" i="12"/>
  <c r="B150" i="12"/>
  <c r="Z149" i="12"/>
  <c r="X149" i="12"/>
  <c r="L149" i="12"/>
  <c r="N149" i="12" s="1"/>
  <c r="B149" i="12"/>
  <c r="Z148" i="12"/>
  <c r="X148" i="12"/>
  <c r="N148" i="12"/>
  <c r="L148" i="12"/>
  <c r="B148" i="12"/>
  <c r="Z147" i="12"/>
  <c r="X147" i="12"/>
  <c r="L147" i="12"/>
  <c r="N147" i="12" s="1"/>
  <c r="B147" i="12"/>
  <c r="Z146" i="12"/>
  <c r="X146" i="12"/>
  <c r="N146" i="12"/>
  <c r="L146" i="12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L143" i="12"/>
  <c r="N143" i="12" s="1"/>
  <c r="B143" i="12"/>
  <c r="Z142" i="12"/>
  <c r="X142" i="12"/>
  <c r="N142" i="12"/>
  <c r="L142" i="12"/>
  <c r="B142" i="12"/>
  <c r="Z141" i="12"/>
  <c r="X141" i="12"/>
  <c r="L141" i="12"/>
  <c r="N141" i="12" s="1"/>
  <c r="B141" i="12"/>
  <c r="Z140" i="12"/>
  <c r="X140" i="12"/>
  <c r="N140" i="12"/>
  <c r="L140" i="12"/>
  <c r="B140" i="12"/>
  <c r="Z139" i="12"/>
  <c r="X139" i="12"/>
  <c r="N139" i="12"/>
  <c r="L139" i="12"/>
  <c r="B139" i="12"/>
  <c r="Z138" i="12"/>
  <c r="X138" i="12"/>
  <c r="N138" i="12"/>
  <c r="L138" i="12"/>
  <c r="B138" i="12"/>
  <c r="Z137" i="12"/>
  <c r="X137" i="12"/>
  <c r="L137" i="12"/>
  <c r="N137" i="12" s="1"/>
  <c r="B137" i="12"/>
  <c r="Z136" i="12"/>
  <c r="X136" i="12"/>
  <c r="N136" i="12"/>
  <c r="L136" i="12"/>
  <c r="B136" i="12"/>
  <c r="Z135" i="12"/>
  <c r="X135" i="12"/>
  <c r="L135" i="12"/>
  <c r="N135" i="12" s="1"/>
  <c r="B135" i="12"/>
  <c r="Z134" i="12"/>
  <c r="X134" i="12"/>
  <c r="N134" i="12"/>
  <c r="L134" i="12"/>
  <c r="B134" i="12"/>
  <c r="Z133" i="12"/>
  <c r="X133" i="12"/>
  <c r="L133" i="12"/>
  <c r="N133" i="12" s="1"/>
  <c r="B133" i="12"/>
  <c r="Z132" i="12"/>
  <c r="X132" i="12"/>
  <c r="N132" i="12"/>
  <c r="L132" i="12"/>
  <c r="B132" i="12"/>
  <c r="Z131" i="12"/>
  <c r="X131" i="12"/>
  <c r="L131" i="12"/>
  <c r="N131" i="12" s="1"/>
  <c r="B131" i="12"/>
  <c r="Z130" i="12"/>
  <c r="X130" i="12"/>
  <c r="N130" i="12"/>
  <c r="L130" i="12"/>
  <c r="B130" i="12"/>
  <c r="Z129" i="12"/>
  <c r="X129" i="12"/>
  <c r="L129" i="12"/>
  <c r="N129" i="12" s="1"/>
  <c r="B129" i="12"/>
  <c r="Z128" i="12"/>
  <c r="X128" i="12"/>
  <c r="N128" i="12"/>
  <c r="L128" i="12"/>
  <c r="B128" i="12"/>
  <c r="Z127" i="12"/>
  <c r="X127" i="12"/>
  <c r="L127" i="12"/>
  <c r="N127" i="12" s="1"/>
  <c r="B127" i="12"/>
  <c r="Z126" i="12"/>
  <c r="X126" i="12"/>
  <c r="N126" i="12"/>
  <c r="L126" i="12"/>
  <c r="B126" i="12"/>
  <c r="Z125" i="12"/>
  <c r="X125" i="12"/>
  <c r="L125" i="12"/>
  <c r="N125" i="12" s="1"/>
  <c r="B125" i="12"/>
  <c r="Z124" i="12"/>
  <c r="X124" i="12"/>
  <c r="N124" i="12"/>
  <c r="L124" i="12"/>
  <c r="B124" i="12"/>
  <c r="Z123" i="12"/>
  <c r="X123" i="12"/>
  <c r="L123" i="12"/>
  <c r="N123" i="12" s="1"/>
  <c r="B123" i="12"/>
  <c r="Z122" i="12"/>
  <c r="X122" i="12"/>
  <c r="N122" i="12"/>
  <c r="L122" i="12"/>
  <c r="B122" i="12"/>
  <c r="Z121" i="12"/>
  <c r="X121" i="12"/>
  <c r="L121" i="12"/>
  <c r="N121" i="12" s="1"/>
  <c r="B121" i="12"/>
  <c r="Z120" i="12"/>
  <c r="X120" i="12"/>
  <c r="L120" i="12"/>
  <c r="N120" i="12" s="1"/>
  <c r="B120" i="12"/>
  <c r="Z119" i="12"/>
  <c r="X119" i="12"/>
  <c r="L119" i="12"/>
  <c r="N119" i="12" s="1"/>
  <c r="B119" i="12"/>
  <c r="Z118" i="12"/>
  <c r="X118" i="12"/>
  <c r="N118" i="12"/>
  <c r="L118" i="12"/>
  <c r="B118" i="12"/>
  <c r="Z117" i="12"/>
  <c r="X117" i="12"/>
  <c r="L117" i="12"/>
  <c r="N117" i="12" s="1"/>
  <c r="B117" i="12"/>
  <c r="Z116" i="12"/>
  <c r="X116" i="12"/>
  <c r="L116" i="12"/>
  <c r="N116" i="12" s="1"/>
  <c r="B116" i="12"/>
  <c r="Z115" i="12"/>
  <c r="X115" i="12"/>
  <c r="N115" i="12"/>
  <c r="L115" i="12"/>
  <c r="B115" i="12"/>
  <c r="Z114" i="12"/>
  <c r="X114" i="12"/>
  <c r="N114" i="12"/>
  <c r="L114" i="12"/>
  <c r="B114" i="12"/>
  <c r="Z113" i="12"/>
  <c r="X113" i="12"/>
  <c r="L113" i="12"/>
  <c r="N113" i="12" s="1"/>
  <c r="B113" i="12"/>
  <c r="Z112" i="12"/>
  <c r="X112" i="12"/>
  <c r="L112" i="12"/>
  <c r="N112" i="12" s="1"/>
  <c r="B112" i="12"/>
  <c r="Z111" i="12"/>
  <c r="X111" i="12"/>
  <c r="L111" i="12"/>
  <c r="N111" i="12" s="1"/>
  <c r="B111" i="12"/>
  <c r="Z110" i="12"/>
  <c r="X110" i="12"/>
  <c r="N110" i="12"/>
  <c r="L110" i="12"/>
  <c r="B110" i="12"/>
  <c r="Z109" i="12"/>
  <c r="X109" i="12"/>
  <c r="N109" i="12"/>
  <c r="L109" i="12"/>
  <c r="B109" i="12"/>
  <c r="Z108" i="12"/>
  <c r="X108" i="12"/>
  <c r="L108" i="12"/>
  <c r="N108" i="12" s="1"/>
  <c r="B108" i="12"/>
  <c r="Z107" i="12"/>
  <c r="X107" i="12"/>
  <c r="L107" i="12"/>
  <c r="N107" i="12" s="1"/>
  <c r="B107" i="12"/>
  <c r="T106" i="12"/>
  <c r="P106" i="12"/>
  <c r="N106" i="12"/>
  <c r="H106" i="12"/>
  <c r="L106" i="12" s="1"/>
  <c r="D106" i="12"/>
  <c r="Z104" i="12"/>
  <c r="T104" i="12"/>
  <c r="P104" i="12"/>
  <c r="X104" i="12" s="1"/>
  <c r="H104" i="12"/>
  <c r="D104" i="12"/>
  <c r="B104" i="12"/>
  <c r="T103" i="12"/>
  <c r="P103" i="12"/>
  <c r="X103" i="12" s="1"/>
  <c r="Z103" i="12" s="1"/>
  <c r="H103" i="12"/>
  <c r="D103" i="12"/>
  <c r="B103" i="12"/>
  <c r="T102" i="12"/>
  <c r="P102" i="12"/>
  <c r="X102" i="12" s="1"/>
  <c r="Z102" i="12" s="1"/>
  <c r="H102" i="12"/>
  <c r="D102" i="12"/>
  <c r="B102" i="12"/>
  <c r="T101" i="12"/>
  <c r="P101" i="12"/>
  <c r="X101" i="12" s="1"/>
  <c r="Z101" i="12" s="1"/>
  <c r="H101" i="12"/>
  <c r="D101" i="12"/>
  <c r="B101" i="12"/>
  <c r="T100" i="12"/>
  <c r="P100" i="12"/>
  <c r="X100" i="12" s="1"/>
  <c r="Z100" i="12" s="1"/>
  <c r="H100" i="12"/>
  <c r="D100" i="12"/>
  <c r="B100" i="12"/>
  <c r="T99" i="12"/>
  <c r="P99" i="12"/>
  <c r="X99" i="12" s="1"/>
  <c r="Z99" i="12" s="1"/>
  <c r="H99" i="12"/>
  <c r="D99" i="12"/>
  <c r="B99" i="12"/>
  <c r="T98" i="12"/>
  <c r="P98" i="12"/>
  <c r="X98" i="12" s="1"/>
  <c r="Z98" i="12" s="1"/>
  <c r="H98" i="12"/>
  <c r="D98" i="12"/>
  <c r="B98" i="12"/>
  <c r="T97" i="12"/>
  <c r="P97" i="12"/>
  <c r="X97" i="12" s="1"/>
  <c r="Z97" i="12" s="1"/>
  <c r="H97" i="12"/>
  <c r="D97" i="12"/>
  <c r="B97" i="12"/>
  <c r="T96" i="12"/>
  <c r="P96" i="12"/>
  <c r="X96" i="12" s="1"/>
  <c r="Z96" i="12" s="1"/>
  <c r="H96" i="12"/>
  <c r="D96" i="12"/>
  <c r="B96" i="12"/>
  <c r="T95" i="12"/>
  <c r="P95" i="12"/>
  <c r="X95" i="12" s="1"/>
  <c r="Z95" i="12" s="1"/>
  <c r="H95" i="12"/>
  <c r="D95" i="12"/>
  <c r="B95" i="12"/>
  <c r="Z94" i="12"/>
  <c r="T94" i="12"/>
  <c r="P94" i="12"/>
  <c r="X94" i="12" s="1"/>
  <c r="H94" i="12"/>
  <c r="D94" i="12"/>
  <c r="B94" i="12"/>
  <c r="Z93" i="12"/>
  <c r="T93" i="12"/>
  <c r="P93" i="12"/>
  <c r="X93" i="12" s="1"/>
  <c r="L93" i="12"/>
  <c r="H93" i="12"/>
  <c r="N93" i="12" s="1"/>
  <c r="D93" i="12"/>
  <c r="B93" i="12"/>
  <c r="T92" i="12"/>
  <c r="P92" i="12"/>
  <c r="X92" i="12" s="1"/>
  <c r="Z92" i="12" s="1"/>
  <c r="H92" i="12"/>
  <c r="D92" i="12"/>
  <c r="B92" i="12"/>
  <c r="T91" i="12"/>
  <c r="P91" i="12"/>
  <c r="X91" i="12" s="1"/>
  <c r="Z91" i="12" s="1"/>
  <c r="H91" i="12"/>
  <c r="D91" i="12"/>
  <c r="B91" i="12"/>
  <c r="Z90" i="12"/>
  <c r="T90" i="12"/>
  <c r="P90" i="12"/>
  <c r="X90" i="12" s="1"/>
  <c r="H90" i="12"/>
  <c r="D90" i="12"/>
  <c r="B90" i="12"/>
  <c r="Z89" i="12"/>
  <c r="T89" i="12"/>
  <c r="P89" i="12"/>
  <c r="X89" i="12" s="1"/>
  <c r="L89" i="12"/>
  <c r="H89" i="12"/>
  <c r="N89" i="12" s="1"/>
  <c r="D89" i="12"/>
  <c r="B89" i="12"/>
  <c r="T88" i="12"/>
  <c r="P88" i="12"/>
  <c r="X88" i="12" s="1"/>
  <c r="Z88" i="12" s="1"/>
  <c r="H88" i="12"/>
  <c r="D88" i="12"/>
  <c r="B88" i="12"/>
  <c r="T87" i="12"/>
  <c r="P87" i="12"/>
  <c r="X87" i="12" s="1"/>
  <c r="Z87" i="12" s="1"/>
  <c r="H87" i="12"/>
  <c r="D87" i="12"/>
  <c r="B87" i="12"/>
  <c r="Z86" i="12"/>
  <c r="T86" i="12"/>
  <c r="P86" i="12"/>
  <c r="X86" i="12" s="1"/>
  <c r="H86" i="12"/>
  <c r="D86" i="12"/>
  <c r="B86" i="12"/>
  <c r="Z85" i="12"/>
  <c r="T85" i="12"/>
  <c r="P85" i="12"/>
  <c r="X85" i="12" s="1"/>
  <c r="L85" i="12"/>
  <c r="H85" i="12"/>
  <c r="N85" i="12" s="1"/>
  <c r="D85" i="12"/>
  <c r="B85" i="12"/>
  <c r="T84" i="12"/>
  <c r="P84" i="12"/>
  <c r="X84" i="12" s="1"/>
  <c r="Z84" i="12" s="1"/>
  <c r="H84" i="12"/>
  <c r="D84" i="12"/>
  <c r="B84" i="12"/>
  <c r="T83" i="12"/>
  <c r="P83" i="12"/>
  <c r="X83" i="12" s="1"/>
  <c r="Z83" i="12" s="1"/>
  <c r="H83" i="12"/>
  <c r="D83" i="12"/>
  <c r="B83" i="12"/>
  <c r="Z82" i="12"/>
  <c r="T82" i="12"/>
  <c r="P82" i="12"/>
  <c r="X82" i="12" s="1"/>
  <c r="H82" i="12"/>
  <c r="D82" i="12"/>
  <c r="B82" i="12"/>
  <c r="Z81" i="12"/>
  <c r="T81" i="12"/>
  <c r="P81" i="12"/>
  <c r="X81" i="12" s="1"/>
  <c r="L81" i="12"/>
  <c r="H81" i="12"/>
  <c r="N81" i="12" s="1"/>
  <c r="D81" i="12"/>
  <c r="B81" i="12"/>
  <c r="T80" i="12"/>
  <c r="P80" i="12"/>
  <c r="X80" i="12" s="1"/>
  <c r="Z80" i="12" s="1"/>
  <c r="H80" i="12"/>
  <c r="D80" i="12"/>
  <c r="B80" i="12"/>
  <c r="T79" i="12"/>
  <c r="P79" i="12"/>
  <c r="X79" i="12" s="1"/>
  <c r="Z79" i="12" s="1"/>
  <c r="H79" i="12"/>
  <c r="D79" i="12"/>
  <c r="B79" i="12"/>
  <c r="Z78" i="12"/>
  <c r="T78" i="12"/>
  <c r="P78" i="12"/>
  <c r="X78" i="12" s="1"/>
  <c r="H78" i="12"/>
  <c r="D78" i="12"/>
  <c r="B78" i="12"/>
  <c r="Z77" i="12"/>
  <c r="T77" i="12"/>
  <c r="P77" i="12"/>
  <c r="X77" i="12" s="1"/>
  <c r="L77" i="12"/>
  <c r="H77" i="12"/>
  <c r="N77" i="12" s="1"/>
  <c r="D77" i="12"/>
  <c r="B77" i="12"/>
  <c r="T76" i="12"/>
  <c r="P76" i="12"/>
  <c r="X76" i="12" s="1"/>
  <c r="Z76" i="12" s="1"/>
  <c r="H76" i="12"/>
  <c r="D76" i="12"/>
  <c r="B76" i="12"/>
  <c r="T75" i="12"/>
  <c r="P75" i="12"/>
  <c r="X75" i="12" s="1"/>
  <c r="Z75" i="12" s="1"/>
  <c r="H75" i="12"/>
  <c r="D75" i="12"/>
  <c r="B75" i="12"/>
  <c r="Z74" i="12"/>
  <c r="T74" i="12"/>
  <c r="P74" i="12"/>
  <c r="X74" i="12" s="1"/>
  <c r="H74" i="12"/>
  <c r="D74" i="12"/>
  <c r="B74" i="12"/>
  <c r="Z73" i="12"/>
  <c r="T73" i="12"/>
  <c r="P73" i="12"/>
  <c r="X73" i="12" s="1"/>
  <c r="L73" i="12"/>
  <c r="H73" i="12"/>
  <c r="N73" i="12" s="1"/>
  <c r="D73" i="12"/>
  <c r="B73" i="12"/>
  <c r="T72" i="12"/>
  <c r="P72" i="12"/>
  <c r="X72" i="12" s="1"/>
  <c r="Z72" i="12" s="1"/>
  <c r="H72" i="12"/>
  <c r="D72" i="12"/>
  <c r="B72" i="12"/>
  <c r="T71" i="12"/>
  <c r="P71" i="12"/>
  <c r="X71" i="12" s="1"/>
  <c r="Z71" i="12" s="1"/>
  <c r="H71" i="12"/>
  <c r="D71" i="12"/>
  <c r="B71" i="12"/>
  <c r="Z70" i="12"/>
  <c r="T70" i="12"/>
  <c r="P70" i="12"/>
  <c r="X70" i="12" s="1"/>
  <c r="H70" i="12"/>
  <c r="D70" i="12"/>
  <c r="B70" i="12"/>
  <c r="Z69" i="12"/>
  <c r="T69" i="12"/>
  <c r="P69" i="12"/>
  <c r="X69" i="12" s="1"/>
  <c r="L69" i="12"/>
  <c r="H69" i="12"/>
  <c r="N69" i="12" s="1"/>
  <c r="D69" i="12"/>
  <c r="B69" i="12"/>
  <c r="T68" i="12"/>
  <c r="P68" i="12"/>
  <c r="X68" i="12" s="1"/>
  <c r="Z68" i="12" s="1"/>
  <c r="H68" i="12"/>
  <c r="D68" i="12"/>
  <c r="B68" i="12"/>
  <c r="T67" i="12"/>
  <c r="P67" i="12"/>
  <c r="X67" i="12" s="1"/>
  <c r="Z67" i="12" s="1"/>
  <c r="H67" i="12"/>
  <c r="D67" i="12"/>
  <c r="B67" i="12"/>
  <c r="Z66" i="12"/>
  <c r="T66" i="12"/>
  <c r="P66" i="12"/>
  <c r="X66" i="12" s="1"/>
  <c r="H66" i="12"/>
  <c r="D66" i="12"/>
  <c r="B66" i="12"/>
  <c r="Z65" i="12"/>
  <c r="T65" i="12"/>
  <c r="P65" i="12"/>
  <c r="X65" i="12" s="1"/>
  <c r="L65" i="12"/>
  <c r="H65" i="12"/>
  <c r="N65" i="12" s="1"/>
  <c r="D65" i="12"/>
  <c r="B65" i="12"/>
  <c r="T64" i="12"/>
  <c r="P64" i="12"/>
  <c r="X64" i="12" s="1"/>
  <c r="Z64" i="12" s="1"/>
  <c r="H64" i="12"/>
  <c r="D64" i="12"/>
  <c r="B64" i="12"/>
  <c r="T63" i="12"/>
  <c r="P63" i="12"/>
  <c r="X63" i="12" s="1"/>
  <c r="Z63" i="12" s="1"/>
  <c r="H63" i="12"/>
  <c r="D63" i="12"/>
  <c r="B63" i="12"/>
  <c r="Z62" i="12"/>
  <c r="T62" i="12"/>
  <c r="P62" i="12"/>
  <c r="X62" i="12" s="1"/>
  <c r="H62" i="12"/>
  <c r="D62" i="12"/>
  <c r="B62" i="12"/>
  <c r="Z61" i="12"/>
  <c r="T61" i="12"/>
  <c r="P61" i="12"/>
  <c r="X61" i="12" s="1"/>
  <c r="L61" i="12"/>
  <c r="H61" i="12"/>
  <c r="N61" i="12" s="1"/>
  <c r="D61" i="12"/>
  <c r="B61" i="12"/>
  <c r="T60" i="12"/>
  <c r="P60" i="12"/>
  <c r="X60" i="12" s="1"/>
  <c r="Z60" i="12" s="1"/>
  <c r="H60" i="12"/>
  <c r="D60" i="12"/>
  <c r="B60" i="12"/>
  <c r="T59" i="12"/>
  <c r="P59" i="12"/>
  <c r="X59" i="12" s="1"/>
  <c r="Z59" i="12" s="1"/>
  <c r="H59" i="12"/>
  <c r="D59" i="12"/>
  <c r="B59" i="12"/>
  <c r="Z58" i="12"/>
  <c r="T58" i="12"/>
  <c r="P58" i="12"/>
  <c r="X58" i="12" s="1"/>
  <c r="H58" i="12"/>
  <c r="D58" i="12"/>
  <c r="B58" i="12"/>
  <c r="Z57" i="12"/>
  <c r="T57" i="12"/>
  <c r="P57" i="12"/>
  <c r="X57" i="12" s="1"/>
  <c r="L57" i="12"/>
  <c r="H57" i="12"/>
  <c r="N57" i="12" s="1"/>
  <c r="D57" i="12"/>
  <c r="B57" i="12"/>
  <c r="T56" i="12"/>
  <c r="P56" i="12"/>
  <c r="X56" i="12" s="1"/>
  <c r="Z56" i="12" s="1"/>
  <c r="H56" i="12"/>
  <c r="D56" i="12"/>
  <c r="B56" i="12"/>
  <c r="T55" i="12"/>
  <c r="P55" i="12"/>
  <c r="X55" i="12" s="1"/>
  <c r="Z55" i="12" s="1"/>
  <c r="H55" i="12"/>
  <c r="D55" i="12"/>
  <c r="B55" i="12"/>
  <c r="Z54" i="12"/>
  <c r="T54" i="12"/>
  <c r="P54" i="12"/>
  <c r="X54" i="12" s="1"/>
  <c r="H54" i="12"/>
  <c r="D54" i="12"/>
  <c r="B54" i="12"/>
  <c r="Z53" i="12"/>
  <c r="T53" i="12"/>
  <c r="P53" i="12"/>
  <c r="X53" i="12" s="1"/>
  <c r="L53" i="12"/>
  <c r="H53" i="12"/>
  <c r="N53" i="12" s="1"/>
  <c r="D53" i="12"/>
  <c r="B53" i="12"/>
  <c r="T52" i="12"/>
  <c r="P52" i="12"/>
  <c r="X52" i="12" s="1"/>
  <c r="Z52" i="12" s="1"/>
  <c r="H52" i="12"/>
  <c r="D52" i="12"/>
  <c r="B52" i="12"/>
  <c r="T51" i="12"/>
  <c r="P51" i="12"/>
  <c r="X51" i="12" s="1"/>
  <c r="Z51" i="12" s="1"/>
  <c r="H51" i="12"/>
  <c r="D51" i="12"/>
  <c r="B51" i="12"/>
  <c r="Z50" i="12"/>
  <c r="T50" i="12"/>
  <c r="P50" i="12"/>
  <c r="X50" i="12" s="1"/>
  <c r="H50" i="12"/>
  <c r="D50" i="12"/>
  <c r="B50" i="12"/>
  <c r="Z49" i="12"/>
  <c r="T49" i="12"/>
  <c r="P49" i="12"/>
  <c r="X49" i="12" s="1"/>
  <c r="L49" i="12"/>
  <c r="H49" i="12"/>
  <c r="N49" i="12" s="1"/>
  <c r="D49" i="12"/>
  <c r="B49" i="12"/>
  <c r="T48" i="12"/>
  <c r="P48" i="12"/>
  <c r="X48" i="12" s="1"/>
  <c r="Z48" i="12" s="1"/>
  <c r="H48" i="12"/>
  <c r="D48" i="12"/>
  <c r="B48" i="12"/>
  <c r="T47" i="12"/>
  <c r="P47" i="12"/>
  <c r="X47" i="12" s="1"/>
  <c r="Z47" i="12" s="1"/>
  <c r="H47" i="12"/>
  <c r="D47" i="12"/>
  <c r="B47" i="12"/>
  <c r="Z46" i="12"/>
  <c r="T46" i="12"/>
  <c r="P46" i="12"/>
  <c r="X46" i="12" s="1"/>
  <c r="H46" i="12"/>
  <c r="D46" i="12"/>
  <c r="B46" i="12"/>
  <c r="Z45" i="12"/>
  <c r="T45" i="12"/>
  <c r="P45" i="12"/>
  <c r="X45" i="12" s="1"/>
  <c r="L45" i="12"/>
  <c r="H45" i="12"/>
  <c r="N45" i="12" s="1"/>
  <c r="D45" i="12"/>
  <c r="B45" i="12"/>
  <c r="T44" i="12"/>
  <c r="P44" i="12"/>
  <c r="X44" i="12" s="1"/>
  <c r="Z44" i="12" s="1"/>
  <c r="H44" i="12"/>
  <c r="D44" i="12"/>
  <c r="B44" i="12"/>
  <c r="T43" i="12"/>
  <c r="P43" i="12"/>
  <c r="X43" i="12" s="1"/>
  <c r="Z43" i="12" s="1"/>
  <c r="H43" i="12"/>
  <c r="D43" i="12"/>
  <c r="B43" i="12"/>
  <c r="Z42" i="12"/>
  <c r="T42" i="12"/>
  <c r="P42" i="12"/>
  <c r="X42" i="12" s="1"/>
  <c r="H42" i="12"/>
  <c r="D42" i="12"/>
  <c r="B42" i="12"/>
  <c r="Z41" i="12"/>
  <c r="T41" i="12"/>
  <c r="P41" i="12"/>
  <c r="X41" i="12" s="1"/>
  <c r="L41" i="12"/>
  <c r="H41" i="12"/>
  <c r="N41" i="12" s="1"/>
  <c r="D41" i="12"/>
  <c r="B41" i="12"/>
  <c r="T40" i="12"/>
  <c r="P40" i="12"/>
  <c r="X40" i="12" s="1"/>
  <c r="Z40" i="12" s="1"/>
  <c r="H40" i="12"/>
  <c r="D40" i="12"/>
  <c r="B40" i="12"/>
  <c r="T39" i="12"/>
  <c r="P39" i="12"/>
  <c r="X39" i="12" s="1"/>
  <c r="Z39" i="12" s="1"/>
  <c r="H39" i="12"/>
  <c r="D39" i="12"/>
  <c r="B39" i="12"/>
  <c r="Z38" i="12"/>
  <c r="T38" i="12"/>
  <c r="P38" i="12"/>
  <c r="X38" i="12" s="1"/>
  <c r="H38" i="12"/>
  <c r="D38" i="12"/>
  <c r="B38" i="12"/>
  <c r="Z37" i="12"/>
  <c r="T37" i="12"/>
  <c r="P37" i="12"/>
  <c r="X37" i="12" s="1"/>
  <c r="L37" i="12"/>
  <c r="H37" i="12"/>
  <c r="D37" i="12"/>
  <c r="B37" i="12"/>
  <c r="T36" i="12"/>
  <c r="P36" i="12"/>
  <c r="X36" i="12" s="1"/>
  <c r="Z36" i="12" s="1"/>
  <c r="H36" i="12"/>
  <c r="D36" i="12"/>
  <c r="B36" i="12"/>
  <c r="T35" i="12"/>
  <c r="P35" i="12"/>
  <c r="X35" i="12" s="1"/>
  <c r="Z35" i="12" s="1"/>
  <c r="H35" i="12"/>
  <c r="D35" i="12"/>
  <c r="B35" i="12"/>
  <c r="T34" i="12"/>
  <c r="P34" i="12"/>
  <c r="H34" i="12"/>
  <c r="D34" i="12"/>
  <c r="B34" i="12"/>
  <c r="Z33" i="12"/>
  <c r="T33" i="12"/>
  <c r="P33" i="12"/>
  <c r="X33" i="12" s="1"/>
  <c r="L33" i="12"/>
  <c r="H33" i="12"/>
  <c r="D33" i="12"/>
  <c r="B33" i="12"/>
  <c r="T32" i="12"/>
  <c r="P32" i="12"/>
  <c r="X32" i="12" s="1"/>
  <c r="Z32" i="12" s="1"/>
  <c r="H32" i="12"/>
  <c r="D32" i="12"/>
  <c r="B32" i="12"/>
  <c r="T31" i="12"/>
  <c r="P31" i="12"/>
  <c r="X31" i="12" s="1"/>
  <c r="Z31" i="12" s="1"/>
  <c r="H31" i="12"/>
  <c r="D31" i="12"/>
  <c r="B31" i="12"/>
  <c r="T30" i="12"/>
  <c r="P30" i="12"/>
  <c r="H30" i="12"/>
  <c r="D30" i="12"/>
  <c r="B30" i="12"/>
  <c r="Z29" i="12"/>
  <c r="T29" i="12"/>
  <c r="P29" i="12"/>
  <c r="X29" i="12" s="1"/>
  <c r="L29" i="12"/>
  <c r="H29" i="12"/>
  <c r="D29" i="12"/>
  <c r="B29" i="12"/>
  <c r="T28" i="12"/>
  <c r="P28" i="12"/>
  <c r="X28" i="12" s="1"/>
  <c r="Z28" i="12" s="1"/>
  <c r="H28" i="12"/>
  <c r="D28" i="12"/>
  <c r="B28" i="12"/>
  <c r="T27" i="12"/>
  <c r="P27" i="12"/>
  <c r="X27" i="12" s="1"/>
  <c r="Z27" i="12" s="1"/>
  <c r="H27" i="12"/>
  <c r="D27" i="12"/>
  <c r="B27" i="12"/>
  <c r="T26" i="12"/>
  <c r="P26" i="12"/>
  <c r="H26" i="12"/>
  <c r="D26" i="12"/>
  <c r="B26" i="12"/>
  <c r="Z25" i="12"/>
  <c r="T25" i="12"/>
  <c r="P25" i="12"/>
  <c r="X25" i="12" s="1"/>
  <c r="L25" i="12"/>
  <c r="H25" i="12"/>
  <c r="D25" i="12"/>
  <c r="B25" i="12"/>
  <c r="T24" i="12"/>
  <c r="P24" i="12"/>
  <c r="X24" i="12" s="1"/>
  <c r="Z24" i="12" s="1"/>
  <c r="H24" i="12"/>
  <c r="D24" i="12"/>
  <c r="B24" i="12"/>
  <c r="T23" i="12"/>
  <c r="P23" i="12"/>
  <c r="X23" i="12" s="1"/>
  <c r="Z23" i="12" s="1"/>
  <c r="L23" i="12"/>
  <c r="H23" i="12"/>
  <c r="N23" i="12" s="1"/>
  <c r="D23" i="12"/>
  <c r="B23" i="12"/>
  <c r="T22" i="12"/>
  <c r="P22" i="12"/>
  <c r="X22" i="12" s="1"/>
  <c r="Z22" i="12" s="1"/>
  <c r="H22" i="12"/>
  <c r="D22" i="12"/>
  <c r="B22" i="12"/>
  <c r="T21" i="12"/>
  <c r="P21" i="12"/>
  <c r="X21" i="12" s="1"/>
  <c r="Z21" i="12" s="1"/>
  <c r="L21" i="12"/>
  <c r="H21" i="12"/>
  <c r="D21" i="12"/>
  <c r="B21" i="12"/>
  <c r="T20" i="12"/>
  <c r="Z20" i="12" s="1"/>
  <c r="P20" i="12"/>
  <c r="X20" i="12" s="1"/>
  <c r="H20" i="12"/>
  <c r="D20" i="12"/>
  <c r="B20" i="12"/>
  <c r="T19" i="12"/>
  <c r="P19" i="12"/>
  <c r="X19" i="12" s="1"/>
  <c r="Z19" i="12" s="1"/>
  <c r="L19" i="12"/>
  <c r="H19" i="12"/>
  <c r="D19" i="12"/>
  <c r="B19" i="12"/>
  <c r="T18" i="12"/>
  <c r="Z18" i="12" s="1"/>
  <c r="P18" i="12"/>
  <c r="X18" i="12" s="1"/>
  <c r="H18" i="12"/>
  <c r="D18" i="12"/>
  <c r="B18" i="12"/>
  <c r="T17" i="12"/>
  <c r="P17" i="12"/>
  <c r="X17" i="12" s="1"/>
  <c r="Z17" i="12" s="1"/>
  <c r="L17" i="12"/>
  <c r="H17" i="12"/>
  <c r="N17" i="12" s="1"/>
  <c r="D17" i="12"/>
  <c r="B17" i="12"/>
  <c r="T16" i="12"/>
  <c r="P16" i="12"/>
  <c r="H16" i="12"/>
  <c r="D16" i="12"/>
  <c r="B16" i="12"/>
  <c r="T15" i="12"/>
  <c r="P15" i="12"/>
  <c r="X15" i="12" s="1"/>
  <c r="Z15" i="12" s="1"/>
  <c r="H15" i="12"/>
  <c r="L15" i="12" s="1"/>
  <c r="D15" i="12"/>
  <c r="D12" i="12" s="1"/>
  <c r="F218" i="12" s="1"/>
  <c r="B15" i="12"/>
  <c r="T14" i="12"/>
  <c r="P14" i="12"/>
  <c r="H14" i="12"/>
  <c r="H12" i="12" s="1"/>
  <c r="D14" i="12"/>
  <c r="B14" i="12"/>
  <c r="Z13" i="12"/>
  <c r="T13" i="12"/>
  <c r="P13" i="12"/>
  <c r="X13" i="12" s="1"/>
  <c r="L13" i="12"/>
  <c r="H13" i="12"/>
  <c r="N13" i="12" s="1"/>
  <c r="D13" i="12"/>
  <c r="B13" i="12"/>
  <c r="D4" i="12"/>
  <c r="Z93" i="9"/>
  <c r="X93" i="9"/>
  <c r="N93" i="9"/>
  <c r="L93" i="9"/>
  <c r="V91" i="9"/>
  <c r="X89" i="9"/>
  <c r="T89" i="9"/>
  <c r="Z89" i="9" s="1"/>
  <c r="P89" i="9"/>
  <c r="H89" i="9"/>
  <c r="N89" i="9" s="1"/>
  <c r="D89" i="9"/>
  <c r="L89" i="9" s="1"/>
  <c r="X87" i="9"/>
  <c r="Z87" i="9" s="1"/>
  <c r="N87" i="9"/>
  <c r="L87" i="9"/>
  <c r="F87" i="9"/>
  <c r="B87" i="9"/>
  <c r="X86" i="9"/>
  <c r="Z86" i="9" s="1"/>
  <c r="N86" i="9"/>
  <c r="L86" i="9"/>
  <c r="B86" i="9"/>
  <c r="X85" i="9"/>
  <c r="T85" i="9"/>
  <c r="P85" i="9"/>
  <c r="L85" i="9"/>
  <c r="J85" i="9"/>
  <c r="H85" i="9"/>
  <c r="D85" i="9"/>
  <c r="B85" i="9"/>
  <c r="Z84" i="9"/>
  <c r="X84" i="9"/>
  <c r="N84" i="9"/>
  <c r="L84" i="9"/>
  <c r="B84" i="9"/>
  <c r="T83" i="9"/>
  <c r="X83" i="9" s="1"/>
  <c r="P83" i="9"/>
  <c r="N83" i="9"/>
  <c r="L83" i="9"/>
  <c r="H83" i="9"/>
  <c r="D83" i="9"/>
  <c r="B83" i="9"/>
  <c r="Z82" i="9"/>
  <c r="X82" i="9"/>
  <c r="R82" i="9"/>
  <c r="L82" i="9"/>
  <c r="N82" i="9" s="1"/>
  <c r="B82" i="9"/>
  <c r="Z81" i="9"/>
  <c r="X81" i="9"/>
  <c r="L81" i="9"/>
  <c r="N81" i="9" s="1"/>
  <c r="B81" i="9"/>
  <c r="V80" i="9"/>
  <c r="T80" i="9"/>
  <c r="P80" i="9"/>
  <c r="H80" i="9"/>
  <c r="D80" i="9"/>
  <c r="L80" i="9" s="1"/>
  <c r="N80" i="9" s="1"/>
  <c r="B80" i="9"/>
  <c r="X79" i="9"/>
  <c r="Z79" i="9" s="1"/>
  <c r="L79" i="9"/>
  <c r="N79" i="9" s="1"/>
  <c r="F79" i="9"/>
  <c r="B79" i="9"/>
  <c r="X78" i="9"/>
  <c r="Z78" i="9" s="1"/>
  <c r="N78" i="9"/>
  <c r="L78" i="9"/>
  <c r="B78" i="9"/>
  <c r="X77" i="9"/>
  <c r="Z77" i="9" s="1"/>
  <c r="L77" i="9"/>
  <c r="N77" i="9" s="1"/>
  <c r="F77" i="9"/>
  <c r="B77" i="9"/>
  <c r="Z76" i="9"/>
  <c r="X76" i="9"/>
  <c r="N76" i="9"/>
  <c r="L76" i="9"/>
  <c r="F76" i="9"/>
  <c r="B76" i="9"/>
  <c r="X75" i="9"/>
  <c r="Z75" i="9" s="1"/>
  <c r="L75" i="9"/>
  <c r="N75" i="9" s="1"/>
  <c r="B75" i="9"/>
  <c r="T74" i="9"/>
  <c r="P74" i="9"/>
  <c r="X74" i="9" s="1"/>
  <c r="Z74" i="9" s="1"/>
  <c r="J74" i="9"/>
  <c r="H74" i="9"/>
  <c r="D74" i="9"/>
  <c r="L74" i="9" s="1"/>
  <c r="B74" i="9"/>
  <c r="X73" i="9"/>
  <c r="Z73" i="9" s="1"/>
  <c r="N73" i="9"/>
  <c r="L73" i="9"/>
  <c r="J73" i="9"/>
  <c r="B73" i="9"/>
  <c r="T72" i="9"/>
  <c r="P72" i="9"/>
  <c r="N72" i="9"/>
  <c r="L72" i="9"/>
  <c r="H72" i="9"/>
  <c r="D72" i="9"/>
  <c r="B72" i="9"/>
  <c r="Z71" i="9"/>
  <c r="X71" i="9"/>
  <c r="R71" i="9"/>
  <c r="L71" i="9"/>
  <c r="N71" i="9" s="1"/>
  <c r="B71" i="9"/>
  <c r="Z70" i="9"/>
  <c r="X70" i="9"/>
  <c r="L70" i="9"/>
  <c r="N70" i="9" s="1"/>
  <c r="J70" i="9"/>
  <c r="B70" i="9"/>
  <c r="V69" i="9"/>
  <c r="T69" i="9"/>
  <c r="P69" i="9"/>
  <c r="H69" i="9"/>
  <c r="D69" i="9"/>
  <c r="L69" i="9" s="1"/>
  <c r="N69" i="9" s="1"/>
  <c r="B69" i="9"/>
  <c r="X68" i="9"/>
  <c r="Z68" i="9" s="1"/>
  <c r="L68" i="9"/>
  <c r="N68" i="9" s="1"/>
  <c r="F68" i="9"/>
  <c r="B68" i="9"/>
  <c r="X67" i="9"/>
  <c r="Z67" i="9" s="1"/>
  <c r="N67" i="9"/>
  <c r="L67" i="9"/>
  <c r="B67" i="9"/>
  <c r="X66" i="9"/>
  <c r="Z66" i="9" s="1"/>
  <c r="L66" i="9"/>
  <c r="N66" i="9" s="1"/>
  <c r="F66" i="9"/>
  <c r="B66" i="9"/>
  <c r="T65" i="9"/>
  <c r="P65" i="9"/>
  <c r="X65" i="9" s="1"/>
  <c r="L65" i="9"/>
  <c r="H65" i="9"/>
  <c r="D65" i="9"/>
  <c r="B65" i="9"/>
  <c r="Z64" i="9"/>
  <c r="X64" i="9"/>
  <c r="N64" i="9"/>
  <c r="L64" i="9"/>
  <c r="J64" i="9"/>
  <c r="F64" i="9"/>
  <c r="B64" i="9"/>
  <c r="Z63" i="9"/>
  <c r="X63" i="9"/>
  <c r="N63" i="9"/>
  <c r="L63" i="9"/>
  <c r="B63" i="9"/>
  <c r="X62" i="9"/>
  <c r="Z62" i="9" s="1"/>
  <c r="N62" i="9"/>
  <c r="L62" i="9"/>
  <c r="B62" i="9"/>
  <c r="Z61" i="9"/>
  <c r="X61" i="9"/>
  <c r="N61" i="9"/>
  <c r="L61" i="9"/>
  <c r="J61" i="9"/>
  <c r="F61" i="9"/>
  <c r="B61" i="9"/>
  <c r="T60" i="9"/>
  <c r="R60" i="9"/>
  <c r="P60" i="9"/>
  <c r="L60" i="9"/>
  <c r="H60" i="9"/>
  <c r="N60" i="9" s="1"/>
  <c r="D60" i="9"/>
  <c r="B60" i="9"/>
  <c r="Z59" i="9"/>
  <c r="X59" i="9"/>
  <c r="L59" i="9"/>
  <c r="N59" i="9" s="1"/>
  <c r="J59" i="9"/>
  <c r="B59" i="9"/>
  <c r="T58" i="9"/>
  <c r="P58" i="9"/>
  <c r="X58" i="9" s="1"/>
  <c r="Z58" i="9" s="1"/>
  <c r="H58" i="9"/>
  <c r="D58" i="9"/>
  <c r="B58" i="9"/>
  <c r="X57" i="9"/>
  <c r="Z57" i="9" s="1"/>
  <c r="L57" i="9"/>
  <c r="N57" i="9" s="1"/>
  <c r="B57" i="9"/>
  <c r="X56" i="9"/>
  <c r="V56" i="9"/>
  <c r="T56" i="9"/>
  <c r="P56" i="9"/>
  <c r="L56" i="9"/>
  <c r="N56" i="9" s="1"/>
  <c r="J56" i="9"/>
  <c r="H56" i="9"/>
  <c r="D56" i="9"/>
  <c r="B56" i="9"/>
  <c r="X55" i="9"/>
  <c r="Z55" i="9" s="1"/>
  <c r="N55" i="9"/>
  <c r="L55" i="9"/>
  <c r="B55" i="9"/>
  <c r="Z54" i="9"/>
  <c r="X54" i="9"/>
  <c r="N54" i="9"/>
  <c r="L54" i="9"/>
  <c r="J54" i="9"/>
  <c r="F54" i="9"/>
  <c r="B54" i="9"/>
  <c r="T53" i="9"/>
  <c r="R53" i="9"/>
  <c r="P53" i="9"/>
  <c r="L53" i="9"/>
  <c r="H53" i="9"/>
  <c r="N53" i="9" s="1"/>
  <c r="D53" i="9"/>
  <c r="B53" i="9"/>
  <c r="Z52" i="9"/>
  <c r="X52" i="9"/>
  <c r="L52" i="9"/>
  <c r="N52" i="9" s="1"/>
  <c r="J52" i="9"/>
  <c r="B52" i="9"/>
  <c r="T51" i="9"/>
  <c r="P51" i="9"/>
  <c r="X51" i="9" s="1"/>
  <c r="Z51" i="9" s="1"/>
  <c r="H51" i="9"/>
  <c r="D51" i="9"/>
  <c r="B51" i="9"/>
  <c r="X50" i="9"/>
  <c r="Z50" i="9" s="1"/>
  <c r="L50" i="9"/>
  <c r="N50" i="9" s="1"/>
  <c r="B50" i="9"/>
  <c r="X49" i="9"/>
  <c r="V49" i="9"/>
  <c r="T49" i="9"/>
  <c r="P49" i="9"/>
  <c r="L49" i="9"/>
  <c r="J49" i="9"/>
  <c r="H49" i="9"/>
  <c r="D49" i="9"/>
  <c r="B49" i="9"/>
  <c r="X48" i="9"/>
  <c r="Z48" i="9" s="1"/>
  <c r="N48" i="9"/>
  <c r="L48" i="9"/>
  <c r="B48" i="9"/>
  <c r="T47" i="9"/>
  <c r="X47" i="9" s="1"/>
  <c r="Z47" i="9" s="1"/>
  <c r="P47" i="9"/>
  <c r="L47" i="9"/>
  <c r="N47" i="9" s="1"/>
  <c r="H47" i="9"/>
  <c r="D47" i="9"/>
  <c r="B47" i="9"/>
  <c r="Z46" i="9"/>
  <c r="X46" i="9"/>
  <c r="L46" i="9"/>
  <c r="N46" i="9" s="1"/>
  <c r="J46" i="9"/>
  <c r="B46" i="9"/>
  <c r="T45" i="9"/>
  <c r="Z45" i="9" s="1"/>
  <c r="P45" i="9"/>
  <c r="X45" i="9" s="1"/>
  <c r="N45" i="9"/>
  <c r="L45" i="9"/>
  <c r="H45" i="9"/>
  <c r="D45" i="9"/>
  <c r="B45" i="9"/>
  <c r="X44" i="9"/>
  <c r="Z44" i="9" s="1"/>
  <c r="V44" i="9"/>
  <c r="L44" i="9"/>
  <c r="N44" i="9" s="1"/>
  <c r="B44" i="9"/>
  <c r="X43" i="9"/>
  <c r="T43" i="9"/>
  <c r="P43" i="9"/>
  <c r="L43" i="9"/>
  <c r="J43" i="9"/>
  <c r="H43" i="9"/>
  <c r="D43" i="9"/>
  <c r="B43" i="9"/>
  <c r="Z42" i="9"/>
  <c r="X42" i="9"/>
  <c r="N42" i="9"/>
  <c r="L42" i="9"/>
  <c r="B42" i="9"/>
  <c r="X41" i="9"/>
  <c r="T41" i="9"/>
  <c r="Z41" i="9" s="1"/>
  <c r="P41" i="9"/>
  <c r="H41" i="9"/>
  <c r="D41" i="9"/>
  <c r="L41" i="9" s="1"/>
  <c r="N41" i="9" s="1"/>
  <c r="B41" i="9"/>
  <c r="Z40" i="9"/>
  <c r="X40" i="9"/>
  <c r="L40" i="9"/>
  <c r="N40" i="9" s="1"/>
  <c r="J40" i="9"/>
  <c r="B40" i="9"/>
  <c r="T39" i="9"/>
  <c r="P39" i="9"/>
  <c r="X39" i="9" s="1"/>
  <c r="H39" i="9"/>
  <c r="D39" i="9"/>
  <c r="B39" i="9"/>
  <c r="Z38" i="9"/>
  <c r="X38" i="9"/>
  <c r="N38" i="9"/>
  <c r="L38" i="9"/>
  <c r="B38" i="9"/>
  <c r="X37" i="9"/>
  <c r="Z37" i="9" s="1"/>
  <c r="L37" i="9"/>
  <c r="N37" i="9" s="1"/>
  <c r="F37" i="9"/>
  <c r="B37" i="9"/>
  <c r="X36" i="9"/>
  <c r="Z36" i="9" s="1"/>
  <c r="L36" i="9"/>
  <c r="N36" i="9" s="1"/>
  <c r="J36" i="9"/>
  <c r="F36" i="9"/>
  <c r="B36" i="9"/>
  <c r="X35" i="9"/>
  <c r="Z35" i="9" s="1"/>
  <c r="L35" i="9"/>
  <c r="N35" i="9" s="1"/>
  <c r="B35" i="9"/>
  <c r="Z34" i="9"/>
  <c r="X34" i="9"/>
  <c r="L34" i="9"/>
  <c r="N34" i="9" s="1"/>
  <c r="B34" i="9"/>
  <c r="X33" i="9"/>
  <c r="Z33" i="9" s="1"/>
  <c r="R33" i="9"/>
  <c r="N33" i="9"/>
  <c r="L33" i="9"/>
  <c r="B33" i="9"/>
  <c r="X32" i="9"/>
  <c r="Z32" i="9" s="1"/>
  <c r="L32" i="9"/>
  <c r="N32" i="9" s="1"/>
  <c r="B32" i="9"/>
  <c r="X31" i="9"/>
  <c r="T31" i="9"/>
  <c r="P31" i="9"/>
  <c r="L31" i="9"/>
  <c r="N31" i="9" s="1"/>
  <c r="H31" i="9"/>
  <c r="D31" i="9"/>
  <c r="B31" i="9"/>
  <c r="Z30" i="9"/>
  <c r="X30" i="9"/>
  <c r="L30" i="9"/>
  <c r="N30" i="9" s="1"/>
  <c r="J30" i="9"/>
  <c r="B30" i="9"/>
  <c r="X29" i="9"/>
  <c r="Z29" i="9" s="1"/>
  <c r="R29" i="9"/>
  <c r="N29" i="9"/>
  <c r="L29" i="9"/>
  <c r="J29" i="9"/>
  <c r="B29" i="9"/>
  <c r="X28" i="9"/>
  <c r="Z28" i="9" s="1"/>
  <c r="N28" i="9"/>
  <c r="L28" i="9"/>
  <c r="J28" i="9"/>
  <c r="B28" i="9"/>
  <c r="Z27" i="9"/>
  <c r="X27" i="9"/>
  <c r="N27" i="9"/>
  <c r="L27" i="9"/>
  <c r="J27" i="9"/>
  <c r="B27" i="9"/>
  <c r="Z26" i="9"/>
  <c r="X26" i="9"/>
  <c r="L26" i="9"/>
  <c r="N26" i="9" s="1"/>
  <c r="J26" i="9"/>
  <c r="F26" i="9"/>
  <c r="B26" i="9"/>
  <c r="Z25" i="9"/>
  <c r="X25" i="9"/>
  <c r="V25" i="9"/>
  <c r="R25" i="9"/>
  <c r="N25" i="9"/>
  <c r="L25" i="9"/>
  <c r="J25" i="9"/>
  <c r="B25" i="9"/>
  <c r="X24" i="9"/>
  <c r="Z24" i="9" s="1"/>
  <c r="L24" i="9"/>
  <c r="N24" i="9" s="1"/>
  <c r="J24" i="9"/>
  <c r="B24" i="9"/>
  <c r="Z23" i="9"/>
  <c r="X23" i="9"/>
  <c r="N23" i="9"/>
  <c r="L23" i="9"/>
  <c r="J23" i="9"/>
  <c r="B23" i="9"/>
  <c r="Z22" i="9"/>
  <c r="X22" i="9"/>
  <c r="L22" i="9"/>
  <c r="N22" i="9" s="1"/>
  <c r="J22" i="9"/>
  <c r="F22" i="9"/>
  <c r="B22" i="9"/>
  <c r="Z21" i="9"/>
  <c r="X21" i="9"/>
  <c r="V21" i="9"/>
  <c r="R21" i="9"/>
  <c r="N21" i="9"/>
  <c r="L21" i="9"/>
  <c r="J21" i="9"/>
  <c r="B21" i="9"/>
  <c r="X20" i="9"/>
  <c r="Z20" i="9" s="1"/>
  <c r="L20" i="9"/>
  <c r="N20" i="9" s="1"/>
  <c r="J20" i="9"/>
  <c r="B20" i="9"/>
  <c r="T19" i="9"/>
  <c r="P19" i="9"/>
  <c r="X19" i="9" s="1"/>
  <c r="J19" i="9"/>
  <c r="H19" i="9"/>
  <c r="D19" i="9"/>
  <c r="L19" i="9" s="1"/>
  <c r="B19" i="9"/>
  <c r="T18" i="9"/>
  <c r="P18" i="9"/>
  <c r="X18" i="9" s="1"/>
  <c r="J18" i="9"/>
  <c r="H18" i="9"/>
  <c r="D18" i="9"/>
  <c r="J16" i="9"/>
  <c r="T14" i="9"/>
  <c r="Z14" i="9" s="1"/>
  <c r="P14" i="9"/>
  <c r="X14" i="9" s="1"/>
  <c r="J14" i="9"/>
  <c r="H14" i="9"/>
  <c r="N14" i="9" s="1"/>
  <c r="D14" i="9"/>
  <c r="T12" i="9"/>
  <c r="V85" i="9" s="1"/>
  <c r="P12" i="9"/>
  <c r="R65" i="9" s="1"/>
  <c r="N12" i="9"/>
  <c r="L12" i="9"/>
  <c r="H12" i="9"/>
  <c r="J82" i="9" s="1"/>
  <c r="D12" i="9"/>
  <c r="F75" i="9" s="1"/>
  <c r="D4" i="9"/>
  <c r="R31" i="6"/>
  <c r="J31" i="6"/>
  <c r="F31" i="6"/>
  <c r="T29" i="6"/>
  <c r="R29" i="6"/>
  <c r="P29" i="6"/>
  <c r="X29" i="6" s="1"/>
  <c r="Z29" i="6" s="1"/>
  <c r="J29" i="6"/>
  <c r="H29" i="6"/>
  <c r="F29" i="6"/>
  <c r="D29" i="6"/>
  <c r="L29" i="6" s="1"/>
  <c r="T28" i="6"/>
  <c r="R28" i="6"/>
  <c r="P28" i="6"/>
  <c r="X28" i="6" s="1"/>
  <c r="Z28" i="6" s="1"/>
  <c r="J28" i="6"/>
  <c r="H28" i="6"/>
  <c r="F28" i="6"/>
  <c r="D28" i="6"/>
  <c r="L28" i="6" s="1"/>
  <c r="R26" i="6"/>
  <c r="J26" i="6"/>
  <c r="F26" i="6"/>
  <c r="Z24" i="6"/>
  <c r="X24" i="6"/>
  <c r="R24" i="6"/>
  <c r="N24" i="6"/>
  <c r="L24" i="6"/>
  <c r="J24" i="6"/>
  <c r="R22" i="6"/>
  <c r="J22" i="6"/>
  <c r="F22" i="6"/>
  <c r="Z20" i="6"/>
  <c r="X20" i="6"/>
  <c r="T20" i="6"/>
  <c r="R20" i="6"/>
  <c r="P20" i="6"/>
  <c r="N20" i="6"/>
  <c r="L20" i="6"/>
  <c r="J20" i="6"/>
  <c r="H20" i="6"/>
  <c r="F20" i="6"/>
  <c r="D20" i="6"/>
  <c r="Z18" i="6"/>
  <c r="X18" i="6"/>
  <c r="T18" i="6"/>
  <c r="R18" i="6"/>
  <c r="P18" i="6"/>
  <c r="N18" i="6"/>
  <c r="L18" i="6"/>
  <c r="J18" i="6"/>
  <c r="H18" i="6"/>
  <c r="F18" i="6"/>
  <c r="D18" i="6"/>
  <c r="R16" i="6"/>
  <c r="J16" i="6"/>
  <c r="F16" i="6"/>
  <c r="Z14" i="6"/>
  <c r="X14" i="6"/>
  <c r="T14" i="6"/>
  <c r="R14" i="6"/>
  <c r="P14" i="6"/>
  <c r="N14" i="6"/>
  <c r="L14" i="6"/>
  <c r="J14" i="6"/>
  <c r="H14" i="6"/>
  <c r="F14" i="6"/>
  <c r="D14" i="6"/>
  <c r="X12" i="6"/>
  <c r="T12" i="6"/>
  <c r="V31" i="6" s="1"/>
  <c r="P12" i="6"/>
  <c r="P16" i="6" s="1"/>
  <c r="N12" i="6"/>
  <c r="H12" i="6"/>
  <c r="H16" i="6" s="1"/>
  <c r="D12" i="6"/>
  <c r="L12" i="6" s="1"/>
  <c r="D4" i="6"/>
  <c r="T307" i="3"/>
  <c r="P307" i="3"/>
  <c r="H307" i="3"/>
  <c r="D307" i="3"/>
  <c r="L307" i="3" s="1"/>
  <c r="T306" i="3"/>
  <c r="P306" i="3"/>
  <c r="H306" i="3"/>
  <c r="D306" i="3"/>
  <c r="L306" i="3" s="1"/>
  <c r="X302" i="3"/>
  <c r="Z302" i="3" s="1"/>
  <c r="L302" i="3"/>
  <c r="N302" i="3" s="1"/>
  <c r="X298" i="3"/>
  <c r="T298" i="3"/>
  <c r="Z298" i="3" s="1"/>
  <c r="P298" i="3"/>
  <c r="N298" i="3"/>
  <c r="L298" i="3"/>
  <c r="H298" i="3"/>
  <c r="D298" i="3"/>
  <c r="B298" i="3"/>
  <c r="Z297" i="3"/>
  <c r="T297" i="3"/>
  <c r="P297" i="3"/>
  <c r="X297" i="3" s="1"/>
  <c r="N297" i="3"/>
  <c r="H297" i="3"/>
  <c r="D297" i="3"/>
  <c r="L297" i="3" s="1"/>
  <c r="B297" i="3"/>
  <c r="T296" i="3"/>
  <c r="Z296" i="3" s="1"/>
  <c r="R296" i="3"/>
  <c r="P296" i="3"/>
  <c r="X296" i="3" s="1"/>
  <c r="H296" i="3"/>
  <c r="N296" i="3" s="1"/>
  <c r="D296" i="3"/>
  <c r="L296" i="3" s="1"/>
  <c r="B296" i="3"/>
  <c r="T295" i="3"/>
  <c r="Z295" i="3" s="1"/>
  <c r="P295" i="3"/>
  <c r="X295" i="3" s="1"/>
  <c r="H295" i="3"/>
  <c r="D295" i="3"/>
  <c r="L295" i="3" s="1"/>
  <c r="N295" i="3" s="1"/>
  <c r="B295" i="3"/>
  <c r="T294" i="3"/>
  <c r="P294" i="3"/>
  <c r="H294" i="3"/>
  <c r="D294" i="3"/>
  <c r="L294" i="3" s="1"/>
  <c r="B294" i="3"/>
  <c r="X293" i="3"/>
  <c r="Z293" i="3" s="1"/>
  <c r="T293" i="3"/>
  <c r="P293" i="3"/>
  <c r="L293" i="3"/>
  <c r="H293" i="3"/>
  <c r="N293" i="3" s="1"/>
  <c r="D293" i="3"/>
  <c r="B293" i="3"/>
  <c r="Z292" i="3"/>
  <c r="X292" i="3"/>
  <c r="T292" i="3"/>
  <c r="P292" i="3"/>
  <c r="L292" i="3"/>
  <c r="H292" i="3"/>
  <c r="N292" i="3" s="1"/>
  <c r="D292" i="3"/>
  <c r="B292" i="3"/>
  <c r="T291" i="3"/>
  <c r="P291" i="3"/>
  <c r="X291" i="3" s="1"/>
  <c r="Z291" i="3" s="1"/>
  <c r="H291" i="3"/>
  <c r="D291" i="3"/>
  <c r="L291" i="3" s="1"/>
  <c r="N291" i="3" s="1"/>
  <c r="B291" i="3"/>
  <c r="T290" i="3"/>
  <c r="Z290" i="3" s="1"/>
  <c r="P290" i="3"/>
  <c r="X290" i="3" s="1"/>
  <c r="H290" i="3"/>
  <c r="N290" i="3" s="1"/>
  <c r="D290" i="3"/>
  <c r="L290" i="3" s="1"/>
  <c r="B290" i="3"/>
  <c r="T289" i="3"/>
  <c r="R289" i="3"/>
  <c r="P289" i="3"/>
  <c r="X289" i="3" s="1"/>
  <c r="Z289" i="3" s="1"/>
  <c r="H289" i="3"/>
  <c r="D289" i="3"/>
  <c r="L289" i="3" s="1"/>
  <c r="B289" i="3"/>
  <c r="T288" i="3"/>
  <c r="P288" i="3"/>
  <c r="X288" i="3" s="1"/>
  <c r="H288" i="3"/>
  <c r="N288" i="3" s="1"/>
  <c r="D288" i="3"/>
  <c r="D287" i="3" s="1"/>
  <c r="B288" i="3"/>
  <c r="X285" i="3"/>
  <c r="Z285" i="3" s="1"/>
  <c r="N285" i="3"/>
  <c r="L285" i="3"/>
  <c r="B285" i="3"/>
  <c r="T284" i="3"/>
  <c r="P284" i="3"/>
  <c r="X284" i="3" s="1"/>
  <c r="H284" i="3"/>
  <c r="N284" i="3" s="1"/>
  <c r="D284" i="3"/>
  <c r="L284" i="3" s="1"/>
  <c r="B284" i="3"/>
  <c r="Z283" i="3"/>
  <c r="X283" i="3"/>
  <c r="N283" i="3"/>
  <c r="L283" i="3"/>
  <c r="B283" i="3"/>
  <c r="Z282" i="3"/>
  <c r="X282" i="3"/>
  <c r="L282" i="3"/>
  <c r="N282" i="3" s="1"/>
  <c r="B282" i="3"/>
  <c r="Z281" i="3"/>
  <c r="X281" i="3"/>
  <c r="R281" i="3"/>
  <c r="N281" i="3"/>
  <c r="L281" i="3"/>
  <c r="B281" i="3"/>
  <c r="X280" i="3"/>
  <c r="T280" i="3"/>
  <c r="Z280" i="3" s="1"/>
  <c r="P280" i="3"/>
  <c r="N280" i="3"/>
  <c r="L280" i="3"/>
  <c r="H280" i="3"/>
  <c r="D280" i="3"/>
  <c r="B280" i="3"/>
  <c r="Z279" i="3"/>
  <c r="X279" i="3"/>
  <c r="L279" i="3"/>
  <c r="N279" i="3" s="1"/>
  <c r="B279" i="3"/>
  <c r="T278" i="3"/>
  <c r="Z278" i="3" s="1"/>
  <c r="P278" i="3"/>
  <c r="X278" i="3" s="1"/>
  <c r="H278" i="3"/>
  <c r="D278" i="3"/>
  <c r="B278" i="3"/>
  <c r="X277" i="3"/>
  <c r="Z277" i="3" s="1"/>
  <c r="N277" i="3"/>
  <c r="L277" i="3"/>
  <c r="B277" i="3"/>
  <c r="X276" i="3"/>
  <c r="Z276" i="3" s="1"/>
  <c r="L276" i="3"/>
  <c r="N276" i="3" s="1"/>
  <c r="B276" i="3"/>
  <c r="X275" i="3"/>
  <c r="Z275" i="3" s="1"/>
  <c r="T275" i="3"/>
  <c r="P275" i="3"/>
  <c r="L275" i="3"/>
  <c r="H275" i="3"/>
  <c r="N275" i="3" s="1"/>
  <c r="D275" i="3"/>
  <c r="B275" i="3"/>
  <c r="Z274" i="3"/>
  <c r="X274" i="3"/>
  <c r="L274" i="3"/>
  <c r="N274" i="3" s="1"/>
  <c r="B274" i="3"/>
  <c r="Z273" i="3"/>
  <c r="X273" i="3"/>
  <c r="R273" i="3"/>
  <c r="N273" i="3"/>
  <c r="L273" i="3"/>
  <c r="B273" i="3"/>
  <c r="X272" i="3"/>
  <c r="Z272" i="3" s="1"/>
  <c r="L272" i="3"/>
  <c r="N272" i="3" s="1"/>
  <c r="B272" i="3"/>
  <c r="Z271" i="3"/>
  <c r="X271" i="3"/>
  <c r="N271" i="3"/>
  <c r="L271" i="3"/>
  <c r="B271" i="3"/>
  <c r="Z270" i="3"/>
  <c r="X270" i="3"/>
  <c r="L270" i="3"/>
  <c r="N270" i="3" s="1"/>
  <c r="B270" i="3"/>
  <c r="Z269" i="3"/>
  <c r="X269" i="3"/>
  <c r="R269" i="3"/>
  <c r="N269" i="3"/>
  <c r="L269" i="3"/>
  <c r="B269" i="3"/>
  <c r="X268" i="3"/>
  <c r="Z268" i="3" s="1"/>
  <c r="L268" i="3"/>
  <c r="N268" i="3" s="1"/>
  <c r="B268" i="3"/>
  <c r="Z267" i="3"/>
  <c r="X267" i="3"/>
  <c r="N267" i="3"/>
  <c r="L267" i="3"/>
  <c r="B267" i="3"/>
  <c r="Z266" i="3"/>
  <c r="X266" i="3"/>
  <c r="L266" i="3"/>
  <c r="N266" i="3" s="1"/>
  <c r="B266" i="3"/>
  <c r="T265" i="3"/>
  <c r="Z265" i="3" s="1"/>
  <c r="P265" i="3"/>
  <c r="X265" i="3" s="1"/>
  <c r="H265" i="3"/>
  <c r="D265" i="3"/>
  <c r="L265" i="3" s="1"/>
  <c r="N265" i="3" s="1"/>
  <c r="B265" i="3"/>
  <c r="X264" i="3"/>
  <c r="Z264" i="3" s="1"/>
  <c r="L264" i="3"/>
  <c r="N264" i="3" s="1"/>
  <c r="B264" i="3"/>
  <c r="Z263" i="3"/>
  <c r="X263" i="3"/>
  <c r="L263" i="3"/>
  <c r="N263" i="3" s="1"/>
  <c r="B263" i="3"/>
  <c r="T262" i="3"/>
  <c r="P262" i="3"/>
  <c r="X262" i="3" s="1"/>
  <c r="H262" i="3"/>
  <c r="D262" i="3"/>
  <c r="B262" i="3"/>
  <c r="X261" i="3"/>
  <c r="Z261" i="3" s="1"/>
  <c r="N261" i="3"/>
  <c r="L261" i="3"/>
  <c r="B261" i="3"/>
  <c r="X260" i="3"/>
  <c r="Z260" i="3" s="1"/>
  <c r="L260" i="3"/>
  <c r="N260" i="3" s="1"/>
  <c r="B260" i="3"/>
  <c r="X259" i="3"/>
  <c r="Z259" i="3" s="1"/>
  <c r="N259" i="3"/>
  <c r="L259" i="3"/>
  <c r="B259" i="3"/>
  <c r="X258" i="3"/>
  <c r="Z258" i="3" s="1"/>
  <c r="N258" i="3"/>
  <c r="L258" i="3"/>
  <c r="B258" i="3"/>
  <c r="X257" i="3"/>
  <c r="Z257" i="3" s="1"/>
  <c r="N257" i="3"/>
  <c r="L257" i="3"/>
  <c r="B257" i="3"/>
  <c r="T256" i="3"/>
  <c r="Z256" i="3" s="1"/>
  <c r="P256" i="3"/>
  <c r="X256" i="3" s="1"/>
  <c r="H256" i="3"/>
  <c r="D256" i="3"/>
  <c r="L256" i="3" s="1"/>
  <c r="B256" i="3"/>
  <c r="Z255" i="3"/>
  <c r="X255" i="3"/>
  <c r="N255" i="3"/>
  <c r="L255" i="3"/>
  <c r="B255" i="3"/>
  <c r="Z254" i="3"/>
  <c r="X254" i="3"/>
  <c r="L254" i="3"/>
  <c r="N254" i="3" s="1"/>
  <c r="B254" i="3"/>
  <c r="Z253" i="3"/>
  <c r="X253" i="3"/>
  <c r="R253" i="3"/>
  <c r="N253" i="3"/>
  <c r="L253" i="3"/>
  <c r="B253" i="3"/>
  <c r="X252" i="3"/>
  <c r="T252" i="3"/>
  <c r="Z252" i="3" s="1"/>
  <c r="P252" i="3"/>
  <c r="N252" i="3"/>
  <c r="L252" i="3"/>
  <c r="H252" i="3"/>
  <c r="D252" i="3"/>
  <c r="B252" i="3"/>
  <c r="Z251" i="3"/>
  <c r="X251" i="3"/>
  <c r="L251" i="3"/>
  <c r="N251" i="3" s="1"/>
  <c r="B251" i="3"/>
  <c r="X250" i="3"/>
  <c r="Z250" i="3" s="1"/>
  <c r="R250" i="3"/>
  <c r="L250" i="3"/>
  <c r="N250" i="3" s="1"/>
  <c r="B250" i="3"/>
  <c r="Z249" i="3"/>
  <c r="X249" i="3"/>
  <c r="N249" i="3"/>
  <c r="L249" i="3"/>
  <c r="B249" i="3"/>
  <c r="X248" i="3"/>
  <c r="Z248" i="3" s="1"/>
  <c r="L248" i="3"/>
  <c r="N248" i="3" s="1"/>
  <c r="B248" i="3"/>
  <c r="T247" i="3"/>
  <c r="P247" i="3"/>
  <c r="X247" i="3" s="1"/>
  <c r="Z247" i="3" s="1"/>
  <c r="H247" i="3"/>
  <c r="D247" i="3"/>
  <c r="L247" i="3" s="1"/>
  <c r="N247" i="3" s="1"/>
  <c r="B247" i="3"/>
  <c r="X246" i="3"/>
  <c r="Z246" i="3" s="1"/>
  <c r="N246" i="3"/>
  <c r="L246" i="3"/>
  <c r="B246" i="3"/>
  <c r="X245" i="3"/>
  <c r="Z245" i="3" s="1"/>
  <c r="T245" i="3"/>
  <c r="P245" i="3"/>
  <c r="L245" i="3"/>
  <c r="N245" i="3" s="1"/>
  <c r="H245" i="3"/>
  <c r="D245" i="3"/>
  <c r="B245" i="3"/>
  <c r="X244" i="3"/>
  <c r="Z244" i="3" s="1"/>
  <c r="L244" i="3"/>
  <c r="N244" i="3" s="1"/>
  <c r="B244" i="3"/>
  <c r="T243" i="3"/>
  <c r="R243" i="3"/>
  <c r="P243" i="3"/>
  <c r="X243" i="3" s="1"/>
  <c r="Z243" i="3" s="1"/>
  <c r="H243" i="3"/>
  <c r="D243" i="3"/>
  <c r="L243" i="3" s="1"/>
  <c r="B243" i="3"/>
  <c r="X242" i="3"/>
  <c r="Z242" i="3" s="1"/>
  <c r="R242" i="3"/>
  <c r="N242" i="3"/>
  <c r="L242" i="3"/>
  <c r="B242" i="3"/>
  <c r="T241" i="3"/>
  <c r="P241" i="3"/>
  <c r="X241" i="3" s="1"/>
  <c r="Z241" i="3" s="1"/>
  <c r="N241" i="3"/>
  <c r="H241" i="3"/>
  <c r="D241" i="3"/>
  <c r="L241" i="3" s="1"/>
  <c r="B241" i="3"/>
  <c r="X240" i="3"/>
  <c r="Z240" i="3" s="1"/>
  <c r="L240" i="3"/>
  <c r="N240" i="3" s="1"/>
  <c r="B240" i="3"/>
  <c r="X239" i="3"/>
  <c r="Z239" i="3" s="1"/>
  <c r="T239" i="3"/>
  <c r="P239" i="3"/>
  <c r="L239" i="3"/>
  <c r="N239" i="3" s="1"/>
  <c r="H239" i="3"/>
  <c r="D239" i="3"/>
  <c r="B239" i="3"/>
  <c r="Z238" i="3"/>
  <c r="X238" i="3"/>
  <c r="L238" i="3"/>
  <c r="N238" i="3" s="1"/>
  <c r="B238" i="3"/>
  <c r="T237" i="3"/>
  <c r="P237" i="3"/>
  <c r="X237" i="3" s="1"/>
  <c r="H237" i="3"/>
  <c r="D237" i="3"/>
  <c r="L237" i="3" s="1"/>
  <c r="N237" i="3" s="1"/>
  <c r="B237" i="3"/>
  <c r="X236" i="3"/>
  <c r="Z236" i="3" s="1"/>
  <c r="L236" i="3"/>
  <c r="N236" i="3" s="1"/>
  <c r="B236" i="3"/>
  <c r="T235" i="3"/>
  <c r="P235" i="3"/>
  <c r="X235" i="3" s="1"/>
  <c r="Z235" i="3" s="1"/>
  <c r="H235" i="3"/>
  <c r="D235" i="3"/>
  <c r="L235" i="3" s="1"/>
  <c r="N235" i="3" s="1"/>
  <c r="B235" i="3"/>
  <c r="X234" i="3"/>
  <c r="Z234" i="3" s="1"/>
  <c r="N234" i="3"/>
  <c r="L234" i="3"/>
  <c r="B234" i="3"/>
  <c r="X233" i="3"/>
  <c r="Z233" i="3" s="1"/>
  <c r="N233" i="3"/>
  <c r="L233" i="3"/>
  <c r="B233" i="3"/>
  <c r="T232" i="3"/>
  <c r="Z232" i="3" s="1"/>
  <c r="P232" i="3"/>
  <c r="X232" i="3" s="1"/>
  <c r="H232" i="3"/>
  <c r="N232" i="3" s="1"/>
  <c r="D232" i="3"/>
  <c r="L232" i="3" s="1"/>
  <c r="B232" i="3"/>
  <c r="Z231" i="3"/>
  <c r="X231" i="3"/>
  <c r="N231" i="3"/>
  <c r="L231" i="3"/>
  <c r="B231" i="3"/>
  <c r="Z230" i="3"/>
  <c r="X230" i="3"/>
  <c r="L230" i="3"/>
  <c r="N230" i="3" s="1"/>
  <c r="B230" i="3"/>
  <c r="T229" i="3"/>
  <c r="P229" i="3"/>
  <c r="X229" i="3" s="1"/>
  <c r="H229" i="3"/>
  <c r="D229" i="3"/>
  <c r="L229" i="3" s="1"/>
  <c r="N229" i="3" s="1"/>
  <c r="B229" i="3"/>
  <c r="X228" i="3"/>
  <c r="Z228" i="3" s="1"/>
  <c r="L228" i="3"/>
  <c r="N228" i="3" s="1"/>
  <c r="B228" i="3"/>
  <c r="T227" i="3"/>
  <c r="P227" i="3"/>
  <c r="X227" i="3" s="1"/>
  <c r="Z227" i="3" s="1"/>
  <c r="H227" i="3"/>
  <c r="D227" i="3"/>
  <c r="L227" i="3" s="1"/>
  <c r="N227" i="3" s="1"/>
  <c r="B227" i="3"/>
  <c r="X226" i="3"/>
  <c r="Z226" i="3" s="1"/>
  <c r="N226" i="3"/>
  <c r="L226" i="3"/>
  <c r="B226" i="3"/>
  <c r="X225" i="3"/>
  <c r="T225" i="3"/>
  <c r="Z225" i="3" s="1"/>
  <c r="P225" i="3"/>
  <c r="L225" i="3"/>
  <c r="N225" i="3" s="1"/>
  <c r="H225" i="3"/>
  <c r="D225" i="3"/>
  <c r="B225" i="3"/>
  <c r="X224" i="3"/>
  <c r="Z224" i="3" s="1"/>
  <c r="L224" i="3"/>
  <c r="N224" i="3" s="1"/>
  <c r="B224" i="3"/>
  <c r="T223" i="3"/>
  <c r="R223" i="3"/>
  <c r="P223" i="3"/>
  <c r="X223" i="3" s="1"/>
  <c r="Z223" i="3" s="1"/>
  <c r="H223" i="3"/>
  <c r="D223" i="3"/>
  <c r="L223" i="3" s="1"/>
  <c r="B223" i="3"/>
  <c r="X222" i="3"/>
  <c r="Z222" i="3" s="1"/>
  <c r="R222" i="3"/>
  <c r="L222" i="3"/>
  <c r="N222" i="3" s="1"/>
  <c r="B222" i="3"/>
  <c r="Z221" i="3"/>
  <c r="X221" i="3"/>
  <c r="L221" i="3"/>
  <c r="N221" i="3" s="1"/>
  <c r="B221" i="3"/>
  <c r="T220" i="3"/>
  <c r="P220" i="3"/>
  <c r="X220" i="3" s="1"/>
  <c r="H220" i="3"/>
  <c r="N220" i="3" s="1"/>
  <c r="D220" i="3"/>
  <c r="L220" i="3" s="1"/>
  <c r="B220" i="3"/>
  <c r="X219" i="3"/>
  <c r="Z219" i="3" s="1"/>
  <c r="N219" i="3"/>
  <c r="L219" i="3"/>
  <c r="B219" i="3"/>
  <c r="X218" i="3"/>
  <c r="Z218" i="3" s="1"/>
  <c r="N218" i="3"/>
  <c r="L218" i="3"/>
  <c r="B218" i="3"/>
  <c r="X217" i="3"/>
  <c r="Z217" i="3" s="1"/>
  <c r="N217" i="3"/>
  <c r="L217" i="3"/>
  <c r="B217" i="3"/>
  <c r="T216" i="3"/>
  <c r="Z216" i="3" s="1"/>
  <c r="P216" i="3"/>
  <c r="X216" i="3" s="1"/>
  <c r="H216" i="3"/>
  <c r="N216" i="3" s="1"/>
  <c r="D216" i="3"/>
  <c r="L216" i="3" s="1"/>
  <c r="B216" i="3"/>
  <c r="Z215" i="3"/>
  <c r="X215" i="3"/>
  <c r="N215" i="3"/>
  <c r="L215" i="3"/>
  <c r="B215" i="3"/>
  <c r="Z214" i="3"/>
  <c r="X214" i="3"/>
  <c r="T214" i="3"/>
  <c r="P214" i="3"/>
  <c r="L214" i="3"/>
  <c r="H214" i="3"/>
  <c r="N214" i="3" s="1"/>
  <c r="D214" i="3"/>
  <c r="B214" i="3"/>
  <c r="Z213" i="3"/>
  <c r="X213" i="3"/>
  <c r="L213" i="3"/>
  <c r="N213" i="3" s="1"/>
  <c r="B213" i="3"/>
  <c r="T212" i="3"/>
  <c r="Z212" i="3" s="1"/>
  <c r="P212" i="3"/>
  <c r="X212" i="3" s="1"/>
  <c r="H212" i="3"/>
  <c r="D212" i="3"/>
  <c r="L212" i="3" s="1"/>
  <c r="B212" i="3"/>
  <c r="X211" i="3"/>
  <c r="Z211" i="3" s="1"/>
  <c r="N211" i="3"/>
  <c r="L211" i="3"/>
  <c r="B211" i="3"/>
  <c r="T210" i="3"/>
  <c r="Z210" i="3" s="1"/>
  <c r="R210" i="3"/>
  <c r="P210" i="3"/>
  <c r="X210" i="3" s="1"/>
  <c r="H210" i="3"/>
  <c r="N210" i="3" s="1"/>
  <c r="D210" i="3"/>
  <c r="L210" i="3" s="1"/>
  <c r="B210" i="3"/>
  <c r="Z209" i="3"/>
  <c r="X209" i="3"/>
  <c r="R209" i="3"/>
  <c r="N209" i="3"/>
  <c r="L209" i="3"/>
  <c r="B209" i="3"/>
  <c r="X208" i="3"/>
  <c r="Z208" i="3" s="1"/>
  <c r="L208" i="3"/>
  <c r="N208" i="3" s="1"/>
  <c r="B208" i="3"/>
  <c r="Z207" i="3"/>
  <c r="X207" i="3"/>
  <c r="N207" i="3"/>
  <c r="L207" i="3"/>
  <c r="B207" i="3"/>
  <c r="Z206" i="3"/>
  <c r="X206" i="3"/>
  <c r="L206" i="3"/>
  <c r="N206" i="3" s="1"/>
  <c r="B206" i="3"/>
  <c r="Z205" i="3"/>
  <c r="X205" i="3"/>
  <c r="R205" i="3"/>
  <c r="N205" i="3"/>
  <c r="L205" i="3"/>
  <c r="B205" i="3"/>
  <c r="X204" i="3"/>
  <c r="Z204" i="3" s="1"/>
  <c r="L204" i="3"/>
  <c r="N204" i="3" s="1"/>
  <c r="J204" i="3"/>
  <c r="B204" i="3"/>
  <c r="Z203" i="3"/>
  <c r="X203" i="3"/>
  <c r="N203" i="3"/>
  <c r="L203" i="3"/>
  <c r="B203" i="3"/>
  <c r="Z202" i="3"/>
  <c r="X202" i="3"/>
  <c r="T202" i="3"/>
  <c r="P202" i="3"/>
  <c r="L202" i="3"/>
  <c r="H202" i="3"/>
  <c r="N202" i="3" s="1"/>
  <c r="D202" i="3"/>
  <c r="B202" i="3"/>
  <c r="Z201" i="3"/>
  <c r="X201" i="3"/>
  <c r="L201" i="3"/>
  <c r="N201" i="3" s="1"/>
  <c r="B201" i="3"/>
  <c r="X200" i="3"/>
  <c r="Z200" i="3" s="1"/>
  <c r="L200" i="3"/>
  <c r="N200" i="3" s="1"/>
  <c r="B200" i="3"/>
  <c r="Z199" i="3"/>
  <c r="X199" i="3"/>
  <c r="L199" i="3"/>
  <c r="N199" i="3" s="1"/>
  <c r="B199" i="3"/>
  <c r="X198" i="3"/>
  <c r="Z198" i="3" s="1"/>
  <c r="R198" i="3"/>
  <c r="L198" i="3"/>
  <c r="N198" i="3" s="1"/>
  <c r="B198" i="3"/>
  <c r="Z197" i="3"/>
  <c r="X197" i="3"/>
  <c r="N197" i="3"/>
  <c r="L197" i="3"/>
  <c r="B197" i="3"/>
  <c r="X196" i="3"/>
  <c r="Z196" i="3" s="1"/>
  <c r="L196" i="3"/>
  <c r="N196" i="3" s="1"/>
  <c r="B196" i="3"/>
  <c r="Z195" i="3"/>
  <c r="X195" i="3"/>
  <c r="L195" i="3"/>
  <c r="N195" i="3" s="1"/>
  <c r="B195" i="3"/>
  <c r="X194" i="3"/>
  <c r="Z194" i="3" s="1"/>
  <c r="R194" i="3"/>
  <c r="L194" i="3"/>
  <c r="N194" i="3" s="1"/>
  <c r="B194" i="3"/>
  <c r="Z193" i="3"/>
  <c r="X193" i="3"/>
  <c r="L193" i="3"/>
  <c r="N193" i="3" s="1"/>
  <c r="B193" i="3"/>
  <c r="X192" i="3"/>
  <c r="Z192" i="3" s="1"/>
  <c r="L192" i="3"/>
  <c r="N192" i="3" s="1"/>
  <c r="B192" i="3"/>
  <c r="T191" i="3"/>
  <c r="P191" i="3"/>
  <c r="X191" i="3" s="1"/>
  <c r="Z191" i="3" s="1"/>
  <c r="H191" i="3"/>
  <c r="D191" i="3"/>
  <c r="L191" i="3" s="1"/>
  <c r="N191" i="3" s="1"/>
  <c r="B191" i="3"/>
  <c r="T190" i="3"/>
  <c r="Z190" i="3" s="1"/>
  <c r="R190" i="3"/>
  <c r="P190" i="3"/>
  <c r="X190" i="3" s="1"/>
  <c r="H190" i="3"/>
  <c r="D190" i="3"/>
  <c r="L190" i="3" s="1"/>
  <c r="X186" i="3"/>
  <c r="Z186" i="3" s="1"/>
  <c r="N186" i="3"/>
  <c r="L186" i="3"/>
  <c r="B186" i="3"/>
  <c r="Z185" i="3"/>
  <c r="X185" i="3"/>
  <c r="N185" i="3"/>
  <c r="L185" i="3"/>
  <c r="B185" i="3"/>
  <c r="X184" i="3"/>
  <c r="Z184" i="3" s="1"/>
  <c r="L184" i="3"/>
  <c r="N184" i="3" s="1"/>
  <c r="B184" i="3"/>
  <c r="X183" i="3"/>
  <c r="Z183" i="3" s="1"/>
  <c r="N183" i="3"/>
  <c r="L183" i="3"/>
  <c r="B183" i="3"/>
  <c r="X182" i="3"/>
  <c r="Z182" i="3" s="1"/>
  <c r="N182" i="3"/>
  <c r="L182" i="3"/>
  <c r="B182" i="3"/>
  <c r="Z181" i="3"/>
  <c r="X181" i="3"/>
  <c r="N181" i="3"/>
  <c r="L181" i="3"/>
  <c r="B181" i="3"/>
  <c r="X180" i="3"/>
  <c r="Z180" i="3" s="1"/>
  <c r="L180" i="3"/>
  <c r="N180" i="3" s="1"/>
  <c r="B180" i="3"/>
  <c r="X179" i="3"/>
  <c r="Z179" i="3" s="1"/>
  <c r="N179" i="3"/>
  <c r="L179" i="3"/>
  <c r="B179" i="3"/>
  <c r="X178" i="3"/>
  <c r="Z178" i="3" s="1"/>
  <c r="N178" i="3"/>
  <c r="L178" i="3"/>
  <c r="B178" i="3"/>
  <c r="Z177" i="3"/>
  <c r="X177" i="3"/>
  <c r="N177" i="3"/>
  <c r="L177" i="3"/>
  <c r="B177" i="3"/>
  <c r="X176" i="3"/>
  <c r="Z176" i="3" s="1"/>
  <c r="L176" i="3"/>
  <c r="N176" i="3" s="1"/>
  <c r="B176" i="3"/>
  <c r="X175" i="3"/>
  <c r="Z175" i="3" s="1"/>
  <c r="N175" i="3"/>
  <c r="L175" i="3"/>
  <c r="B175" i="3"/>
  <c r="X174" i="3"/>
  <c r="Z174" i="3" s="1"/>
  <c r="N174" i="3"/>
  <c r="L174" i="3"/>
  <c r="B174" i="3"/>
  <c r="Z173" i="3"/>
  <c r="X173" i="3"/>
  <c r="N173" i="3"/>
  <c r="L173" i="3"/>
  <c r="B173" i="3"/>
  <c r="X172" i="3"/>
  <c r="Z172" i="3" s="1"/>
  <c r="N172" i="3"/>
  <c r="L172" i="3"/>
  <c r="B172" i="3"/>
  <c r="X171" i="3"/>
  <c r="Z171" i="3" s="1"/>
  <c r="N171" i="3"/>
  <c r="L171" i="3"/>
  <c r="B171" i="3"/>
  <c r="X170" i="3"/>
  <c r="Z170" i="3" s="1"/>
  <c r="N170" i="3"/>
  <c r="L170" i="3"/>
  <c r="B170" i="3"/>
  <c r="Z169" i="3"/>
  <c r="X169" i="3"/>
  <c r="N169" i="3"/>
  <c r="L169" i="3"/>
  <c r="B169" i="3"/>
  <c r="X168" i="3"/>
  <c r="Z168" i="3" s="1"/>
  <c r="L168" i="3"/>
  <c r="N168" i="3" s="1"/>
  <c r="B168" i="3"/>
  <c r="X167" i="3"/>
  <c r="Z167" i="3" s="1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X164" i="3"/>
  <c r="Z164" i="3" s="1"/>
  <c r="L164" i="3"/>
  <c r="N164" i="3" s="1"/>
  <c r="B164" i="3"/>
  <c r="X163" i="3"/>
  <c r="Z163" i="3" s="1"/>
  <c r="N163" i="3"/>
  <c r="L163" i="3"/>
  <c r="B163" i="3"/>
  <c r="X162" i="3"/>
  <c r="Z162" i="3" s="1"/>
  <c r="N162" i="3"/>
  <c r="L162" i="3"/>
  <c r="B162" i="3"/>
  <c r="Z161" i="3"/>
  <c r="X161" i="3"/>
  <c r="N161" i="3"/>
  <c r="L161" i="3"/>
  <c r="B161" i="3"/>
  <c r="X160" i="3"/>
  <c r="Z160" i="3" s="1"/>
  <c r="L160" i="3"/>
  <c r="N160" i="3" s="1"/>
  <c r="B160" i="3"/>
  <c r="X159" i="3"/>
  <c r="Z159" i="3" s="1"/>
  <c r="N159" i="3"/>
  <c r="L159" i="3"/>
  <c r="B159" i="3"/>
  <c r="X158" i="3"/>
  <c r="Z158" i="3" s="1"/>
  <c r="N158" i="3"/>
  <c r="L158" i="3"/>
  <c r="B158" i="3"/>
  <c r="Z157" i="3"/>
  <c r="X157" i="3"/>
  <c r="N157" i="3"/>
  <c r="L157" i="3"/>
  <c r="B157" i="3"/>
  <c r="X156" i="3"/>
  <c r="Z156" i="3" s="1"/>
  <c r="L156" i="3"/>
  <c r="N156" i="3" s="1"/>
  <c r="B156" i="3"/>
  <c r="X155" i="3"/>
  <c r="Z155" i="3" s="1"/>
  <c r="N155" i="3"/>
  <c r="L155" i="3"/>
  <c r="B155" i="3"/>
  <c r="X154" i="3"/>
  <c r="Z154" i="3" s="1"/>
  <c r="N154" i="3"/>
  <c r="L154" i="3"/>
  <c r="B154" i="3"/>
  <c r="Z153" i="3"/>
  <c r="X153" i="3"/>
  <c r="N153" i="3"/>
  <c r="L153" i="3"/>
  <c r="B153" i="3"/>
  <c r="X152" i="3"/>
  <c r="Z152" i="3" s="1"/>
  <c r="L152" i="3"/>
  <c r="N152" i="3" s="1"/>
  <c r="B152" i="3"/>
  <c r="X151" i="3"/>
  <c r="Z151" i="3" s="1"/>
  <c r="N151" i="3"/>
  <c r="L151" i="3"/>
  <c r="B151" i="3"/>
  <c r="X150" i="3"/>
  <c r="Z150" i="3" s="1"/>
  <c r="N150" i="3"/>
  <c r="L150" i="3"/>
  <c r="B150" i="3"/>
  <c r="Z149" i="3"/>
  <c r="X149" i="3"/>
  <c r="N149" i="3"/>
  <c r="L149" i="3"/>
  <c r="B149" i="3"/>
  <c r="X148" i="3"/>
  <c r="Z148" i="3" s="1"/>
  <c r="L148" i="3"/>
  <c r="N148" i="3" s="1"/>
  <c r="B148" i="3"/>
  <c r="X147" i="3"/>
  <c r="Z147" i="3" s="1"/>
  <c r="N147" i="3"/>
  <c r="L147" i="3"/>
  <c r="B147" i="3"/>
  <c r="X146" i="3"/>
  <c r="Z146" i="3" s="1"/>
  <c r="N146" i="3"/>
  <c r="L146" i="3"/>
  <c r="B146" i="3"/>
  <c r="Z145" i="3"/>
  <c r="X145" i="3"/>
  <c r="N145" i="3"/>
  <c r="L145" i="3"/>
  <c r="B145" i="3"/>
  <c r="X144" i="3"/>
  <c r="Z144" i="3" s="1"/>
  <c r="L144" i="3"/>
  <c r="N144" i="3" s="1"/>
  <c r="B144" i="3"/>
  <c r="X143" i="3"/>
  <c r="Z143" i="3" s="1"/>
  <c r="N143" i="3"/>
  <c r="L143" i="3"/>
  <c r="B143" i="3"/>
  <c r="X142" i="3"/>
  <c r="Z142" i="3" s="1"/>
  <c r="N142" i="3"/>
  <c r="L142" i="3"/>
  <c r="B142" i="3"/>
  <c r="Z141" i="3"/>
  <c r="X141" i="3"/>
  <c r="N141" i="3"/>
  <c r="L141" i="3"/>
  <c r="B141" i="3"/>
  <c r="X140" i="3"/>
  <c r="Z140" i="3" s="1"/>
  <c r="L140" i="3"/>
  <c r="N140" i="3" s="1"/>
  <c r="B140" i="3"/>
  <c r="X139" i="3"/>
  <c r="Z139" i="3" s="1"/>
  <c r="N139" i="3"/>
  <c r="L139" i="3"/>
  <c r="B139" i="3"/>
  <c r="Z138" i="3"/>
  <c r="X138" i="3"/>
  <c r="N138" i="3"/>
  <c r="L138" i="3"/>
  <c r="B138" i="3"/>
  <c r="Z137" i="3"/>
  <c r="X137" i="3"/>
  <c r="N137" i="3"/>
  <c r="L137" i="3"/>
  <c r="B137" i="3"/>
  <c r="X136" i="3"/>
  <c r="Z136" i="3" s="1"/>
  <c r="L136" i="3"/>
  <c r="N136" i="3" s="1"/>
  <c r="B136" i="3"/>
  <c r="X135" i="3"/>
  <c r="Z135" i="3" s="1"/>
  <c r="N135" i="3"/>
  <c r="L135" i="3"/>
  <c r="B135" i="3"/>
  <c r="X134" i="3"/>
  <c r="Z134" i="3" s="1"/>
  <c r="N134" i="3"/>
  <c r="L134" i="3"/>
  <c r="B134" i="3"/>
  <c r="Z133" i="3"/>
  <c r="X133" i="3"/>
  <c r="N133" i="3"/>
  <c r="L133" i="3"/>
  <c r="B133" i="3"/>
  <c r="X132" i="3"/>
  <c r="Z132" i="3" s="1"/>
  <c r="L132" i="3"/>
  <c r="N132" i="3" s="1"/>
  <c r="B132" i="3"/>
  <c r="X131" i="3"/>
  <c r="Z131" i="3" s="1"/>
  <c r="N131" i="3"/>
  <c r="L131" i="3"/>
  <c r="B131" i="3"/>
  <c r="T130" i="3"/>
  <c r="Z130" i="3" s="1"/>
  <c r="R130" i="3"/>
  <c r="P130" i="3"/>
  <c r="X130" i="3" s="1"/>
  <c r="H130" i="3"/>
  <c r="D130" i="3"/>
  <c r="L130" i="3" s="1"/>
  <c r="T128" i="3"/>
  <c r="Z128" i="3" s="1"/>
  <c r="P128" i="3"/>
  <c r="X128" i="3" s="1"/>
  <c r="N128" i="3"/>
  <c r="L128" i="3"/>
  <c r="H128" i="3"/>
  <c r="D128" i="3"/>
  <c r="B128" i="3"/>
  <c r="T127" i="3"/>
  <c r="P127" i="3"/>
  <c r="H127" i="3"/>
  <c r="N127" i="3" s="1"/>
  <c r="D127" i="3"/>
  <c r="L127" i="3" s="1"/>
  <c r="B127" i="3"/>
  <c r="X126" i="3"/>
  <c r="T126" i="3"/>
  <c r="Z126" i="3" s="1"/>
  <c r="P126" i="3"/>
  <c r="L126" i="3"/>
  <c r="N126" i="3" s="1"/>
  <c r="H126" i="3"/>
  <c r="D126" i="3"/>
  <c r="B126" i="3"/>
  <c r="X125" i="3"/>
  <c r="T125" i="3"/>
  <c r="Z125" i="3" s="1"/>
  <c r="P125" i="3"/>
  <c r="N125" i="3"/>
  <c r="H125" i="3"/>
  <c r="D125" i="3"/>
  <c r="L125" i="3" s="1"/>
  <c r="B125" i="3"/>
  <c r="T124" i="3"/>
  <c r="Z124" i="3" s="1"/>
  <c r="P124" i="3"/>
  <c r="X124" i="3" s="1"/>
  <c r="N124" i="3"/>
  <c r="L124" i="3"/>
  <c r="H124" i="3"/>
  <c r="D124" i="3"/>
  <c r="B124" i="3"/>
  <c r="T123" i="3"/>
  <c r="P123" i="3"/>
  <c r="H123" i="3"/>
  <c r="N123" i="3" s="1"/>
  <c r="D123" i="3"/>
  <c r="L123" i="3" s="1"/>
  <c r="B123" i="3"/>
  <c r="X122" i="3"/>
  <c r="T122" i="3"/>
  <c r="Z122" i="3" s="1"/>
  <c r="P122" i="3"/>
  <c r="L122" i="3"/>
  <c r="N122" i="3" s="1"/>
  <c r="H122" i="3"/>
  <c r="D122" i="3"/>
  <c r="B122" i="3"/>
  <c r="X121" i="3"/>
  <c r="T121" i="3"/>
  <c r="Z121" i="3" s="1"/>
  <c r="P121" i="3"/>
  <c r="H121" i="3"/>
  <c r="D121" i="3"/>
  <c r="L121" i="3" s="1"/>
  <c r="N121" i="3" s="1"/>
  <c r="B121" i="3"/>
  <c r="T120" i="3"/>
  <c r="P120" i="3"/>
  <c r="X120" i="3" s="1"/>
  <c r="N120" i="3"/>
  <c r="L120" i="3"/>
  <c r="H120" i="3"/>
  <c r="D120" i="3"/>
  <c r="B120" i="3"/>
  <c r="T119" i="3"/>
  <c r="P119" i="3"/>
  <c r="H119" i="3"/>
  <c r="N119" i="3" s="1"/>
  <c r="D119" i="3"/>
  <c r="L119" i="3" s="1"/>
  <c r="B119" i="3"/>
  <c r="X118" i="3"/>
  <c r="T118" i="3"/>
  <c r="Z118" i="3" s="1"/>
  <c r="P118" i="3"/>
  <c r="L118" i="3"/>
  <c r="N118" i="3" s="1"/>
  <c r="H118" i="3"/>
  <c r="D118" i="3"/>
  <c r="B118" i="3"/>
  <c r="X117" i="3"/>
  <c r="T117" i="3"/>
  <c r="Z117" i="3" s="1"/>
  <c r="P117" i="3"/>
  <c r="H117" i="3"/>
  <c r="D117" i="3"/>
  <c r="L117" i="3" s="1"/>
  <c r="N117" i="3" s="1"/>
  <c r="B117" i="3"/>
  <c r="T116" i="3"/>
  <c r="P116" i="3"/>
  <c r="X116" i="3" s="1"/>
  <c r="N116" i="3"/>
  <c r="L116" i="3"/>
  <c r="H116" i="3"/>
  <c r="D116" i="3"/>
  <c r="B116" i="3"/>
  <c r="T115" i="3"/>
  <c r="P115" i="3"/>
  <c r="H115" i="3"/>
  <c r="N115" i="3" s="1"/>
  <c r="D115" i="3"/>
  <c r="L115" i="3" s="1"/>
  <c r="B115" i="3"/>
  <c r="X114" i="3"/>
  <c r="T114" i="3"/>
  <c r="Z114" i="3" s="1"/>
  <c r="P114" i="3"/>
  <c r="N114" i="3"/>
  <c r="L114" i="3"/>
  <c r="H114" i="3"/>
  <c r="D114" i="3"/>
  <c r="B114" i="3"/>
  <c r="X113" i="3"/>
  <c r="T113" i="3"/>
  <c r="P113" i="3"/>
  <c r="H113" i="3"/>
  <c r="D113" i="3"/>
  <c r="L113" i="3" s="1"/>
  <c r="N113" i="3" s="1"/>
  <c r="B113" i="3"/>
  <c r="T112" i="3"/>
  <c r="Z112" i="3" s="1"/>
  <c r="P112" i="3"/>
  <c r="X112" i="3" s="1"/>
  <c r="N112" i="3"/>
  <c r="L112" i="3"/>
  <c r="H112" i="3"/>
  <c r="D112" i="3"/>
  <c r="B112" i="3"/>
  <c r="T111" i="3"/>
  <c r="P111" i="3"/>
  <c r="H111" i="3"/>
  <c r="N111" i="3" s="1"/>
  <c r="D111" i="3"/>
  <c r="L111" i="3" s="1"/>
  <c r="B111" i="3"/>
  <c r="X110" i="3"/>
  <c r="T110" i="3"/>
  <c r="Z110" i="3" s="1"/>
  <c r="P110" i="3"/>
  <c r="L110" i="3"/>
  <c r="N110" i="3" s="1"/>
  <c r="H110" i="3"/>
  <c r="D110" i="3"/>
  <c r="B110" i="3"/>
  <c r="X109" i="3"/>
  <c r="T109" i="3"/>
  <c r="P109" i="3"/>
  <c r="H109" i="3"/>
  <c r="D109" i="3"/>
  <c r="L109" i="3" s="1"/>
  <c r="N109" i="3" s="1"/>
  <c r="B109" i="3"/>
  <c r="T108" i="3"/>
  <c r="P108" i="3"/>
  <c r="X108" i="3" s="1"/>
  <c r="N108" i="3"/>
  <c r="L108" i="3"/>
  <c r="H108" i="3"/>
  <c r="D108" i="3"/>
  <c r="B108" i="3"/>
  <c r="T107" i="3"/>
  <c r="P107" i="3"/>
  <c r="H107" i="3"/>
  <c r="D107" i="3"/>
  <c r="L107" i="3" s="1"/>
  <c r="B107" i="3"/>
  <c r="X106" i="3"/>
  <c r="T106" i="3"/>
  <c r="Z106" i="3" s="1"/>
  <c r="P106" i="3"/>
  <c r="L106" i="3"/>
  <c r="N106" i="3" s="1"/>
  <c r="H106" i="3"/>
  <c r="D106" i="3"/>
  <c r="B106" i="3"/>
  <c r="X105" i="3"/>
  <c r="T105" i="3"/>
  <c r="P105" i="3"/>
  <c r="H105" i="3"/>
  <c r="D105" i="3"/>
  <c r="L105" i="3" s="1"/>
  <c r="N105" i="3" s="1"/>
  <c r="B105" i="3"/>
  <c r="T104" i="3"/>
  <c r="Z104" i="3" s="1"/>
  <c r="P104" i="3"/>
  <c r="X104" i="3" s="1"/>
  <c r="N104" i="3"/>
  <c r="L104" i="3"/>
  <c r="H104" i="3"/>
  <c r="D104" i="3"/>
  <c r="B104" i="3"/>
  <c r="T103" i="3"/>
  <c r="P103" i="3"/>
  <c r="H103" i="3"/>
  <c r="N103" i="3" s="1"/>
  <c r="D103" i="3"/>
  <c r="L103" i="3" s="1"/>
  <c r="B103" i="3"/>
  <c r="X102" i="3"/>
  <c r="T102" i="3"/>
  <c r="Z102" i="3" s="1"/>
  <c r="P102" i="3"/>
  <c r="L102" i="3"/>
  <c r="N102" i="3" s="1"/>
  <c r="H102" i="3"/>
  <c r="D102" i="3"/>
  <c r="B102" i="3"/>
  <c r="X101" i="3"/>
  <c r="T101" i="3"/>
  <c r="Z101" i="3" s="1"/>
  <c r="P101" i="3"/>
  <c r="H101" i="3"/>
  <c r="D101" i="3"/>
  <c r="L101" i="3" s="1"/>
  <c r="N101" i="3" s="1"/>
  <c r="B101" i="3"/>
  <c r="T100" i="3"/>
  <c r="P100" i="3"/>
  <c r="X100" i="3" s="1"/>
  <c r="N100" i="3"/>
  <c r="L100" i="3"/>
  <c r="H100" i="3"/>
  <c r="D100" i="3"/>
  <c r="B100" i="3"/>
  <c r="T99" i="3"/>
  <c r="P99" i="3"/>
  <c r="H99" i="3"/>
  <c r="N99" i="3" s="1"/>
  <c r="D99" i="3"/>
  <c r="L99" i="3" s="1"/>
  <c r="B99" i="3"/>
  <c r="X98" i="3"/>
  <c r="T98" i="3"/>
  <c r="Z98" i="3" s="1"/>
  <c r="P98" i="3"/>
  <c r="L98" i="3"/>
  <c r="N98" i="3" s="1"/>
  <c r="H98" i="3"/>
  <c r="D98" i="3"/>
  <c r="B98" i="3"/>
  <c r="X97" i="3"/>
  <c r="T97" i="3"/>
  <c r="Z97" i="3" s="1"/>
  <c r="P97" i="3"/>
  <c r="H97" i="3"/>
  <c r="D97" i="3"/>
  <c r="L97" i="3" s="1"/>
  <c r="N97" i="3" s="1"/>
  <c r="B97" i="3"/>
  <c r="T96" i="3"/>
  <c r="P96" i="3"/>
  <c r="X96" i="3" s="1"/>
  <c r="N96" i="3"/>
  <c r="L96" i="3"/>
  <c r="H96" i="3"/>
  <c r="D96" i="3"/>
  <c r="B96" i="3"/>
  <c r="T95" i="3"/>
  <c r="P95" i="3"/>
  <c r="H95" i="3"/>
  <c r="D95" i="3"/>
  <c r="L95" i="3" s="1"/>
  <c r="B95" i="3"/>
  <c r="X94" i="3"/>
  <c r="T94" i="3"/>
  <c r="Z94" i="3" s="1"/>
  <c r="P94" i="3"/>
  <c r="L94" i="3"/>
  <c r="N94" i="3" s="1"/>
  <c r="H94" i="3"/>
  <c r="D94" i="3"/>
  <c r="B94" i="3"/>
  <c r="X93" i="3"/>
  <c r="T93" i="3"/>
  <c r="P93" i="3"/>
  <c r="H93" i="3"/>
  <c r="D93" i="3"/>
  <c r="L93" i="3" s="1"/>
  <c r="N93" i="3" s="1"/>
  <c r="B93" i="3"/>
  <c r="T92" i="3"/>
  <c r="P92" i="3"/>
  <c r="X92" i="3" s="1"/>
  <c r="N92" i="3"/>
  <c r="L92" i="3"/>
  <c r="H92" i="3"/>
  <c r="D92" i="3"/>
  <c r="B92" i="3"/>
  <c r="T91" i="3"/>
  <c r="P91" i="3"/>
  <c r="H91" i="3"/>
  <c r="N91" i="3" s="1"/>
  <c r="D91" i="3"/>
  <c r="L91" i="3" s="1"/>
  <c r="B91" i="3"/>
  <c r="X90" i="3"/>
  <c r="T90" i="3"/>
  <c r="Z90" i="3" s="1"/>
  <c r="P90" i="3"/>
  <c r="L90" i="3"/>
  <c r="N90" i="3" s="1"/>
  <c r="H90" i="3"/>
  <c r="D90" i="3"/>
  <c r="B90" i="3"/>
  <c r="X89" i="3"/>
  <c r="T89" i="3"/>
  <c r="P89" i="3"/>
  <c r="N89" i="3"/>
  <c r="H89" i="3"/>
  <c r="D89" i="3"/>
  <c r="L89" i="3" s="1"/>
  <c r="B89" i="3"/>
  <c r="T88" i="3"/>
  <c r="Z88" i="3" s="1"/>
  <c r="P88" i="3"/>
  <c r="X88" i="3" s="1"/>
  <c r="N88" i="3"/>
  <c r="L88" i="3"/>
  <c r="H88" i="3"/>
  <c r="D88" i="3"/>
  <c r="B88" i="3"/>
  <c r="T87" i="3"/>
  <c r="P87" i="3"/>
  <c r="H87" i="3"/>
  <c r="D87" i="3"/>
  <c r="L87" i="3" s="1"/>
  <c r="B87" i="3"/>
  <c r="X86" i="3"/>
  <c r="T86" i="3"/>
  <c r="Z86" i="3" s="1"/>
  <c r="P86" i="3"/>
  <c r="L86" i="3"/>
  <c r="N86" i="3" s="1"/>
  <c r="H86" i="3"/>
  <c r="D86" i="3"/>
  <c r="B86" i="3"/>
  <c r="X85" i="3"/>
  <c r="T85" i="3"/>
  <c r="P85" i="3"/>
  <c r="H85" i="3"/>
  <c r="D85" i="3"/>
  <c r="L85" i="3" s="1"/>
  <c r="N85" i="3" s="1"/>
  <c r="B85" i="3"/>
  <c r="T84" i="3"/>
  <c r="Z84" i="3" s="1"/>
  <c r="P84" i="3"/>
  <c r="X84" i="3" s="1"/>
  <c r="N84" i="3"/>
  <c r="L84" i="3"/>
  <c r="H84" i="3"/>
  <c r="D84" i="3"/>
  <c r="B84" i="3"/>
  <c r="T83" i="3"/>
  <c r="P83" i="3"/>
  <c r="H83" i="3"/>
  <c r="D83" i="3"/>
  <c r="L83" i="3" s="1"/>
  <c r="B83" i="3"/>
  <c r="X82" i="3"/>
  <c r="T82" i="3"/>
  <c r="Z82" i="3" s="1"/>
  <c r="P82" i="3"/>
  <c r="L82" i="3"/>
  <c r="N82" i="3" s="1"/>
  <c r="H82" i="3"/>
  <c r="D82" i="3"/>
  <c r="B82" i="3"/>
  <c r="X81" i="3"/>
  <c r="T81" i="3"/>
  <c r="Z81" i="3" s="1"/>
  <c r="P81" i="3"/>
  <c r="H81" i="3"/>
  <c r="D81" i="3"/>
  <c r="L81" i="3" s="1"/>
  <c r="N81" i="3" s="1"/>
  <c r="B81" i="3"/>
  <c r="T80" i="3"/>
  <c r="P80" i="3"/>
  <c r="X80" i="3" s="1"/>
  <c r="N80" i="3"/>
  <c r="L80" i="3"/>
  <c r="H80" i="3"/>
  <c r="D80" i="3"/>
  <c r="B80" i="3"/>
  <c r="T79" i="3"/>
  <c r="P79" i="3"/>
  <c r="H79" i="3"/>
  <c r="N79" i="3" s="1"/>
  <c r="D79" i="3"/>
  <c r="L79" i="3" s="1"/>
  <c r="B79" i="3"/>
  <c r="X78" i="3"/>
  <c r="T78" i="3"/>
  <c r="Z78" i="3" s="1"/>
  <c r="P78" i="3"/>
  <c r="N78" i="3"/>
  <c r="L78" i="3"/>
  <c r="H78" i="3"/>
  <c r="D78" i="3"/>
  <c r="B78" i="3"/>
  <c r="X77" i="3"/>
  <c r="T77" i="3"/>
  <c r="Z77" i="3" s="1"/>
  <c r="P77" i="3"/>
  <c r="N77" i="3"/>
  <c r="H77" i="3"/>
  <c r="D77" i="3"/>
  <c r="L77" i="3" s="1"/>
  <c r="B77" i="3"/>
  <c r="T76" i="3"/>
  <c r="Z76" i="3" s="1"/>
  <c r="P76" i="3"/>
  <c r="X76" i="3" s="1"/>
  <c r="N76" i="3"/>
  <c r="L76" i="3"/>
  <c r="H76" i="3"/>
  <c r="D76" i="3"/>
  <c r="B76" i="3"/>
  <c r="T75" i="3"/>
  <c r="P75" i="3"/>
  <c r="H75" i="3"/>
  <c r="D75" i="3"/>
  <c r="L75" i="3" s="1"/>
  <c r="B75" i="3"/>
  <c r="X74" i="3"/>
  <c r="T74" i="3"/>
  <c r="Z74" i="3" s="1"/>
  <c r="P74" i="3"/>
  <c r="L74" i="3"/>
  <c r="N74" i="3" s="1"/>
  <c r="H74" i="3"/>
  <c r="D74" i="3"/>
  <c r="B74" i="3"/>
  <c r="X73" i="3"/>
  <c r="T73" i="3"/>
  <c r="P73" i="3"/>
  <c r="H73" i="3"/>
  <c r="L73" i="3" s="1"/>
  <c r="N73" i="3" s="1"/>
  <c r="D73" i="3"/>
  <c r="B73" i="3"/>
  <c r="T72" i="3"/>
  <c r="P72" i="3"/>
  <c r="X72" i="3" s="1"/>
  <c r="N72" i="3"/>
  <c r="L72" i="3"/>
  <c r="H72" i="3"/>
  <c r="D72" i="3"/>
  <c r="B72" i="3"/>
  <c r="T71" i="3"/>
  <c r="P71" i="3"/>
  <c r="H71" i="3"/>
  <c r="D71" i="3"/>
  <c r="L71" i="3" s="1"/>
  <c r="B71" i="3"/>
  <c r="X70" i="3"/>
  <c r="T70" i="3"/>
  <c r="Z70" i="3" s="1"/>
  <c r="P70" i="3"/>
  <c r="L70" i="3"/>
  <c r="N70" i="3" s="1"/>
  <c r="H70" i="3"/>
  <c r="D70" i="3"/>
  <c r="B70" i="3"/>
  <c r="X69" i="3"/>
  <c r="T69" i="3"/>
  <c r="P69" i="3"/>
  <c r="H69" i="3"/>
  <c r="L69" i="3" s="1"/>
  <c r="N69" i="3" s="1"/>
  <c r="D69" i="3"/>
  <c r="B69" i="3"/>
  <c r="T68" i="3"/>
  <c r="Z68" i="3" s="1"/>
  <c r="P68" i="3"/>
  <c r="X68" i="3" s="1"/>
  <c r="N68" i="3"/>
  <c r="L68" i="3"/>
  <c r="H68" i="3"/>
  <c r="D68" i="3"/>
  <c r="B68" i="3"/>
  <c r="T67" i="3"/>
  <c r="P67" i="3"/>
  <c r="H67" i="3"/>
  <c r="D67" i="3"/>
  <c r="L67" i="3" s="1"/>
  <c r="B67" i="3"/>
  <c r="X66" i="3"/>
  <c r="T66" i="3"/>
  <c r="Z66" i="3" s="1"/>
  <c r="P66" i="3"/>
  <c r="L66" i="3"/>
  <c r="N66" i="3" s="1"/>
  <c r="H66" i="3"/>
  <c r="D66" i="3"/>
  <c r="B66" i="3"/>
  <c r="X65" i="3"/>
  <c r="T65" i="3"/>
  <c r="Z65" i="3" s="1"/>
  <c r="P65" i="3"/>
  <c r="N65" i="3"/>
  <c r="L65" i="3"/>
  <c r="H65" i="3"/>
  <c r="D65" i="3"/>
  <c r="B65" i="3"/>
  <c r="T64" i="3"/>
  <c r="P64" i="3"/>
  <c r="X64" i="3" s="1"/>
  <c r="N64" i="3"/>
  <c r="L64" i="3"/>
  <c r="H64" i="3"/>
  <c r="D64" i="3"/>
  <c r="B64" i="3"/>
  <c r="T63" i="3"/>
  <c r="P63" i="3"/>
  <c r="H63" i="3"/>
  <c r="N63" i="3" s="1"/>
  <c r="D63" i="3"/>
  <c r="L63" i="3" s="1"/>
  <c r="B63" i="3"/>
  <c r="X62" i="3"/>
  <c r="T62" i="3"/>
  <c r="Z62" i="3" s="1"/>
  <c r="P62" i="3"/>
  <c r="L62" i="3"/>
  <c r="N62" i="3" s="1"/>
  <c r="H62" i="3"/>
  <c r="D62" i="3"/>
  <c r="B62" i="3"/>
  <c r="X61" i="3"/>
  <c r="T61" i="3"/>
  <c r="P61" i="3"/>
  <c r="N61" i="3"/>
  <c r="L61" i="3"/>
  <c r="H61" i="3"/>
  <c r="D61" i="3"/>
  <c r="B61" i="3"/>
  <c r="T60" i="3"/>
  <c r="Z60" i="3" s="1"/>
  <c r="P60" i="3"/>
  <c r="X60" i="3" s="1"/>
  <c r="N60" i="3"/>
  <c r="L60" i="3"/>
  <c r="H60" i="3"/>
  <c r="D60" i="3"/>
  <c r="B60" i="3"/>
  <c r="T59" i="3"/>
  <c r="P59" i="3"/>
  <c r="H59" i="3"/>
  <c r="D59" i="3"/>
  <c r="L59" i="3" s="1"/>
  <c r="B59" i="3"/>
  <c r="X58" i="3"/>
  <c r="T58" i="3"/>
  <c r="Z58" i="3" s="1"/>
  <c r="P58" i="3"/>
  <c r="L58" i="3"/>
  <c r="N58" i="3" s="1"/>
  <c r="H58" i="3"/>
  <c r="D58" i="3"/>
  <c r="B58" i="3"/>
  <c r="X57" i="3"/>
  <c r="T57" i="3"/>
  <c r="Z57" i="3" s="1"/>
  <c r="P57" i="3"/>
  <c r="N57" i="3"/>
  <c r="L57" i="3"/>
  <c r="H57" i="3"/>
  <c r="D57" i="3"/>
  <c r="B57" i="3"/>
  <c r="T56" i="3"/>
  <c r="P56" i="3"/>
  <c r="X56" i="3" s="1"/>
  <c r="N56" i="3"/>
  <c r="L56" i="3"/>
  <c r="H56" i="3"/>
  <c r="D56" i="3"/>
  <c r="B56" i="3"/>
  <c r="T55" i="3"/>
  <c r="P55" i="3"/>
  <c r="H55" i="3"/>
  <c r="N55" i="3" s="1"/>
  <c r="D55" i="3"/>
  <c r="L55" i="3" s="1"/>
  <c r="B55" i="3"/>
  <c r="X54" i="3"/>
  <c r="T54" i="3"/>
  <c r="Z54" i="3" s="1"/>
  <c r="P54" i="3"/>
  <c r="L54" i="3"/>
  <c r="N54" i="3" s="1"/>
  <c r="H54" i="3"/>
  <c r="D54" i="3"/>
  <c r="B54" i="3"/>
  <c r="X53" i="3"/>
  <c r="T53" i="3"/>
  <c r="P53" i="3"/>
  <c r="N53" i="3"/>
  <c r="L53" i="3"/>
  <c r="H53" i="3"/>
  <c r="D53" i="3"/>
  <c r="B53" i="3"/>
  <c r="T52" i="3"/>
  <c r="Z52" i="3" s="1"/>
  <c r="P52" i="3"/>
  <c r="X52" i="3" s="1"/>
  <c r="N52" i="3"/>
  <c r="L52" i="3"/>
  <c r="H52" i="3"/>
  <c r="D52" i="3"/>
  <c r="B52" i="3"/>
  <c r="T51" i="3"/>
  <c r="P51" i="3"/>
  <c r="H51" i="3"/>
  <c r="D51" i="3"/>
  <c r="L51" i="3" s="1"/>
  <c r="B51" i="3"/>
  <c r="X50" i="3"/>
  <c r="T50" i="3"/>
  <c r="Z50" i="3" s="1"/>
  <c r="P50" i="3"/>
  <c r="N50" i="3"/>
  <c r="L50" i="3"/>
  <c r="H50" i="3"/>
  <c r="D50" i="3"/>
  <c r="B50" i="3"/>
  <c r="X49" i="3"/>
  <c r="T49" i="3"/>
  <c r="Z49" i="3" s="1"/>
  <c r="P49" i="3"/>
  <c r="N49" i="3"/>
  <c r="L49" i="3"/>
  <c r="H49" i="3"/>
  <c r="D49" i="3"/>
  <c r="B49" i="3"/>
  <c r="T48" i="3"/>
  <c r="Z48" i="3" s="1"/>
  <c r="P48" i="3"/>
  <c r="X48" i="3" s="1"/>
  <c r="N48" i="3"/>
  <c r="L48" i="3"/>
  <c r="H48" i="3"/>
  <c r="D48" i="3"/>
  <c r="B48" i="3"/>
  <c r="T47" i="3"/>
  <c r="P47" i="3"/>
  <c r="H47" i="3"/>
  <c r="D47" i="3"/>
  <c r="L47" i="3" s="1"/>
  <c r="B47" i="3"/>
  <c r="X46" i="3"/>
  <c r="T46" i="3"/>
  <c r="Z46" i="3" s="1"/>
  <c r="P46" i="3"/>
  <c r="L46" i="3"/>
  <c r="N46" i="3" s="1"/>
  <c r="H46" i="3"/>
  <c r="D46" i="3"/>
  <c r="B46" i="3"/>
  <c r="X45" i="3"/>
  <c r="T45" i="3"/>
  <c r="Z45" i="3" s="1"/>
  <c r="P45" i="3"/>
  <c r="N45" i="3"/>
  <c r="L45" i="3"/>
  <c r="H45" i="3"/>
  <c r="D45" i="3"/>
  <c r="B45" i="3"/>
  <c r="T44" i="3"/>
  <c r="P44" i="3"/>
  <c r="X44" i="3" s="1"/>
  <c r="N44" i="3"/>
  <c r="L44" i="3"/>
  <c r="H44" i="3"/>
  <c r="D44" i="3"/>
  <c r="B44" i="3"/>
  <c r="T43" i="3"/>
  <c r="P43" i="3"/>
  <c r="H43" i="3"/>
  <c r="N43" i="3" s="1"/>
  <c r="D43" i="3"/>
  <c r="L43" i="3" s="1"/>
  <c r="B43" i="3"/>
  <c r="X42" i="3"/>
  <c r="T42" i="3"/>
  <c r="Z42" i="3" s="1"/>
  <c r="P42" i="3"/>
  <c r="L42" i="3"/>
  <c r="N42" i="3" s="1"/>
  <c r="H42" i="3"/>
  <c r="D42" i="3"/>
  <c r="B42" i="3"/>
  <c r="X41" i="3"/>
  <c r="T41" i="3"/>
  <c r="Z41" i="3" s="1"/>
  <c r="P41" i="3"/>
  <c r="N41" i="3"/>
  <c r="L41" i="3"/>
  <c r="H41" i="3"/>
  <c r="D41" i="3"/>
  <c r="B41" i="3"/>
  <c r="T40" i="3"/>
  <c r="Z40" i="3" s="1"/>
  <c r="P40" i="3"/>
  <c r="X40" i="3" s="1"/>
  <c r="N40" i="3"/>
  <c r="L40" i="3"/>
  <c r="H40" i="3"/>
  <c r="D40" i="3"/>
  <c r="B40" i="3"/>
  <c r="T39" i="3"/>
  <c r="P39" i="3"/>
  <c r="H39" i="3"/>
  <c r="D39" i="3"/>
  <c r="L39" i="3" s="1"/>
  <c r="B39" i="3"/>
  <c r="X38" i="3"/>
  <c r="T38" i="3"/>
  <c r="Z38" i="3" s="1"/>
  <c r="P38" i="3"/>
  <c r="L38" i="3"/>
  <c r="N38" i="3" s="1"/>
  <c r="H38" i="3"/>
  <c r="D38" i="3"/>
  <c r="B38" i="3"/>
  <c r="X37" i="3"/>
  <c r="T37" i="3"/>
  <c r="P37" i="3"/>
  <c r="N37" i="3"/>
  <c r="L37" i="3"/>
  <c r="H37" i="3"/>
  <c r="D37" i="3"/>
  <c r="B37" i="3"/>
  <c r="T36" i="3"/>
  <c r="P36" i="3"/>
  <c r="X36" i="3" s="1"/>
  <c r="N36" i="3"/>
  <c r="L36" i="3"/>
  <c r="H36" i="3"/>
  <c r="D36" i="3"/>
  <c r="B36" i="3"/>
  <c r="T35" i="3"/>
  <c r="P35" i="3"/>
  <c r="H35" i="3"/>
  <c r="N35" i="3" s="1"/>
  <c r="D35" i="3"/>
  <c r="L35" i="3" s="1"/>
  <c r="B35" i="3"/>
  <c r="X34" i="3"/>
  <c r="T34" i="3"/>
  <c r="Z34" i="3" s="1"/>
  <c r="P34" i="3"/>
  <c r="L34" i="3"/>
  <c r="N34" i="3" s="1"/>
  <c r="H34" i="3"/>
  <c r="D34" i="3"/>
  <c r="B34" i="3"/>
  <c r="X33" i="3"/>
  <c r="T33" i="3"/>
  <c r="Z33" i="3" s="1"/>
  <c r="P33" i="3"/>
  <c r="N33" i="3"/>
  <c r="L33" i="3"/>
  <c r="H33" i="3"/>
  <c r="D33" i="3"/>
  <c r="B33" i="3"/>
  <c r="T32" i="3"/>
  <c r="Z32" i="3" s="1"/>
  <c r="P32" i="3"/>
  <c r="X32" i="3" s="1"/>
  <c r="N32" i="3"/>
  <c r="L32" i="3"/>
  <c r="H32" i="3"/>
  <c r="D32" i="3"/>
  <c r="B32" i="3"/>
  <c r="T31" i="3"/>
  <c r="P31" i="3"/>
  <c r="H31" i="3"/>
  <c r="D31" i="3"/>
  <c r="L31" i="3" s="1"/>
  <c r="B31" i="3"/>
  <c r="X30" i="3"/>
  <c r="T30" i="3"/>
  <c r="Z30" i="3" s="1"/>
  <c r="P30" i="3"/>
  <c r="L30" i="3"/>
  <c r="N30" i="3" s="1"/>
  <c r="H30" i="3"/>
  <c r="D30" i="3"/>
  <c r="B30" i="3"/>
  <c r="X29" i="3"/>
  <c r="T29" i="3"/>
  <c r="Z29" i="3" s="1"/>
  <c r="P29" i="3"/>
  <c r="N29" i="3"/>
  <c r="L29" i="3"/>
  <c r="H29" i="3"/>
  <c r="D29" i="3"/>
  <c r="B29" i="3"/>
  <c r="T28" i="3"/>
  <c r="P28" i="3"/>
  <c r="X28" i="3" s="1"/>
  <c r="N28" i="3"/>
  <c r="L28" i="3"/>
  <c r="H28" i="3"/>
  <c r="D28" i="3"/>
  <c r="B28" i="3"/>
  <c r="T27" i="3"/>
  <c r="P27" i="3"/>
  <c r="H27" i="3"/>
  <c r="N27" i="3" s="1"/>
  <c r="D27" i="3"/>
  <c r="L27" i="3" s="1"/>
  <c r="B27" i="3"/>
  <c r="X26" i="3"/>
  <c r="T26" i="3"/>
  <c r="Z26" i="3" s="1"/>
  <c r="P26" i="3"/>
  <c r="L26" i="3"/>
  <c r="N26" i="3" s="1"/>
  <c r="H26" i="3"/>
  <c r="D26" i="3"/>
  <c r="B26" i="3"/>
  <c r="X25" i="3"/>
  <c r="T25" i="3"/>
  <c r="Z25" i="3" s="1"/>
  <c r="P25" i="3"/>
  <c r="N25" i="3"/>
  <c r="L25" i="3"/>
  <c r="H25" i="3"/>
  <c r="D25" i="3"/>
  <c r="B25" i="3"/>
  <c r="T24" i="3"/>
  <c r="Z24" i="3" s="1"/>
  <c r="P24" i="3"/>
  <c r="X24" i="3" s="1"/>
  <c r="N24" i="3"/>
  <c r="L24" i="3"/>
  <c r="H24" i="3"/>
  <c r="D24" i="3"/>
  <c r="B24" i="3"/>
  <c r="T23" i="3"/>
  <c r="P23" i="3"/>
  <c r="H23" i="3"/>
  <c r="N23" i="3" s="1"/>
  <c r="D23" i="3"/>
  <c r="L23" i="3" s="1"/>
  <c r="B23" i="3"/>
  <c r="X22" i="3"/>
  <c r="T22" i="3"/>
  <c r="Z22" i="3" s="1"/>
  <c r="P22" i="3"/>
  <c r="L22" i="3"/>
  <c r="N22" i="3" s="1"/>
  <c r="H22" i="3"/>
  <c r="D22" i="3"/>
  <c r="B22" i="3"/>
  <c r="X21" i="3"/>
  <c r="T21" i="3"/>
  <c r="Z21" i="3" s="1"/>
  <c r="P21" i="3"/>
  <c r="N21" i="3"/>
  <c r="L21" i="3"/>
  <c r="H21" i="3"/>
  <c r="D21" i="3"/>
  <c r="B21" i="3"/>
  <c r="T20" i="3"/>
  <c r="P20" i="3"/>
  <c r="X20" i="3" s="1"/>
  <c r="N20" i="3"/>
  <c r="L20" i="3"/>
  <c r="H20" i="3"/>
  <c r="D20" i="3"/>
  <c r="B20" i="3"/>
  <c r="T19" i="3"/>
  <c r="P19" i="3"/>
  <c r="H19" i="3"/>
  <c r="N19" i="3" s="1"/>
  <c r="D19" i="3"/>
  <c r="L19" i="3" s="1"/>
  <c r="B19" i="3"/>
  <c r="T18" i="3"/>
  <c r="P18" i="3"/>
  <c r="L18" i="3"/>
  <c r="N18" i="3" s="1"/>
  <c r="H18" i="3"/>
  <c r="D18" i="3"/>
  <c r="B18" i="3"/>
  <c r="X17" i="3"/>
  <c r="T17" i="3"/>
  <c r="Z17" i="3" s="1"/>
  <c r="P17" i="3"/>
  <c r="L17" i="3"/>
  <c r="N17" i="3" s="1"/>
  <c r="H17" i="3"/>
  <c r="D17" i="3"/>
  <c r="B17" i="3"/>
  <c r="T16" i="3"/>
  <c r="P16" i="3"/>
  <c r="X16" i="3" s="1"/>
  <c r="N16" i="3"/>
  <c r="L16" i="3"/>
  <c r="H16" i="3"/>
  <c r="D16" i="3"/>
  <c r="B16" i="3"/>
  <c r="T15" i="3"/>
  <c r="P15" i="3"/>
  <c r="H15" i="3"/>
  <c r="D15" i="3"/>
  <c r="B15" i="3"/>
  <c r="T14" i="3"/>
  <c r="X14" i="3" s="1"/>
  <c r="P14" i="3"/>
  <c r="L14" i="3"/>
  <c r="N14" i="3" s="1"/>
  <c r="H14" i="3"/>
  <c r="D14" i="3"/>
  <c r="B14" i="3"/>
  <c r="X13" i="3"/>
  <c r="T13" i="3"/>
  <c r="P13" i="3"/>
  <c r="N13" i="3"/>
  <c r="L13" i="3"/>
  <c r="H13" i="3"/>
  <c r="H12" i="3" s="1"/>
  <c r="D13" i="3"/>
  <c r="B13" i="3"/>
  <c r="P12" i="3"/>
  <c r="R293" i="3" s="1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P20" i="112"/>
  <c r="P16" i="112"/>
  <c r="D12" i="112"/>
  <c r="P24" i="111"/>
  <c r="P22" i="111"/>
  <c r="T20" i="111"/>
  <c r="T16" i="111"/>
  <c r="T13" i="111"/>
  <c r="T24" i="110"/>
  <c r="T22" i="110"/>
  <c r="P1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P24" i="53"/>
  <c r="P22" i="53"/>
  <c r="T20" i="53"/>
  <c r="T16" i="53"/>
  <c r="T13" i="53"/>
  <c r="H34" i="53"/>
  <c r="H33" i="53"/>
  <c r="H29" i="53"/>
  <c r="H25" i="53"/>
  <c r="B39" i="53"/>
  <c r="H24" i="53"/>
  <c r="H22" i="53"/>
  <c r="B25" i="53"/>
  <c r="D24" i="53"/>
  <c r="D22" i="53"/>
  <c r="H20" i="53"/>
  <c r="H16" i="53"/>
  <c r="B21" i="53"/>
  <c r="D20" i="53"/>
  <c r="T34" i="53"/>
  <c r="T33" i="53"/>
  <c r="T29" i="53"/>
  <c r="P34" i="53"/>
  <c r="D15" i="53"/>
  <c r="P12" i="53"/>
  <c r="T34" i="52"/>
  <c r="T33" i="52"/>
  <c r="T29" i="52"/>
  <c r="T25" i="52"/>
  <c r="B16" i="52"/>
  <c r="D15" i="52"/>
  <c r="T12" i="52"/>
  <c r="T24" i="50"/>
  <c r="T22" i="50"/>
  <c r="P12" i="50"/>
  <c r="T34" i="49"/>
  <c r="T33" i="49"/>
  <c r="T29" i="49"/>
  <c r="T25" i="49"/>
  <c r="B16" i="49"/>
  <c r="D15" i="49"/>
  <c r="T12" i="49"/>
  <c r="H34" i="47"/>
  <c r="H33" i="47"/>
  <c r="T24" i="53"/>
  <c r="B22" i="53"/>
  <c r="D16" i="53"/>
  <c r="T24" i="52"/>
  <c r="T22" i="52"/>
  <c r="P12" i="52"/>
  <c r="P34" i="50"/>
  <c r="P33" i="50"/>
  <c r="P29" i="50"/>
  <c r="P25" i="50"/>
  <c r="T21" i="50"/>
  <c r="T24" i="49"/>
  <c r="T22" i="49"/>
  <c r="P12" i="49"/>
  <c r="B39" i="47"/>
  <c r="H24" i="47"/>
  <c r="H22" i="47"/>
  <c r="H13" i="47"/>
  <c r="P20" i="53"/>
  <c r="B16" i="53"/>
  <c r="P34" i="52"/>
  <c r="P33" i="52"/>
  <c r="P29" i="52"/>
  <c r="P25" i="52"/>
  <c r="T21" i="52"/>
  <c r="P24" i="50"/>
  <c r="P22" i="50"/>
  <c r="T20" i="50"/>
  <c r="T16" i="50"/>
  <c r="T13" i="50"/>
  <c r="P34" i="49"/>
  <c r="P33" i="49"/>
  <c r="P29" i="49"/>
  <c r="P25" i="49"/>
  <c r="T21" i="49"/>
  <c r="B38" i="47"/>
  <c r="D34" i="47"/>
  <c r="D33" i="47"/>
  <c r="D29" i="47"/>
  <c r="D25" i="47"/>
  <c r="H21" i="47"/>
  <c r="D13" i="47"/>
  <c r="B39" i="46"/>
  <c r="B38" i="53"/>
  <c r="D34" i="53"/>
  <c r="P13" i="53"/>
  <c r="H12" i="53"/>
  <c r="P24" i="52"/>
  <c r="P22" i="52"/>
  <c r="T20" i="52"/>
  <c r="T16" i="52"/>
  <c r="T13" i="52"/>
  <c r="P21" i="50"/>
  <c r="T15" i="50"/>
  <c r="P13" i="50"/>
  <c r="H12" i="50"/>
  <c r="P24" i="49"/>
  <c r="P22" i="49"/>
  <c r="T20" i="49"/>
  <c r="T16" i="49"/>
  <c r="T13" i="49"/>
  <c r="B25" i="47"/>
  <c r="D24" i="47"/>
  <c r="D22" i="47"/>
  <c r="H20" i="47"/>
  <c r="H16" i="47"/>
  <c r="B13" i="47"/>
  <c r="B38" i="46"/>
  <c r="T21" i="53"/>
  <c r="D12" i="53"/>
  <c r="P21" i="52"/>
  <c r="T15" i="52"/>
  <c r="P13" i="52"/>
  <c r="H12" i="52"/>
  <c r="P20" i="50"/>
  <c r="P16" i="50"/>
  <c r="D12" i="50"/>
  <c r="P21" i="49"/>
  <c r="T15" i="49"/>
  <c r="P13" i="49"/>
  <c r="H12" i="49"/>
  <c r="T25" i="53"/>
  <c r="P21" i="53"/>
  <c r="T15" i="53"/>
  <c r="D5" i="53"/>
  <c r="P20" i="52"/>
  <c r="P16" i="52"/>
  <c r="D12" i="52"/>
  <c r="H34" i="50"/>
  <c r="H33" i="50"/>
  <c r="H29" i="50"/>
  <c r="H25" i="50"/>
  <c r="P15" i="50"/>
  <c r="D5" i="50"/>
  <c r="P20" i="49"/>
  <c r="P16" i="49"/>
  <c r="D12" i="49"/>
  <c r="P33" i="53"/>
  <c r="P29" i="53"/>
  <c r="H13" i="53"/>
  <c r="D4" i="53"/>
  <c r="H34" i="52"/>
  <c r="H33" i="52"/>
  <c r="H29" i="52"/>
  <c r="H25" i="52"/>
  <c r="P15" i="52"/>
  <c r="D5" i="52"/>
  <c r="B39" i="50"/>
  <c r="H24" i="50"/>
  <c r="H22" i="50"/>
  <c r="H13" i="50"/>
  <c r="D4" i="50"/>
  <c r="H34" i="49"/>
  <c r="H33" i="49"/>
  <c r="H29" i="49"/>
  <c r="H25" i="49"/>
  <c r="P15" i="49"/>
  <c r="D5" i="49"/>
  <c r="T34" i="47"/>
  <c r="T33" i="47"/>
  <c r="T29" i="47"/>
  <c r="P25" i="53"/>
  <c r="P15" i="53"/>
  <c r="D13" i="53"/>
  <c r="B39" i="52"/>
  <c r="H24" i="52"/>
  <c r="H22" i="52"/>
  <c r="H13" i="52"/>
  <c r="D4" i="52"/>
  <c r="B38" i="50"/>
  <c r="D34" i="50"/>
  <c r="D33" i="50"/>
  <c r="D29" i="50"/>
  <c r="D25" i="50"/>
  <c r="H21" i="50"/>
  <c r="D13" i="50"/>
  <c r="B39" i="49"/>
  <c r="T22" i="53"/>
  <c r="H21" i="53"/>
  <c r="P16" i="53"/>
  <c r="B13" i="53"/>
  <c r="B38" i="52"/>
  <c r="D34" i="52"/>
  <c r="D33" i="52"/>
  <c r="D29" i="52"/>
  <c r="D25" i="52"/>
  <c r="H21" i="52"/>
  <c r="D13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D33" i="53"/>
  <c r="D29" i="53"/>
  <c r="D21" i="53"/>
  <c r="B25" i="52"/>
  <c r="D24" i="52"/>
  <c r="D22" i="52"/>
  <c r="H20" i="52"/>
  <c r="H16" i="52"/>
  <c r="B13" i="52"/>
  <c r="B22" i="50"/>
  <c r="D21" i="50"/>
  <c r="H15" i="50"/>
  <c r="B25" i="49"/>
  <c r="D24" i="49"/>
  <c r="D22" i="49"/>
  <c r="H20" i="49"/>
  <c r="H16" i="49"/>
  <c r="B13" i="49"/>
  <c r="P24" i="47"/>
  <c r="P22" i="47"/>
  <c r="T20" i="47"/>
  <c r="T16" i="47"/>
  <c r="T13" i="47"/>
  <c r="D25" i="53"/>
  <c r="H15" i="53"/>
  <c r="B22" i="52"/>
  <c r="D21" i="52"/>
  <c r="H15" i="52"/>
  <c r="B21" i="50"/>
  <c r="D20" i="50"/>
  <c r="D16" i="50"/>
  <c r="B22" i="49"/>
  <c r="D21" i="49"/>
  <c r="H15" i="49"/>
  <c r="D4" i="49"/>
  <c r="H25" i="47"/>
  <c r="D21" i="47"/>
  <c r="D4" i="47"/>
  <c r="D34" i="46"/>
  <c r="D33" i="46"/>
  <c r="D29" i="46"/>
  <c r="D25" i="46"/>
  <c r="H21" i="46"/>
  <c r="D13" i="46"/>
  <c r="P34" i="44"/>
  <c r="P33" i="44"/>
  <c r="P29" i="44"/>
  <c r="P25" i="44"/>
  <c r="T21" i="44"/>
  <c r="T24" i="43"/>
  <c r="T22" i="43"/>
  <c r="B21" i="49"/>
  <c r="B21" i="47"/>
  <c r="D16" i="47"/>
  <c r="P13" i="47"/>
  <c r="B25" i="46"/>
  <c r="D24" i="46"/>
  <c r="D22" i="46"/>
  <c r="H20" i="46"/>
  <c r="H16" i="46"/>
  <c r="B13" i="46"/>
  <c r="B16" i="47"/>
  <c r="B22" i="46"/>
  <c r="D21" i="46"/>
  <c r="H15" i="46"/>
  <c r="T34" i="50"/>
  <c r="B16" i="50"/>
  <c r="D20" i="49"/>
  <c r="T24" i="47"/>
  <c r="B21" i="46"/>
  <c r="D20" i="46"/>
  <c r="D16" i="46"/>
  <c r="P20" i="44"/>
  <c r="P16" i="44"/>
  <c r="D12" i="44"/>
  <c r="P21" i="43"/>
  <c r="T33" i="50"/>
  <c r="D15" i="50"/>
  <c r="B22" i="47"/>
  <c r="T34" i="46"/>
  <c r="T33" i="46"/>
  <c r="T29" i="46"/>
  <c r="T25" i="46"/>
  <c r="B16" i="46"/>
  <c r="D15" i="46"/>
  <c r="T12" i="46"/>
  <c r="T12" i="50"/>
  <c r="P34" i="47"/>
  <c r="T15" i="47"/>
  <c r="T24" i="46"/>
  <c r="T22" i="46"/>
  <c r="P12" i="46"/>
  <c r="B39" i="44"/>
  <c r="H24" i="44"/>
  <c r="H22" i="44"/>
  <c r="H13" i="44"/>
  <c r="D4" i="44"/>
  <c r="H34" i="43"/>
  <c r="H33" i="43"/>
  <c r="H29" i="43"/>
  <c r="H25" i="43"/>
  <c r="P15" i="43"/>
  <c r="B21" i="52"/>
  <c r="T29" i="50"/>
  <c r="P20" i="47"/>
  <c r="T12" i="47"/>
  <c r="P34" i="46"/>
  <c r="P33" i="46"/>
  <c r="P29" i="46"/>
  <c r="P25" i="46"/>
  <c r="T21" i="46"/>
  <c r="B38" i="44"/>
  <c r="D34" i="44"/>
  <c r="D33" i="44"/>
  <c r="D29" i="44"/>
  <c r="D25" i="44"/>
  <c r="H21" i="44"/>
  <c r="D13" i="44"/>
  <c r="B39" i="43"/>
  <c r="H24" i="43"/>
  <c r="H22" i="43"/>
  <c r="T12" i="53"/>
  <c r="D20" i="52"/>
  <c r="D16" i="49"/>
  <c r="T25" i="47"/>
  <c r="P15" i="47"/>
  <c r="P12" i="47"/>
  <c r="P24" i="46"/>
  <c r="P22" i="46"/>
  <c r="T20" i="46"/>
  <c r="T16" i="46"/>
  <c r="T13" i="46"/>
  <c r="B25" i="44"/>
  <c r="D24" i="44"/>
  <c r="D22" i="44"/>
  <c r="H20" i="44"/>
  <c r="H16" i="44"/>
  <c r="B13" i="44"/>
  <c r="B38" i="43"/>
  <c r="D34" i="43"/>
  <c r="T25" i="50"/>
  <c r="H24" i="49"/>
  <c r="P29" i="47"/>
  <c r="T21" i="47"/>
  <c r="H15" i="47"/>
  <c r="P21" i="46"/>
  <c r="T15" i="46"/>
  <c r="P13" i="46"/>
  <c r="H12" i="46"/>
  <c r="D16" i="52"/>
  <c r="P33" i="47"/>
  <c r="P25" i="47"/>
  <c r="P21" i="47"/>
  <c r="D20" i="47"/>
  <c r="H12" i="47"/>
  <c r="P20" i="46"/>
  <c r="P16" i="46"/>
  <c r="D12" i="46"/>
  <c r="B21" i="44"/>
  <c r="D20" i="44"/>
  <c r="D16" i="44"/>
  <c r="H22" i="49"/>
  <c r="H13" i="49"/>
  <c r="P16" i="47"/>
  <c r="D15" i="47"/>
  <c r="D12" i="47"/>
  <c r="H34" i="46"/>
  <c r="H33" i="46"/>
  <c r="H29" i="46"/>
  <c r="H25" i="46"/>
  <c r="P15" i="46"/>
  <c r="D5" i="46"/>
  <c r="T34" i="44"/>
  <c r="T33" i="44"/>
  <c r="T29" i="44"/>
  <c r="T25" i="44"/>
  <c r="B16" i="44"/>
  <c r="D15" i="44"/>
  <c r="T12" i="44"/>
  <c r="P34" i="43"/>
  <c r="D22" i="43"/>
  <c r="D16" i="43"/>
  <c r="H34" i="41"/>
  <c r="H33" i="41"/>
  <c r="H29" i="41"/>
  <c r="H25" i="41"/>
  <c r="P15" i="41"/>
  <c r="D5" i="41"/>
  <c r="P20" i="40"/>
  <c r="P16" i="40"/>
  <c r="D12" i="40"/>
  <c r="H13" i="46"/>
  <c r="T20" i="44"/>
  <c r="P12" i="44"/>
  <c r="B22" i="43"/>
  <c r="T20" i="43"/>
  <c r="B16" i="43"/>
  <c r="T13" i="43"/>
  <c r="B39" i="41"/>
  <c r="H24" i="41"/>
  <c r="H22" i="41"/>
  <c r="H13" i="41"/>
  <c r="D4" i="41"/>
  <c r="H34" i="40"/>
  <c r="H33" i="40"/>
  <c r="H29" i="40"/>
  <c r="H25" i="40"/>
  <c r="P15" i="40"/>
  <c r="D5" i="40"/>
  <c r="D4" i="46"/>
  <c r="T22" i="44"/>
  <c r="P24" i="43"/>
  <c r="P20" i="43"/>
  <c r="P13" i="43"/>
  <c r="H1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H29" i="47"/>
  <c r="H33" i="44"/>
  <c r="P22" i="44"/>
  <c r="H12" i="44"/>
  <c r="D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D5" i="44"/>
  <c r="T33" i="43"/>
  <c r="T29" i="43"/>
  <c r="T21" i="43"/>
  <c r="H20" i="43"/>
  <c r="T15" i="43"/>
  <c r="D5" i="43"/>
  <c r="B22" i="41"/>
  <c r="D21" i="41"/>
  <c r="H15" i="41"/>
  <c r="B25" i="40"/>
  <c r="D24" i="40"/>
  <c r="D22" i="40"/>
  <c r="H20" i="40"/>
  <c r="H16" i="40"/>
  <c r="B13" i="40"/>
  <c r="T22" i="47"/>
  <c r="T15" i="44"/>
  <c r="P33" i="43"/>
  <c r="P29" i="43"/>
  <c r="T25" i="43"/>
  <c r="D24" i="43"/>
  <c r="H13" i="43"/>
  <c r="D4" i="43"/>
  <c r="B21" i="41"/>
  <c r="D20" i="41"/>
  <c r="D16" i="41"/>
  <c r="B22" i="40"/>
  <c r="D21" i="40"/>
  <c r="H15" i="40"/>
  <c r="H24" i="46"/>
  <c r="B22" i="44"/>
  <c r="P15" i="44"/>
  <c r="P25" i="43"/>
  <c r="D20" i="43"/>
  <c r="T16" i="43"/>
  <c r="D13" i="43"/>
  <c r="T34" i="41"/>
  <c r="T33" i="41"/>
  <c r="T29" i="41"/>
  <c r="T25" i="41"/>
  <c r="B16" i="41"/>
  <c r="D15" i="41"/>
  <c r="T12" i="41"/>
  <c r="B21" i="40"/>
  <c r="D20" i="40"/>
  <c r="D16" i="40"/>
  <c r="H22" i="46"/>
  <c r="H25" i="44"/>
  <c r="H15" i="44"/>
  <c r="H21" i="43"/>
  <c r="B13" i="43"/>
  <c r="T24" i="41"/>
  <c r="T22" i="41"/>
  <c r="P12" i="41"/>
  <c r="T34" i="40"/>
  <c r="T33" i="40"/>
  <c r="T29" i="40"/>
  <c r="T25" i="40"/>
  <c r="B16" i="40"/>
  <c r="D15" i="40"/>
  <c r="T12" i="40"/>
  <c r="D33" i="43"/>
  <c r="D29" i="43"/>
  <c r="P16" i="43"/>
  <c r="H15" i="43"/>
  <c r="P34" i="41"/>
  <c r="P33" i="41"/>
  <c r="P29" i="41"/>
  <c r="P25" i="41"/>
  <c r="T21" i="41"/>
  <c r="T24" i="40"/>
  <c r="T22" i="40"/>
  <c r="P12" i="40"/>
  <c r="T24" i="44"/>
  <c r="P21" i="44"/>
  <c r="T13" i="44"/>
  <c r="D25" i="43"/>
  <c r="P22" i="43"/>
  <c r="D21" i="43"/>
  <c r="P24" i="41"/>
  <c r="P22" i="41"/>
  <c r="T20" i="41"/>
  <c r="T16" i="41"/>
  <c r="T13" i="41"/>
  <c r="P34" i="40"/>
  <c r="P33" i="40"/>
  <c r="P29" i="40"/>
  <c r="P25" i="40"/>
  <c r="T21" i="40"/>
  <c r="D5" i="47"/>
  <c r="P24" i="44"/>
  <c r="P13" i="44"/>
  <c r="B25" i="43"/>
  <c r="B21" i="43"/>
  <c r="H16" i="43"/>
  <c r="D15" i="43"/>
  <c r="T12" i="43"/>
  <c r="P21" i="41"/>
  <c r="T15" i="41"/>
  <c r="P13" i="41"/>
  <c r="H12" i="41"/>
  <c r="P24" i="40"/>
  <c r="P22" i="40"/>
  <c r="T20" i="40"/>
  <c r="T16" i="40"/>
  <c r="T13" i="40"/>
  <c r="H29" i="44"/>
  <c r="P34" i="38"/>
  <c r="P33" i="38"/>
  <c r="P29" i="38"/>
  <c r="P25" i="38"/>
  <c r="T21" i="38"/>
  <c r="T24" i="37"/>
  <c r="T22" i="37"/>
  <c r="P12" i="37"/>
  <c r="T34" i="35"/>
  <c r="T33" i="35"/>
  <c r="T29" i="35"/>
  <c r="T25" i="35"/>
  <c r="B16" i="35"/>
  <c r="D15" i="35"/>
  <c r="T12" i="35"/>
  <c r="B21" i="34"/>
  <c r="D20" i="34"/>
  <c r="D16" i="34"/>
  <c r="T15" i="40"/>
  <c r="P24" i="38"/>
  <c r="P22" i="38"/>
  <c r="T20" i="38"/>
  <c r="T16" i="38"/>
  <c r="T13" i="38"/>
  <c r="P34" i="37"/>
  <c r="P33" i="37"/>
  <c r="P29" i="37"/>
  <c r="P25" i="37"/>
  <c r="T21" i="37"/>
  <c r="T24" i="35"/>
  <c r="T22" i="35"/>
  <c r="P12" i="35"/>
  <c r="T34" i="34"/>
  <c r="T33" i="34"/>
  <c r="T29" i="34"/>
  <c r="T25" i="34"/>
  <c r="B16" i="34"/>
  <c r="D15" i="34"/>
  <c r="T12" i="34"/>
  <c r="D21" i="44"/>
  <c r="P12" i="43"/>
  <c r="P13" i="40"/>
  <c r="P21" i="38"/>
  <c r="T15" i="38"/>
  <c r="P13" i="38"/>
  <c r="H12" i="38"/>
  <c r="P24" i="37"/>
  <c r="P22" i="37"/>
  <c r="T20" i="37"/>
  <c r="T16" i="37"/>
  <c r="T13" i="37"/>
  <c r="P34" i="35"/>
  <c r="P33" i="35"/>
  <c r="P29" i="35"/>
  <c r="P25" i="35"/>
  <c r="T21" i="35"/>
  <c r="T24" i="34"/>
  <c r="T22" i="34"/>
  <c r="P12" i="34"/>
  <c r="T16" i="44"/>
  <c r="H12" i="40"/>
  <c r="P20" i="38"/>
  <c r="P16" i="38"/>
  <c r="D12" i="38"/>
  <c r="P21" i="37"/>
  <c r="T15" i="37"/>
  <c r="P13" i="37"/>
  <c r="H12" i="37"/>
  <c r="P24" i="35"/>
  <c r="P22" i="35"/>
  <c r="T20" i="35"/>
  <c r="T16" i="35"/>
  <c r="T13" i="35"/>
  <c r="P34" i="34"/>
  <c r="P33" i="34"/>
  <c r="P29" i="34"/>
  <c r="P25" i="34"/>
  <c r="T21" i="34"/>
  <c r="H34" i="38"/>
  <c r="H33" i="38"/>
  <c r="H29" i="38"/>
  <c r="H25" i="38"/>
  <c r="P15" i="38"/>
  <c r="D5" i="38"/>
  <c r="P20" i="37"/>
  <c r="P16" i="37"/>
  <c r="D12" i="37"/>
  <c r="P21" i="35"/>
  <c r="T15" i="35"/>
  <c r="P13" i="35"/>
  <c r="H12" i="35"/>
  <c r="P24" i="34"/>
  <c r="P22" i="34"/>
  <c r="T20" i="34"/>
  <c r="T16" i="34"/>
  <c r="T13" i="34"/>
  <c r="T34" i="43"/>
  <c r="B39" i="38"/>
  <c r="H24" i="38"/>
  <c r="H22" i="38"/>
  <c r="H13" i="38"/>
  <c r="D4" i="38"/>
  <c r="H34" i="37"/>
  <c r="H33" i="37"/>
  <c r="H29" i="37"/>
  <c r="H25" i="37"/>
  <c r="P15" i="37"/>
  <c r="D5" i="37"/>
  <c r="P20" i="35"/>
  <c r="P16" i="35"/>
  <c r="D12" i="35"/>
  <c r="P21" i="34"/>
  <c r="T15" i="34"/>
  <c r="P13" i="34"/>
  <c r="H12" i="34"/>
  <c r="P20" i="41"/>
  <c r="B38" i="38"/>
  <c r="D34" i="38"/>
  <c r="D33" i="38"/>
  <c r="D29" i="38"/>
  <c r="D25" i="38"/>
  <c r="H21" i="38"/>
  <c r="D13" i="38"/>
  <c r="B39" i="37"/>
  <c r="H24" i="37"/>
  <c r="H22" i="37"/>
  <c r="H13" i="37"/>
  <c r="D4" i="37"/>
  <c r="H34" i="35"/>
  <c r="H33" i="35"/>
  <c r="H29" i="35"/>
  <c r="H25" i="35"/>
  <c r="P15" i="35"/>
  <c r="D5" i="35"/>
  <c r="P20" i="34"/>
  <c r="P16" i="34"/>
  <c r="D12" i="34"/>
  <c r="B25" i="38"/>
  <c r="D24" i="38"/>
  <c r="D22" i="38"/>
  <c r="H20" i="38"/>
  <c r="H16" i="38"/>
  <c r="B13" i="38"/>
  <c r="B38" i="37"/>
  <c r="D34" i="37"/>
  <c r="D33" i="37"/>
  <c r="D29" i="37"/>
  <c r="D25" i="37"/>
  <c r="H21" i="37"/>
  <c r="D13" i="37"/>
  <c r="B39" i="35"/>
  <c r="H24" i="35"/>
  <c r="H22" i="35"/>
  <c r="H13" i="35"/>
  <c r="D4" i="35"/>
  <c r="H34" i="34"/>
  <c r="H33" i="34"/>
  <c r="H29" i="34"/>
  <c r="H25" i="34"/>
  <c r="P15" i="34"/>
  <c r="D5" i="34"/>
  <c r="P16" i="41"/>
  <c r="B22" i="38"/>
  <c r="D21" i="38"/>
  <c r="H15" i="38"/>
  <c r="B25" i="37"/>
  <c r="D24" i="37"/>
  <c r="D22" i="37"/>
  <c r="H20" i="37"/>
  <c r="H16" i="37"/>
  <c r="B13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P21" i="40"/>
  <c r="B21" i="38"/>
  <c r="D20" i="38"/>
  <c r="D16" i="38"/>
  <c r="B22" i="37"/>
  <c r="D21" i="37"/>
  <c r="H15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T34" i="38"/>
  <c r="T33" i="38"/>
  <c r="T29" i="38"/>
  <c r="T25" i="38"/>
  <c r="B16" i="38"/>
  <c r="D15" i="38"/>
  <c r="T12" i="38"/>
  <c r="B21" i="37"/>
  <c r="D20" i="37"/>
  <c r="D16" i="37"/>
  <c r="B22" i="35"/>
  <c r="D21" i="35"/>
  <c r="H15" i="35"/>
  <c r="B25" i="34"/>
  <c r="D24" i="34"/>
  <c r="D22" i="34"/>
  <c r="H20" i="34"/>
  <c r="H16" i="34"/>
  <c r="B13" i="34"/>
  <c r="D16" i="35"/>
  <c r="B22" i="34"/>
  <c r="B21" i="32"/>
  <c r="D20" i="32"/>
  <c r="D16" i="32"/>
  <c r="B22" i="31"/>
  <c r="D21" i="31"/>
  <c r="H15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P12" i="38"/>
  <c r="D21" i="34"/>
  <c r="T34" i="32"/>
  <c r="T33" i="32"/>
  <c r="T29" i="32"/>
  <c r="T25" i="32"/>
  <c r="B16" i="32"/>
  <c r="D15" i="32"/>
  <c r="T12" i="32"/>
  <c r="B21" i="31"/>
  <c r="D20" i="31"/>
  <c r="D16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D12" i="41"/>
  <c r="T24" i="32"/>
  <c r="T22" i="32"/>
  <c r="P12" i="32"/>
  <c r="T34" i="31"/>
  <c r="T33" i="31"/>
  <c r="T29" i="31"/>
  <c r="T25" i="31"/>
  <c r="B16" i="31"/>
  <c r="D15" i="31"/>
  <c r="T12" i="31"/>
  <c r="B22" i="29"/>
  <c r="D21" i="29"/>
  <c r="H15" i="29"/>
  <c r="B25" i="28"/>
  <c r="D24" i="28"/>
  <c r="D22" i="28"/>
  <c r="H20" i="28"/>
  <c r="H16" i="28"/>
  <c r="B13" i="28"/>
  <c r="T34" i="37"/>
  <c r="B16" i="37"/>
  <c r="P34" i="32"/>
  <c r="P33" i="32"/>
  <c r="P29" i="32"/>
  <c r="P25" i="32"/>
  <c r="T21" i="32"/>
  <c r="T24" i="31"/>
  <c r="T22" i="31"/>
  <c r="P12" i="31"/>
  <c r="B21" i="29"/>
  <c r="D20" i="29"/>
  <c r="D16" i="29"/>
  <c r="B22" i="28"/>
  <c r="D21" i="28"/>
  <c r="H15" i="28"/>
  <c r="T33" i="37"/>
  <c r="D15" i="37"/>
  <c r="P24" i="32"/>
  <c r="P22" i="32"/>
  <c r="T20" i="32"/>
  <c r="T16" i="32"/>
  <c r="T13" i="32"/>
  <c r="P34" i="31"/>
  <c r="P33" i="31"/>
  <c r="P29" i="31"/>
  <c r="P25" i="31"/>
  <c r="T21" i="31"/>
  <c r="T34" i="29"/>
  <c r="T33" i="29"/>
  <c r="T29" i="29"/>
  <c r="T25" i="29"/>
  <c r="B16" i="29"/>
  <c r="D15" i="29"/>
  <c r="T12" i="29"/>
  <c r="B21" i="28"/>
  <c r="D20" i="28"/>
  <c r="D16" i="28"/>
  <c r="T24" i="38"/>
  <c r="T12" i="37"/>
  <c r="H15" i="34"/>
  <c r="P21" i="32"/>
  <c r="T15" i="32"/>
  <c r="P13" i="32"/>
  <c r="H12" i="32"/>
  <c r="P24" i="31"/>
  <c r="P22" i="31"/>
  <c r="T20" i="31"/>
  <c r="T16" i="31"/>
  <c r="T13" i="31"/>
  <c r="T24" i="29"/>
  <c r="T22" i="29"/>
  <c r="P12" i="29"/>
  <c r="T34" i="28"/>
  <c r="T33" i="28"/>
  <c r="T29" i="28"/>
  <c r="T25" i="28"/>
  <c r="B16" i="28"/>
  <c r="D15" i="28"/>
  <c r="T12" i="28"/>
  <c r="T22" i="38"/>
  <c r="T29" i="37"/>
  <c r="P20" i="32"/>
  <c r="P16" i="32"/>
  <c r="D12" i="32"/>
  <c r="P21" i="31"/>
  <c r="T15" i="31"/>
  <c r="P13" i="31"/>
  <c r="H12" i="31"/>
  <c r="H34" i="32"/>
  <c r="H33" i="32"/>
  <c r="H29" i="32"/>
  <c r="H25" i="32"/>
  <c r="P15" i="32"/>
  <c r="D5" i="32"/>
  <c r="P20" i="31"/>
  <c r="P16" i="31"/>
  <c r="D12" i="31"/>
  <c r="P24" i="29"/>
  <c r="P22" i="29"/>
  <c r="T20" i="29"/>
  <c r="T16" i="29"/>
  <c r="T13" i="29"/>
  <c r="P34" i="28"/>
  <c r="P33" i="28"/>
  <c r="P29" i="28"/>
  <c r="P25" i="28"/>
  <c r="T21" i="28"/>
  <c r="T25" i="37"/>
  <c r="B39" i="32"/>
  <c r="H24" i="32"/>
  <c r="H22" i="32"/>
  <c r="H13" i="32"/>
  <c r="D4" i="32"/>
  <c r="H34" i="31"/>
  <c r="H33" i="31"/>
  <c r="H29" i="31"/>
  <c r="H25" i="31"/>
  <c r="P15" i="31"/>
  <c r="D5" i="31"/>
  <c r="P21" i="29"/>
  <c r="T15" i="29"/>
  <c r="P13" i="29"/>
  <c r="H12" i="29"/>
  <c r="P24" i="28"/>
  <c r="P22" i="28"/>
  <c r="T20" i="28"/>
  <c r="T16" i="28"/>
  <c r="T13" i="28"/>
  <c r="H34" i="44"/>
  <c r="B21" i="35"/>
  <c r="B38" i="32"/>
  <c r="D34" i="32"/>
  <c r="D33" i="32"/>
  <c r="D29" i="32"/>
  <c r="D25" i="32"/>
  <c r="H21" i="32"/>
  <c r="D13" i="32"/>
  <c r="B39" i="31"/>
  <c r="H24" i="31"/>
  <c r="H22" i="31"/>
  <c r="H13" i="31"/>
  <c r="D4" i="31"/>
  <c r="P20" i="29"/>
  <c r="P16" i="29"/>
  <c r="D12" i="29"/>
  <c r="P21" i="28"/>
  <c r="T15" i="28"/>
  <c r="P13" i="28"/>
  <c r="H12" i="28"/>
  <c r="D20" i="35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H34" i="29"/>
  <c r="H33" i="29"/>
  <c r="H29" i="29"/>
  <c r="H25" i="29"/>
  <c r="D5" i="29"/>
  <c r="T24" i="26"/>
  <c r="T22" i="26"/>
  <c r="P12" i="26"/>
  <c r="T34" i="25"/>
  <c r="T33" i="25"/>
  <c r="T29" i="25"/>
  <c r="T25" i="25"/>
  <c r="B16" i="25"/>
  <c r="D15" i="25"/>
  <c r="T12" i="25"/>
  <c r="B13" i="31"/>
  <c r="P34" i="29"/>
  <c r="D4" i="29"/>
  <c r="P12" i="28"/>
  <c r="P34" i="26"/>
  <c r="P33" i="26"/>
  <c r="P29" i="26"/>
  <c r="P25" i="26"/>
  <c r="T21" i="26"/>
  <c r="T24" i="25"/>
  <c r="T22" i="25"/>
  <c r="P12" i="25"/>
  <c r="B22" i="23"/>
  <c r="D21" i="23"/>
  <c r="H15" i="23"/>
  <c r="B25" i="22"/>
  <c r="D24" i="22"/>
  <c r="D22" i="22"/>
  <c r="H20" i="22"/>
  <c r="H16" i="22"/>
  <c r="H24" i="29"/>
  <c r="T22" i="28"/>
  <c r="P24" i="26"/>
  <c r="P22" i="26"/>
  <c r="T20" i="26"/>
  <c r="T16" i="26"/>
  <c r="T13" i="26"/>
  <c r="P34" i="25"/>
  <c r="P33" i="25"/>
  <c r="P29" i="25"/>
  <c r="P25" i="25"/>
  <c r="T21" i="25"/>
  <c r="B22" i="32"/>
  <c r="P33" i="29"/>
  <c r="P16" i="28"/>
  <c r="D12" i="28"/>
  <c r="P21" i="26"/>
  <c r="T15" i="26"/>
  <c r="P13" i="26"/>
  <c r="H12" i="26"/>
  <c r="P24" i="25"/>
  <c r="P22" i="25"/>
  <c r="T20" i="25"/>
  <c r="T16" i="25"/>
  <c r="T13" i="25"/>
  <c r="D21" i="32"/>
  <c r="H22" i="29"/>
  <c r="H29" i="28"/>
  <c r="D5" i="28"/>
  <c r="P20" i="26"/>
  <c r="P16" i="26"/>
  <c r="D12" i="26"/>
  <c r="P21" i="25"/>
  <c r="T15" i="25"/>
  <c r="P13" i="25"/>
  <c r="H12" i="25"/>
  <c r="T24" i="23"/>
  <c r="T22" i="23"/>
  <c r="P12" i="23"/>
  <c r="T34" i="22"/>
  <c r="T33" i="22"/>
  <c r="T29" i="22"/>
  <c r="T25" i="22"/>
  <c r="B25" i="31"/>
  <c r="T21" i="29"/>
  <c r="H34" i="26"/>
  <c r="H33" i="26"/>
  <c r="H29" i="26"/>
  <c r="H25" i="26"/>
  <c r="P15" i="26"/>
  <c r="D5" i="26"/>
  <c r="P20" i="25"/>
  <c r="P16" i="25"/>
  <c r="D12" i="25"/>
  <c r="D24" i="31"/>
  <c r="P15" i="29"/>
  <c r="B39" i="26"/>
  <c r="H24" i="26"/>
  <c r="H22" i="26"/>
  <c r="H13" i="26"/>
  <c r="D4" i="26"/>
  <c r="H34" i="25"/>
  <c r="H33" i="25"/>
  <c r="H29" i="25"/>
  <c r="H25" i="25"/>
  <c r="P15" i="25"/>
  <c r="D5" i="25"/>
  <c r="D22" i="31"/>
  <c r="P29" i="29"/>
  <c r="H34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B39" i="29"/>
  <c r="H13" i="29"/>
  <c r="H33" i="28"/>
  <c r="H25" i="28"/>
  <c r="B21" i="26"/>
  <c r="D20" i="26"/>
  <c r="D16" i="26"/>
  <c r="B22" i="25"/>
  <c r="D21" i="25"/>
  <c r="H15" i="25"/>
  <c r="H16" i="31"/>
  <c r="P25" i="29"/>
  <c r="T24" i="28"/>
  <c r="T34" i="26"/>
  <c r="T33" i="26"/>
  <c r="T29" i="26"/>
  <c r="T25" i="26"/>
  <c r="B16" i="26"/>
  <c r="D15" i="26"/>
  <c r="T12" i="26"/>
  <c r="B21" i="25"/>
  <c r="D20" i="25"/>
  <c r="D16" i="25"/>
  <c r="B38" i="23"/>
  <c r="D34" i="23"/>
  <c r="D33" i="23"/>
  <c r="D29" i="23"/>
  <c r="D25" i="23"/>
  <c r="H21" i="23"/>
  <c r="D13" i="23"/>
  <c r="B39" i="22"/>
  <c r="H24" i="22"/>
  <c r="H22" i="22"/>
  <c r="H20" i="31"/>
  <c r="B22" i="26"/>
  <c r="H20" i="25"/>
  <c r="H24" i="23"/>
  <c r="B16" i="23"/>
  <c r="P13" i="23"/>
  <c r="D4" i="23"/>
  <c r="B21" i="22"/>
  <c r="T16" i="22"/>
  <c r="D5" i="22"/>
  <c r="T34" i="20"/>
  <c r="T33" i="20"/>
  <c r="T29" i="20"/>
  <c r="T25" i="20"/>
  <c r="B16" i="20"/>
  <c r="D15" i="20"/>
  <c r="T12" i="20"/>
  <c r="B21" i="19"/>
  <c r="D20" i="19"/>
  <c r="D16" i="19"/>
  <c r="B38" i="25"/>
  <c r="T34" i="23"/>
  <c r="D24" i="23"/>
  <c r="T21" i="23"/>
  <c r="P20" i="23"/>
  <c r="B38" i="22"/>
  <c r="B22" i="22"/>
  <c r="P15" i="22"/>
  <c r="H13" i="22"/>
  <c r="D4" i="22"/>
  <c r="T24" i="20"/>
  <c r="T22" i="20"/>
  <c r="P12" i="20"/>
  <c r="T34" i="19"/>
  <c r="T33" i="19"/>
  <c r="T29" i="19"/>
  <c r="T25" i="19"/>
  <c r="B16" i="19"/>
  <c r="D15" i="19"/>
  <c r="T12" i="19"/>
  <c r="D21" i="26"/>
  <c r="P34" i="23"/>
  <c r="H33" i="23"/>
  <c r="H25" i="23"/>
  <c r="P34" i="22"/>
  <c r="P16" i="22"/>
  <c r="D13" i="22"/>
  <c r="P34" i="20"/>
  <c r="P33" i="20"/>
  <c r="P29" i="20"/>
  <c r="P25" i="20"/>
  <c r="T21" i="20"/>
  <c r="T24" i="19"/>
  <c r="T22" i="19"/>
  <c r="P12" i="19"/>
  <c r="H20" i="26"/>
  <c r="D25" i="25"/>
  <c r="B39" i="23"/>
  <c r="T29" i="23"/>
  <c r="P21" i="23"/>
  <c r="T15" i="23"/>
  <c r="H13" i="23"/>
  <c r="H33" i="22"/>
  <c r="H25" i="22"/>
  <c r="B13" i="22"/>
  <c r="P24" i="20"/>
  <c r="P22" i="20"/>
  <c r="T20" i="20"/>
  <c r="T16" i="20"/>
  <c r="T13" i="20"/>
  <c r="P34" i="19"/>
  <c r="P33" i="19"/>
  <c r="P29" i="19"/>
  <c r="P25" i="19"/>
  <c r="T21" i="19"/>
  <c r="B25" i="25"/>
  <c r="H16" i="25"/>
  <c r="P29" i="23"/>
  <c r="B25" i="23"/>
  <c r="H20" i="23"/>
  <c r="B13" i="23"/>
  <c r="D33" i="22"/>
  <c r="D25" i="22"/>
  <c r="T20" i="22"/>
  <c r="H15" i="22"/>
  <c r="P21" i="20"/>
  <c r="T15" i="20"/>
  <c r="P13" i="20"/>
  <c r="H12" i="20"/>
  <c r="P24" i="19"/>
  <c r="P22" i="19"/>
  <c r="T20" i="19"/>
  <c r="T16" i="19"/>
  <c r="T13" i="19"/>
  <c r="D34" i="25"/>
  <c r="P22" i="23"/>
  <c r="D20" i="23"/>
  <c r="T16" i="23"/>
  <c r="P15" i="23"/>
  <c r="P29" i="22"/>
  <c r="T21" i="22"/>
  <c r="P20" i="20"/>
  <c r="P16" i="20"/>
  <c r="D12" i="20"/>
  <c r="P21" i="19"/>
  <c r="T15" i="19"/>
  <c r="P13" i="19"/>
  <c r="H12" i="19"/>
  <c r="P20" i="28"/>
  <c r="D24" i="25"/>
  <c r="H34" i="23"/>
  <c r="T12" i="23"/>
  <c r="H34" i="22"/>
  <c r="T22" i="22"/>
  <c r="P20" i="22"/>
  <c r="D16" i="22"/>
  <c r="D15" i="22"/>
  <c r="T12" i="22"/>
  <c r="H34" i="20"/>
  <c r="H33" i="20"/>
  <c r="H29" i="20"/>
  <c r="H25" i="20"/>
  <c r="P15" i="20"/>
  <c r="D5" i="20"/>
  <c r="P20" i="19"/>
  <c r="P16" i="19"/>
  <c r="D12" i="19"/>
  <c r="P15" i="28"/>
  <c r="B25" i="26"/>
  <c r="H16" i="26"/>
  <c r="D33" i="25"/>
  <c r="D13" i="25"/>
  <c r="P16" i="23"/>
  <c r="D34" i="22"/>
  <c r="P21" i="22"/>
  <c r="B16" i="22"/>
  <c r="P12" i="22"/>
  <c r="B39" i="20"/>
  <c r="H24" i="20"/>
  <c r="H22" i="20"/>
  <c r="H13" i="20"/>
  <c r="D4" i="20"/>
  <c r="H34" i="19"/>
  <c r="H33" i="19"/>
  <c r="H29" i="19"/>
  <c r="H25" i="19"/>
  <c r="P15" i="19"/>
  <c r="D5" i="19"/>
  <c r="D22" i="25"/>
  <c r="B13" i="25"/>
  <c r="H29" i="23"/>
  <c r="P24" i="23"/>
  <c r="B21" i="23"/>
  <c r="T24" i="22"/>
  <c r="P2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H15" i="26"/>
  <c r="P33" i="23"/>
  <c r="P25" i="23"/>
  <c r="D22" i="23"/>
  <c r="H16" i="23"/>
  <c r="D12" i="23"/>
  <c r="D29" i="22"/>
  <c r="P24" i="22"/>
  <c r="H21" i="22"/>
  <c r="D20" i="22"/>
  <c r="P13" i="22"/>
  <c r="H12" i="22"/>
  <c r="B22" i="20"/>
  <c r="D21" i="20"/>
  <c r="H15" i="20"/>
  <c r="B25" i="19"/>
  <c r="D24" i="19"/>
  <c r="D22" i="19"/>
  <c r="H20" i="19"/>
  <c r="H16" i="19"/>
  <c r="B13" i="19"/>
  <c r="D22" i="26"/>
  <c r="B13" i="26"/>
  <c r="D29" i="25"/>
  <c r="T20" i="23"/>
  <c r="D16" i="23"/>
  <c r="T13" i="23"/>
  <c r="D5" i="23"/>
  <c r="P33" i="22"/>
  <c r="P25" i="22"/>
  <c r="D21" i="22"/>
  <c r="T15" i="22"/>
  <c r="D12" i="22"/>
  <c r="B21" i="20"/>
  <c r="D20" i="20"/>
  <c r="D16" i="20"/>
  <c r="B22" i="19"/>
  <c r="D21" i="19"/>
  <c r="H15" i="19"/>
  <c r="H15" i="32"/>
  <c r="H22" i="23"/>
  <c r="B13" i="20"/>
  <c r="B38" i="17"/>
  <c r="D34" i="17"/>
  <c r="D33" i="17"/>
  <c r="D29" i="17"/>
  <c r="D25" i="17"/>
  <c r="H21" i="17"/>
  <c r="D13" i="17"/>
  <c r="B39" i="16"/>
  <c r="H24" i="16"/>
  <c r="H22" i="16"/>
  <c r="H13" i="16"/>
  <c r="D4" i="16"/>
  <c r="B38" i="19"/>
  <c r="B25" i="17"/>
  <c r="D24" i="17"/>
  <c r="D22" i="17"/>
  <c r="H20" i="17"/>
  <c r="H16" i="17"/>
  <c r="B13" i="17"/>
  <c r="B38" i="16"/>
  <c r="D34" i="16"/>
  <c r="D33" i="16"/>
  <c r="D29" i="16"/>
  <c r="H21" i="25"/>
  <c r="B22" i="17"/>
  <c r="D21" i="17"/>
  <c r="H15" i="17"/>
  <c r="B25" i="16"/>
  <c r="D24" i="16"/>
  <c r="D22" i="16"/>
  <c r="H20" i="16"/>
  <c r="H16" i="16"/>
  <c r="B13" i="16"/>
  <c r="D34" i="19"/>
  <c r="B21" i="17"/>
  <c r="D20" i="17"/>
  <c r="D16" i="17"/>
  <c r="B22" i="16"/>
  <c r="D21" i="16"/>
  <c r="H15" i="16"/>
  <c r="D15" i="23"/>
  <c r="B25" i="20"/>
  <c r="D33" i="19"/>
  <c r="D13" i="19"/>
  <c r="T34" i="17"/>
  <c r="T33" i="17"/>
  <c r="T29" i="17"/>
  <c r="T25" i="17"/>
  <c r="B16" i="17"/>
  <c r="D15" i="17"/>
  <c r="T12" i="17"/>
  <c r="B21" i="16"/>
  <c r="D20" i="16"/>
  <c r="D16" i="16"/>
  <c r="H12" i="23"/>
  <c r="T13" i="22"/>
  <c r="D24" i="20"/>
  <c r="T24" i="17"/>
  <c r="T22" i="17"/>
  <c r="P12" i="17"/>
  <c r="T34" i="16"/>
  <c r="T33" i="16"/>
  <c r="T29" i="16"/>
  <c r="T25" i="16"/>
  <c r="B16" i="16"/>
  <c r="D15" i="16"/>
  <c r="T12" i="16"/>
  <c r="D22" i="20"/>
  <c r="D29" i="19"/>
  <c r="P34" i="17"/>
  <c r="P33" i="17"/>
  <c r="P29" i="17"/>
  <c r="P25" i="17"/>
  <c r="T21" i="17"/>
  <c r="T24" i="16"/>
  <c r="T22" i="16"/>
  <c r="P12" i="16"/>
  <c r="T33" i="23"/>
  <c r="H20" i="20"/>
  <c r="D25" i="19"/>
  <c r="P21" i="17"/>
  <c r="T15" i="17"/>
  <c r="P13" i="17"/>
  <c r="H12" i="17"/>
  <c r="P24" i="16"/>
  <c r="P22" i="16"/>
  <c r="T20" i="16"/>
  <c r="T16" i="16"/>
  <c r="T13" i="16"/>
  <c r="T25" i="23"/>
  <c r="H16" i="20"/>
  <c r="H34" i="17"/>
  <c r="H33" i="17"/>
  <c r="H29" i="17"/>
  <c r="H25" i="17"/>
  <c r="P15" i="17"/>
  <c r="D5" i="17"/>
  <c r="D24" i="26"/>
  <c r="H21" i="19"/>
  <c r="B39" i="17"/>
  <c r="H24" i="17"/>
  <c r="H22" i="17"/>
  <c r="H13" i="17"/>
  <c r="D4" i="17"/>
  <c r="H34" i="16"/>
  <c r="H33" i="16"/>
  <c r="H29" i="16"/>
  <c r="H25" i="16"/>
  <c r="P15" i="16"/>
  <c r="D5" i="16"/>
  <c r="D25" i="16"/>
  <c r="P20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16" i="17"/>
  <c r="P33" i="16"/>
  <c r="B22" i="14"/>
  <c r="D21" i="14"/>
  <c r="H15" i="14"/>
  <c r="B25" i="13"/>
  <c r="D24" i="13"/>
  <c r="D22" i="13"/>
  <c r="H20" i="13"/>
  <c r="H16" i="13"/>
  <c r="B13" i="13"/>
  <c r="P20" i="11"/>
  <c r="P16" i="11"/>
  <c r="D12" i="11"/>
  <c r="P21" i="10"/>
  <c r="T15" i="10"/>
  <c r="P13" i="10"/>
  <c r="H12" i="10"/>
  <c r="P16" i="17"/>
  <c r="B21" i="14"/>
  <c r="D20" i="14"/>
  <c r="D16" i="14"/>
  <c r="B22" i="13"/>
  <c r="D21" i="13"/>
  <c r="H15" i="13"/>
  <c r="P24" i="17"/>
  <c r="P13" i="16"/>
  <c r="T34" i="14"/>
  <c r="T33" i="14"/>
  <c r="T29" i="14"/>
  <c r="T25" i="14"/>
  <c r="B16" i="14"/>
  <c r="D15" i="14"/>
  <c r="T12" i="14"/>
  <c r="B21" i="13"/>
  <c r="D20" i="13"/>
  <c r="D16" i="13"/>
  <c r="B39" i="11"/>
  <c r="H24" i="11"/>
  <c r="H22" i="11"/>
  <c r="H13" i="11"/>
  <c r="D4" i="11"/>
  <c r="H34" i="10"/>
  <c r="H33" i="10"/>
  <c r="H29" i="10"/>
  <c r="H25" i="10"/>
  <c r="T24" i="14"/>
  <c r="T22" i="14"/>
  <c r="P12" i="14"/>
  <c r="T34" i="13"/>
  <c r="T33" i="13"/>
  <c r="T29" i="13"/>
  <c r="T25" i="13"/>
  <c r="B16" i="13"/>
  <c r="D15" i="13"/>
  <c r="T12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H29" i="22"/>
  <c r="P22" i="17"/>
  <c r="T13" i="17"/>
  <c r="P29" i="16"/>
  <c r="D13" i="16"/>
  <c r="P34" i="14"/>
  <c r="P33" i="14"/>
  <c r="P29" i="14"/>
  <c r="P25" i="14"/>
  <c r="T21" i="14"/>
  <c r="T24" i="13"/>
  <c r="T22" i="13"/>
  <c r="P12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T21" i="16"/>
  <c r="H12" i="16"/>
  <c r="P21" i="14"/>
  <c r="T15" i="14"/>
  <c r="P13" i="14"/>
  <c r="H12" i="14"/>
  <c r="P24" i="13"/>
  <c r="P22" i="13"/>
  <c r="T20" i="13"/>
  <c r="T16" i="13"/>
  <c r="T13" i="13"/>
  <c r="B21" i="11"/>
  <c r="D20" i="11"/>
  <c r="D16" i="11"/>
  <c r="B22" i="10"/>
  <c r="D21" i="10"/>
  <c r="H15" i="10"/>
  <c r="D12" i="17"/>
  <c r="P21" i="16"/>
  <c r="P16" i="16"/>
  <c r="D12" i="16"/>
  <c r="P20" i="14"/>
  <c r="P16" i="14"/>
  <c r="D12" i="14"/>
  <c r="P21" i="13"/>
  <c r="T15" i="13"/>
  <c r="P13" i="13"/>
  <c r="H12" i="13"/>
  <c r="P20" i="17"/>
  <c r="P25" i="16"/>
  <c r="B39" i="14"/>
  <c r="H24" i="14"/>
  <c r="H22" i="14"/>
  <c r="H13" i="14"/>
  <c r="D4" i="14"/>
  <c r="H34" i="13"/>
  <c r="H33" i="13"/>
  <c r="H29" i="13"/>
  <c r="H25" i="13"/>
  <c r="P15" i="13"/>
  <c r="D5" i="13"/>
  <c r="P34" i="11"/>
  <c r="P33" i="11"/>
  <c r="P29" i="11"/>
  <c r="P25" i="11"/>
  <c r="T21" i="11"/>
  <c r="T24" i="10"/>
  <c r="T22" i="10"/>
  <c r="P12" i="10"/>
  <c r="P34" i="16"/>
  <c r="T15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P24" i="11"/>
  <c r="P22" i="11"/>
  <c r="T20" i="11"/>
  <c r="T16" i="11"/>
  <c r="T13" i="11"/>
  <c r="P34" i="10"/>
  <c r="P33" i="10"/>
  <c r="P29" i="10"/>
  <c r="P25" i="10"/>
  <c r="T21" i="10"/>
  <c r="P34" i="13"/>
  <c r="T34" i="10"/>
  <c r="P22" i="10"/>
  <c r="T20" i="10"/>
  <c r="T16" i="10"/>
  <c r="T13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P24" i="14"/>
  <c r="T25" i="11"/>
  <c r="D20" i="10"/>
  <c r="T22" i="8"/>
  <c r="T33" i="7"/>
  <c r="B16" i="7"/>
  <c r="H33" i="5"/>
  <c r="H25" i="5"/>
  <c r="D5" i="5"/>
  <c r="T20" i="17"/>
  <c r="T12" i="11"/>
  <c r="T25" i="10"/>
  <c r="P20" i="10"/>
  <c r="P16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T21" i="13"/>
  <c r="T24" i="8"/>
  <c r="T34" i="7"/>
  <c r="T25" i="7"/>
  <c r="D15" i="7"/>
  <c r="H34" i="5"/>
  <c r="H29" i="5"/>
  <c r="P15" i="5"/>
  <c r="P16" i="4"/>
  <c r="D12" i="4"/>
  <c r="T16" i="14"/>
  <c r="P33" i="13"/>
  <c r="P12" i="11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D5" i="11"/>
  <c r="D16" i="10"/>
  <c r="P12" i="8"/>
  <c r="T12" i="7"/>
  <c r="P20" i="4"/>
  <c r="H25" i="14"/>
  <c r="T34" i="11"/>
  <c r="T22" i="11"/>
  <c r="B16" i="11"/>
  <c r="H12" i="11"/>
  <c r="T29" i="10"/>
  <c r="D22" i="10"/>
  <c r="H20" i="10"/>
  <c r="H16" i="10"/>
  <c r="B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H21" i="16"/>
  <c r="B25" i="10"/>
  <c r="H34" i="14"/>
  <c r="P15" i="14"/>
  <c r="D12" i="13"/>
  <c r="T15" i="11"/>
  <c r="T33" i="10"/>
  <c r="B16" i="10"/>
  <c r="T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H29" i="11"/>
  <c r="H34" i="8"/>
  <c r="D5" i="8"/>
  <c r="P16" i="7"/>
  <c r="D20" i="5"/>
  <c r="H15" i="4"/>
  <c r="P22" i="14"/>
  <c r="T13" i="14"/>
  <c r="P29" i="13"/>
  <c r="H34" i="11"/>
  <c r="T29" i="11"/>
  <c r="B22" i="11"/>
  <c r="P15" i="11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D5" i="14"/>
  <c r="H29" i="8"/>
  <c r="H25" i="8"/>
  <c r="D12" i="7"/>
  <c r="B21" i="5"/>
  <c r="B22" i="4"/>
  <c r="H33" i="14"/>
  <c r="P20" i="13"/>
  <c r="H25" i="11"/>
  <c r="H15" i="11"/>
  <c r="P24" i="10"/>
  <c r="D12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H33" i="8"/>
  <c r="P15" i="8"/>
  <c r="P20" i="7"/>
  <c r="D21" i="4"/>
  <c r="T33" i="11"/>
  <c r="D15" i="11"/>
  <c r="P15" i="10"/>
  <c r="D5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P21" i="11"/>
  <c r="D24" i="10"/>
  <c r="D16" i="5"/>
  <c r="T20" i="14"/>
  <c r="P25" i="13"/>
  <c r="T24" i="11"/>
  <c r="P13" i="11"/>
  <c r="B21" i="10"/>
  <c r="B39" i="8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H29" i="14"/>
  <c r="P16" i="13"/>
  <c r="H33" i="11"/>
  <c r="D21" i="11"/>
  <c r="D15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T29" i="7"/>
  <c r="Z29" i="7" l="1"/>
  <c r="V21" i="4"/>
  <c r="V20" i="4"/>
  <c r="V18" i="4"/>
  <c r="V16" i="4"/>
  <c r="T18" i="4"/>
  <c r="V15" i="4"/>
  <c r="Z12" i="4"/>
  <c r="V36" i="4"/>
  <c r="V34" i="4"/>
  <c r="V33" i="4"/>
  <c r="V31" i="4"/>
  <c r="V29" i="4"/>
  <c r="V27" i="4"/>
  <c r="V25" i="4"/>
  <c r="V24" i="4"/>
  <c r="V22" i="4"/>
  <c r="L15" i="4"/>
  <c r="Z25" i="4"/>
  <c r="Z29" i="4"/>
  <c r="Z33" i="4"/>
  <c r="Z34" i="4"/>
  <c r="R24" i="5"/>
  <c r="R22" i="5"/>
  <c r="R21" i="5"/>
  <c r="R20" i="5"/>
  <c r="R18" i="5"/>
  <c r="R16" i="5"/>
  <c r="P18" i="5"/>
  <c r="R15" i="5"/>
  <c r="X12" i="5"/>
  <c r="R36" i="5"/>
  <c r="R34" i="5"/>
  <c r="R33" i="5"/>
  <c r="R31" i="5"/>
  <c r="R29" i="5"/>
  <c r="R27" i="5"/>
  <c r="R25" i="5"/>
  <c r="Z22" i="5"/>
  <c r="Z24" i="5"/>
  <c r="N13" i="7"/>
  <c r="N22" i="7"/>
  <c r="N24" i="7"/>
  <c r="L13" i="8"/>
  <c r="N21" i="8"/>
  <c r="L25" i="8"/>
  <c r="L29" i="8"/>
  <c r="L33" i="8"/>
  <c r="L34" i="8"/>
  <c r="L15" i="10"/>
  <c r="L21" i="11"/>
  <c r="N33" i="11"/>
  <c r="X16" i="13"/>
  <c r="N29" i="14"/>
  <c r="L16" i="4"/>
  <c r="L20" i="4"/>
  <c r="V20" i="5"/>
  <c r="V18" i="5"/>
  <c r="V16" i="5"/>
  <c r="T18" i="5"/>
  <c r="V15" i="5"/>
  <c r="V31" i="5"/>
  <c r="V25" i="5"/>
  <c r="V34" i="5"/>
  <c r="V27" i="5"/>
  <c r="V33" i="5"/>
  <c r="Z12" i="5"/>
  <c r="V36" i="5"/>
  <c r="V29" i="5"/>
  <c r="V24" i="5"/>
  <c r="V22" i="5"/>
  <c r="V21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3" i="11"/>
  <c r="Z24" i="11"/>
  <c r="X25" i="13"/>
  <c r="Z20" i="14"/>
  <c r="L16" i="5"/>
  <c r="L24" i="10"/>
  <c r="X21" i="11"/>
  <c r="N16" i="4"/>
  <c r="N20" i="4"/>
  <c r="L22" i="4"/>
  <c r="L24" i="4"/>
  <c r="N15" i="5"/>
  <c r="L21" i="5"/>
  <c r="J20" i="7"/>
  <c r="J18" i="7"/>
  <c r="J16" i="7"/>
  <c r="H18" i="7"/>
  <c r="J15" i="7"/>
  <c r="J34" i="7"/>
  <c r="J27" i="7"/>
  <c r="N12" i="7"/>
  <c r="J36" i="7"/>
  <c r="J31" i="7"/>
  <c r="J25" i="7"/>
  <c r="J29" i="7"/>
  <c r="J33" i="7"/>
  <c r="J24" i="7"/>
  <c r="J22" i="7"/>
  <c r="J21" i="7"/>
  <c r="X13" i="7"/>
  <c r="Z15" i="7"/>
  <c r="X21" i="7"/>
  <c r="F21" i="8"/>
  <c r="F20" i="8"/>
  <c r="F18" i="8"/>
  <c r="F16" i="8"/>
  <c r="D18" i="8"/>
  <c r="F15" i="8"/>
  <c r="L12" i="8"/>
  <c r="F36" i="8"/>
  <c r="F34" i="8"/>
  <c r="F33" i="8"/>
  <c r="F31" i="8"/>
  <c r="F29" i="8"/>
  <c r="F27" i="8"/>
  <c r="F25" i="8"/>
  <c r="F24" i="8"/>
  <c r="F22" i="8"/>
  <c r="X16" i="8"/>
  <c r="X20" i="8"/>
  <c r="X15" i="10"/>
  <c r="L15" i="11"/>
  <c r="Z33" i="11"/>
  <c r="L21" i="4"/>
  <c r="X20" i="7"/>
  <c r="X15" i="8"/>
  <c r="N33" i="8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H18" i="8"/>
  <c r="J15" i="8"/>
  <c r="N12" i="8"/>
  <c r="J24" i="8"/>
  <c r="J22" i="8"/>
  <c r="J36" i="8"/>
  <c r="J34" i="8"/>
  <c r="J33" i="8"/>
  <c r="J31" i="8"/>
  <c r="J29" i="8"/>
  <c r="J27" i="8"/>
  <c r="J25" i="8"/>
  <c r="J21" i="8"/>
  <c r="J20" i="8"/>
  <c r="J18" i="8"/>
  <c r="J16" i="8"/>
  <c r="X13" i="8"/>
  <c r="Z15" i="8"/>
  <c r="X21" i="8"/>
  <c r="F36" i="10"/>
  <c r="F34" i="10"/>
  <c r="F33" i="10"/>
  <c r="F31" i="10"/>
  <c r="F29" i="10"/>
  <c r="F27" i="10"/>
  <c r="F25" i="10"/>
  <c r="F24" i="10"/>
  <c r="F22" i="10"/>
  <c r="F20" i="10"/>
  <c r="F18" i="10"/>
  <c r="F16" i="10"/>
  <c r="L12" i="10"/>
  <c r="F21" i="10"/>
  <c r="D18" i="10"/>
  <c r="F15" i="10"/>
  <c r="X24" i="10"/>
  <c r="N15" i="11"/>
  <c r="N25" i="11"/>
  <c r="X20" i="13"/>
  <c r="N33" i="14"/>
  <c r="F24" i="7"/>
  <c r="F22" i="7"/>
  <c r="F21" i="7"/>
  <c r="F20" i="7"/>
  <c r="F18" i="7"/>
  <c r="F16" i="7"/>
  <c r="D18" i="7"/>
  <c r="F15" i="7"/>
  <c r="L12" i="7"/>
  <c r="F36" i="7"/>
  <c r="F34" i="7"/>
  <c r="F33" i="7"/>
  <c r="F31" i="7"/>
  <c r="F29" i="7"/>
  <c r="F27" i="7"/>
  <c r="F25" i="7"/>
  <c r="N25" i="8"/>
  <c r="N29" i="8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5" i="11"/>
  <c r="Z29" i="11"/>
  <c r="N34" i="11"/>
  <c r="X29" i="13"/>
  <c r="Z13" i="14"/>
  <c r="X22" i="14"/>
  <c r="N15" i="4"/>
  <c r="L20" i="5"/>
  <c r="X16" i="7"/>
  <c r="N34" i="8"/>
  <c r="N29" i="11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P18" i="7"/>
  <c r="R15" i="7"/>
  <c r="R21" i="7"/>
  <c r="R20" i="7"/>
  <c r="R18" i="7"/>
  <c r="R16" i="7"/>
  <c r="Z22" i="7"/>
  <c r="Z24" i="7"/>
  <c r="Z21" i="8"/>
  <c r="X25" i="8"/>
  <c r="X29" i="8"/>
  <c r="X33" i="8"/>
  <c r="X34" i="8"/>
  <c r="Z12" i="10"/>
  <c r="V21" i="10"/>
  <c r="V20" i="10"/>
  <c r="V18" i="10"/>
  <c r="V16" i="10"/>
  <c r="V25" i="10"/>
  <c r="V29" i="10"/>
  <c r="V33" i="10"/>
  <c r="V31" i="10"/>
  <c r="V36" i="10"/>
  <c r="V24" i="10"/>
  <c r="T18" i="10"/>
  <c r="V15" i="10"/>
  <c r="V27" i="10"/>
  <c r="V34" i="10"/>
  <c r="V22" i="10"/>
  <c r="Z33" i="10"/>
  <c r="Z15" i="11"/>
  <c r="F24" i="13"/>
  <c r="F22" i="13"/>
  <c r="F21" i="13"/>
  <c r="F20" i="13"/>
  <c r="F18" i="13"/>
  <c r="F16" i="13"/>
  <c r="D18" i="13"/>
  <c r="F15" i="13"/>
  <c r="L12" i="13"/>
  <c r="F36" i="13"/>
  <c r="F34" i="13"/>
  <c r="F33" i="13"/>
  <c r="F31" i="13"/>
  <c r="F29" i="13"/>
  <c r="F27" i="13"/>
  <c r="F25" i="13"/>
  <c r="X15" i="14"/>
  <c r="N34" i="14"/>
  <c r="N21" i="16"/>
  <c r="J31" i="4"/>
  <c r="N12" i="4"/>
  <c r="J36" i="4"/>
  <c r="J33" i="4"/>
  <c r="J27" i="4"/>
  <c r="J25" i="4"/>
  <c r="J24" i="4"/>
  <c r="J22" i="4"/>
  <c r="J21" i="4"/>
  <c r="J20" i="4"/>
  <c r="J18" i="4"/>
  <c r="J16" i="4"/>
  <c r="H18" i="4"/>
  <c r="J15" i="4"/>
  <c r="J34" i="4"/>
  <c r="J29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15" i="5"/>
  <c r="F21" i="5"/>
  <c r="D18" i="5"/>
  <c r="F20" i="5"/>
  <c r="F18" i="5"/>
  <c r="F16" i="5"/>
  <c r="X16" i="5"/>
  <c r="X20" i="5"/>
  <c r="L16" i="7"/>
  <c r="L20" i="7"/>
  <c r="Z12" i="8"/>
  <c r="V36" i="8"/>
  <c r="V34" i="8"/>
  <c r="V33" i="8"/>
  <c r="V31" i="8"/>
  <c r="V29" i="8"/>
  <c r="V27" i="8"/>
  <c r="V25" i="8"/>
  <c r="V21" i="8"/>
  <c r="V24" i="8"/>
  <c r="V22" i="8"/>
  <c r="V20" i="8"/>
  <c r="V18" i="8"/>
  <c r="V16" i="8"/>
  <c r="T18" i="8"/>
  <c r="V15" i="8"/>
  <c r="L15" i="8"/>
  <c r="Z25" i="8"/>
  <c r="Z29" i="8"/>
  <c r="Z33" i="8"/>
  <c r="Z34" i="8"/>
  <c r="N16" i="10"/>
  <c r="N20" i="10"/>
  <c r="L22" i="10"/>
  <c r="Z29" i="10"/>
  <c r="J36" i="11"/>
  <c r="J34" i="11"/>
  <c r="J33" i="11"/>
  <c r="J31" i="11"/>
  <c r="J29" i="11"/>
  <c r="J27" i="11"/>
  <c r="J25" i="11"/>
  <c r="J21" i="11"/>
  <c r="J20" i="11"/>
  <c r="J18" i="11"/>
  <c r="J16" i="11"/>
  <c r="H18" i="11"/>
  <c r="J15" i="11"/>
  <c r="N12" i="11"/>
  <c r="J24" i="11"/>
  <c r="J22" i="11"/>
  <c r="Z22" i="11"/>
  <c r="Z34" i="11"/>
  <c r="N25" i="14"/>
  <c r="X20" i="4"/>
  <c r="Z12" i="7"/>
  <c r="V24" i="7"/>
  <c r="V36" i="7"/>
  <c r="V34" i="7"/>
  <c r="V33" i="7"/>
  <c r="V31" i="7"/>
  <c r="V29" i="7"/>
  <c r="V27" i="7"/>
  <c r="V25" i="7"/>
  <c r="V21" i="7"/>
  <c r="V20" i="7"/>
  <c r="V18" i="7"/>
  <c r="V16" i="7"/>
  <c r="T18" i="7"/>
  <c r="V15" i="7"/>
  <c r="V22" i="7"/>
  <c r="R36" i="8"/>
  <c r="R31" i="8"/>
  <c r="X12" i="8"/>
  <c r="R33" i="8"/>
  <c r="R29" i="8"/>
  <c r="R27" i="8"/>
  <c r="R24" i="8"/>
  <c r="R22" i="8"/>
  <c r="R21" i="8"/>
  <c r="R20" i="8"/>
  <c r="R18" i="8"/>
  <c r="R16" i="8"/>
  <c r="P18" i="8"/>
  <c r="R15" i="8"/>
  <c r="R34" i="8"/>
  <c r="R25" i="8"/>
  <c r="L16" i="10"/>
  <c r="Z13" i="4"/>
  <c r="Z16" i="4"/>
  <c r="Z20" i="4"/>
  <c r="X22" i="4"/>
  <c r="X24" i="4"/>
  <c r="N12" i="5"/>
  <c r="J22" i="5"/>
  <c r="J36" i="5"/>
  <c r="J34" i="5"/>
  <c r="J33" i="5"/>
  <c r="J31" i="5"/>
  <c r="J29" i="5"/>
  <c r="J27" i="5"/>
  <c r="J25" i="5"/>
  <c r="J21" i="5"/>
  <c r="J20" i="5"/>
  <c r="J18" i="5"/>
  <c r="J16" i="5"/>
  <c r="H18" i="5"/>
  <c r="J15" i="5"/>
  <c r="J24" i="5"/>
  <c r="X13" i="5"/>
  <c r="Z15" i="5"/>
  <c r="X21" i="5"/>
  <c r="N15" i="7"/>
  <c r="L21" i="7"/>
  <c r="L16" i="8"/>
  <c r="L20" i="8"/>
  <c r="P18" i="11"/>
  <c r="R15" i="11"/>
  <c r="X12" i="11"/>
  <c r="R24" i="11"/>
  <c r="R22" i="11"/>
  <c r="R21" i="11"/>
  <c r="R27" i="11"/>
  <c r="R16" i="11"/>
  <c r="R31" i="11"/>
  <c r="R20" i="11"/>
  <c r="R34" i="11"/>
  <c r="R25" i="11"/>
  <c r="R29" i="11"/>
  <c r="R18" i="11"/>
  <c r="R33" i="11"/>
  <c r="R36" i="11"/>
  <c r="X33" i="13"/>
  <c r="Z16" i="14"/>
  <c r="L12" i="4"/>
  <c r="F18" i="4"/>
  <c r="F36" i="4"/>
  <c r="F34" i="4"/>
  <c r="F33" i="4"/>
  <c r="F31" i="4"/>
  <c r="F29" i="4"/>
  <c r="F27" i="4"/>
  <c r="F25" i="4"/>
  <c r="F16" i="4"/>
  <c r="F24" i="4"/>
  <c r="F22" i="4"/>
  <c r="F21" i="4"/>
  <c r="F20" i="4"/>
  <c r="D18" i="4"/>
  <c r="F15" i="4"/>
  <c r="X16" i="4"/>
  <c r="X15" i="5"/>
  <c r="N29" i="5"/>
  <c r="N34" i="5"/>
  <c r="L15" i="7"/>
  <c r="Z25" i="7"/>
  <c r="Z34" i="7"/>
  <c r="Z24" i="8"/>
  <c r="Z21" i="13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X16" i="10"/>
  <c r="X20" i="10"/>
  <c r="Z25" i="10"/>
  <c r="V36" i="11"/>
  <c r="V34" i="11"/>
  <c r="V33" i="11"/>
  <c r="V31" i="11"/>
  <c r="V29" i="11"/>
  <c r="V27" i="11"/>
  <c r="V25" i="11"/>
  <c r="V20" i="11"/>
  <c r="V18" i="11"/>
  <c r="V16" i="11"/>
  <c r="T18" i="11"/>
  <c r="V15" i="11"/>
  <c r="Z12" i="11"/>
  <c r="V22" i="11"/>
  <c r="V24" i="11"/>
  <c r="V21" i="11"/>
  <c r="Z20" i="17"/>
  <c r="N25" i="5"/>
  <c r="N33" i="5"/>
  <c r="Z33" i="7"/>
  <c r="Z22" i="8"/>
  <c r="L20" i="10"/>
  <c r="Z25" i="11"/>
  <c r="X24" i="14"/>
  <c r="R36" i="4"/>
  <c r="R34" i="4"/>
  <c r="R33" i="4"/>
  <c r="R31" i="4"/>
  <c r="R29" i="4"/>
  <c r="R27" i="4"/>
  <c r="R25" i="4"/>
  <c r="R15" i="4"/>
  <c r="R24" i="4"/>
  <c r="R22" i="4"/>
  <c r="R21" i="4"/>
  <c r="R20" i="4"/>
  <c r="R18" i="4"/>
  <c r="R16" i="4"/>
  <c r="X12" i="4"/>
  <c r="P18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3" i="10"/>
  <c r="Z16" i="10"/>
  <c r="Z20" i="10"/>
  <c r="X22" i="10"/>
  <c r="Z34" i="10"/>
  <c r="X34" i="13"/>
  <c r="Z21" i="10"/>
  <c r="X25" i="10"/>
  <c r="X29" i="10"/>
  <c r="X33" i="10"/>
  <c r="X34" i="10"/>
  <c r="Z13" i="11"/>
  <c r="Z16" i="11"/>
  <c r="Z20" i="11"/>
  <c r="X22" i="11"/>
  <c r="X24" i="11"/>
  <c r="N13" i="13"/>
  <c r="N22" i="13"/>
  <c r="N24" i="13"/>
  <c r="L13" i="14"/>
  <c r="N21" i="14"/>
  <c r="L25" i="14"/>
  <c r="L29" i="14"/>
  <c r="L33" i="14"/>
  <c r="L34" i="14"/>
  <c r="Z15" i="16"/>
  <c r="X34" i="16"/>
  <c r="R20" i="10"/>
  <c r="R18" i="10"/>
  <c r="R16" i="10"/>
  <c r="R36" i="10"/>
  <c r="R34" i="10"/>
  <c r="R33" i="10"/>
  <c r="R31" i="10"/>
  <c r="R29" i="10"/>
  <c r="R27" i="10"/>
  <c r="R25" i="10"/>
  <c r="R24" i="10"/>
  <c r="R22" i="10"/>
  <c r="X12" i="10"/>
  <c r="R21" i="10"/>
  <c r="P18" i="10"/>
  <c r="R15" i="10"/>
  <c r="Z22" i="10"/>
  <c r="Z24" i="10"/>
  <c r="Z21" i="11"/>
  <c r="X25" i="11"/>
  <c r="X29" i="11"/>
  <c r="X33" i="11"/>
  <c r="X34" i="11"/>
  <c r="X15" i="13"/>
  <c r="N25" i="13"/>
  <c r="N29" i="13"/>
  <c r="N33" i="13"/>
  <c r="N34" i="13"/>
  <c r="N13" i="14"/>
  <c r="N22" i="14"/>
  <c r="N24" i="14"/>
  <c r="X25" i="16"/>
  <c r="X20" i="17"/>
  <c r="J20" i="13"/>
  <c r="J18" i="13"/>
  <c r="J16" i="13"/>
  <c r="H18" i="13"/>
  <c r="J15" i="13"/>
  <c r="J24" i="13"/>
  <c r="J22" i="13"/>
  <c r="J21" i="13"/>
  <c r="J34" i="13"/>
  <c r="J33" i="13"/>
  <c r="N12" i="13"/>
  <c r="J31" i="13"/>
  <c r="J29" i="13"/>
  <c r="J27" i="13"/>
  <c r="J36" i="13"/>
  <c r="J25" i="13"/>
  <c r="X13" i="13"/>
  <c r="Z15" i="13"/>
  <c r="X21" i="13"/>
  <c r="F21" i="14"/>
  <c r="F20" i="14"/>
  <c r="F18" i="14"/>
  <c r="F16" i="14"/>
  <c r="D18" i="14"/>
  <c r="F15" i="14"/>
  <c r="F36" i="14"/>
  <c r="F34" i="14"/>
  <c r="F33" i="14"/>
  <c r="F31" i="14"/>
  <c r="F29" i="14"/>
  <c r="F27" i="14"/>
  <c r="F25" i="14"/>
  <c r="F24" i="14"/>
  <c r="F22" i="14"/>
  <c r="L12" i="14"/>
  <c r="X16" i="14"/>
  <c r="X20" i="14"/>
  <c r="F36" i="16"/>
  <c r="F34" i="16"/>
  <c r="F33" i="16"/>
  <c r="F31" i="16"/>
  <c r="F29" i="16"/>
  <c r="F27" i="16"/>
  <c r="F25" i="16"/>
  <c r="F21" i="16"/>
  <c r="F20" i="16"/>
  <c r="F18" i="16"/>
  <c r="F16" i="16"/>
  <c r="D18" i="16"/>
  <c r="F15" i="16"/>
  <c r="L12" i="16"/>
  <c r="F24" i="16"/>
  <c r="F22" i="16"/>
  <c r="X16" i="16"/>
  <c r="X21" i="16"/>
  <c r="F24" i="17"/>
  <c r="F22" i="17"/>
  <c r="F21" i="17"/>
  <c r="F20" i="17"/>
  <c r="F18" i="17"/>
  <c r="F16" i="17"/>
  <c r="D18" i="17"/>
  <c r="F15" i="17"/>
  <c r="F36" i="17"/>
  <c r="F34" i="17"/>
  <c r="F33" i="17"/>
  <c r="F31" i="17"/>
  <c r="F29" i="17"/>
  <c r="F27" i="17"/>
  <c r="F25" i="17"/>
  <c r="L12" i="17"/>
  <c r="N15" i="10"/>
  <c r="L21" i="10"/>
  <c r="L16" i="11"/>
  <c r="L20" i="11"/>
  <c r="Z13" i="13"/>
  <c r="Z16" i="13"/>
  <c r="Z20" i="13"/>
  <c r="X22" i="13"/>
  <c r="X24" i="13"/>
  <c r="H18" i="14"/>
  <c r="J15" i="14"/>
  <c r="N12" i="14"/>
  <c r="J36" i="14"/>
  <c r="J34" i="14"/>
  <c r="J33" i="14"/>
  <c r="J31" i="14"/>
  <c r="J29" i="14"/>
  <c r="J27" i="14"/>
  <c r="J25" i="14"/>
  <c r="J21" i="14"/>
  <c r="J20" i="14"/>
  <c r="J18" i="14"/>
  <c r="J16" i="14"/>
  <c r="J24" i="14"/>
  <c r="J22" i="14"/>
  <c r="X13" i="14"/>
  <c r="Z15" i="14"/>
  <c r="X21" i="14"/>
  <c r="J21" i="16"/>
  <c r="H18" i="16"/>
  <c r="J15" i="16"/>
  <c r="J36" i="16"/>
  <c r="J34" i="16"/>
  <c r="J33" i="16"/>
  <c r="J31" i="16"/>
  <c r="J29" i="16"/>
  <c r="J27" i="16"/>
  <c r="J25" i="16"/>
  <c r="J24" i="16"/>
  <c r="J22" i="16"/>
  <c r="J20" i="16"/>
  <c r="J18" i="16"/>
  <c r="N12" i="16"/>
  <c r="J16" i="16"/>
  <c r="Z21" i="16"/>
  <c r="L13" i="10"/>
  <c r="N21" i="10"/>
  <c r="L25" i="10"/>
  <c r="L29" i="10"/>
  <c r="L33" i="10"/>
  <c r="L34" i="10"/>
  <c r="N16" i="11"/>
  <c r="N20" i="11"/>
  <c r="L22" i="11"/>
  <c r="L24" i="11"/>
  <c r="X12" i="13"/>
  <c r="R36" i="13"/>
  <c r="R34" i="13"/>
  <c r="R33" i="13"/>
  <c r="R31" i="13"/>
  <c r="R29" i="13"/>
  <c r="R27" i="13"/>
  <c r="R25" i="13"/>
  <c r="R21" i="13"/>
  <c r="R20" i="13"/>
  <c r="R18" i="13"/>
  <c r="R16" i="13"/>
  <c r="R24" i="13"/>
  <c r="R15" i="13"/>
  <c r="R22" i="13"/>
  <c r="P18" i="13"/>
  <c r="Z22" i="13"/>
  <c r="Z24" i="13"/>
  <c r="Z21" i="14"/>
  <c r="X25" i="14"/>
  <c r="X29" i="14"/>
  <c r="X33" i="14"/>
  <c r="X34" i="14"/>
  <c r="L13" i="16"/>
  <c r="X29" i="16"/>
  <c r="Z13" i="17"/>
  <c r="X22" i="17"/>
  <c r="N29" i="22"/>
  <c r="N13" i="10"/>
  <c r="N22" i="10"/>
  <c r="N24" i="10"/>
  <c r="L13" i="11"/>
  <c r="N21" i="11"/>
  <c r="L25" i="11"/>
  <c r="L29" i="11"/>
  <c r="L33" i="11"/>
  <c r="L34" i="11"/>
  <c r="Z12" i="13"/>
  <c r="V36" i="13"/>
  <c r="V34" i="13"/>
  <c r="V33" i="13"/>
  <c r="V31" i="13"/>
  <c r="V29" i="13"/>
  <c r="V27" i="13"/>
  <c r="V25" i="13"/>
  <c r="V24" i="13"/>
  <c r="V22" i="13"/>
  <c r="V21" i="13"/>
  <c r="T18" i="13"/>
  <c r="V15" i="13"/>
  <c r="V20" i="13"/>
  <c r="V18" i="13"/>
  <c r="V16" i="13"/>
  <c r="L15" i="13"/>
  <c r="Z25" i="13"/>
  <c r="Z29" i="13"/>
  <c r="Z33" i="13"/>
  <c r="Z34" i="13"/>
  <c r="X12" i="14"/>
  <c r="R36" i="14"/>
  <c r="R34" i="14"/>
  <c r="R33" i="14"/>
  <c r="R31" i="14"/>
  <c r="R29" i="14"/>
  <c r="R27" i="14"/>
  <c r="R25" i="14"/>
  <c r="R24" i="14"/>
  <c r="R22" i="14"/>
  <c r="R20" i="14"/>
  <c r="R18" i="14"/>
  <c r="R16" i="14"/>
  <c r="P18" i="14"/>
  <c r="R15" i="14"/>
  <c r="R21" i="14"/>
  <c r="Z22" i="14"/>
  <c r="Z24" i="14"/>
  <c r="N25" i="10"/>
  <c r="N29" i="10"/>
  <c r="N33" i="10"/>
  <c r="N34" i="10"/>
  <c r="N13" i="11"/>
  <c r="N22" i="11"/>
  <c r="N24" i="11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X13" i="16"/>
  <c r="X24" i="17"/>
  <c r="N15" i="13"/>
  <c r="L21" i="13"/>
  <c r="L16" i="14"/>
  <c r="L20" i="14"/>
  <c r="X16" i="17"/>
  <c r="J24" i="10"/>
  <c r="J21" i="10"/>
  <c r="J20" i="10"/>
  <c r="J18" i="10"/>
  <c r="J16" i="10"/>
  <c r="N12" i="10"/>
  <c r="J31" i="10"/>
  <c r="J34" i="10"/>
  <c r="J22" i="10"/>
  <c r="J25" i="10"/>
  <c r="J29" i="10"/>
  <c r="H18" i="10"/>
  <c r="J33" i="10"/>
  <c r="J36" i="10"/>
  <c r="J15" i="10"/>
  <c r="J27" i="10"/>
  <c r="X13" i="10"/>
  <c r="Z15" i="10"/>
  <c r="X21" i="10"/>
  <c r="F36" i="11"/>
  <c r="F34" i="11"/>
  <c r="F33" i="11"/>
  <c r="F31" i="11"/>
  <c r="F29" i="11"/>
  <c r="F27" i="11"/>
  <c r="F25" i="11"/>
  <c r="F24" i="11"/>
  <c r="F22" i="11"/>
  <c r="F21" i="11"/>
  <c r="D18" i="11"/>
  <c r="F15" i="11"/>
  <c r="L12" i="11"/>
  <c r="F16" i="11"/>
  <c r="F20" i="11"/>
  <c r="F18" i="11"/>
  <c r="X16" i="11"/>
  <c r="X20" i="11"/>
  <c r="N16" i="13"/>
  <c r="N20" i="13"/>
  <c r="L22" i="13"/>
  <c r="L24" i="13"/>
  <c r="N15" i="14"/>
  <c r="L21" i="14"/>
  <c r="X33" i="16"/>
  <c r="Z16" i="17"/>
  <c r="L13" i="13"/>
  <c r="N21" i="13"/>
  <c r="L25" i="13"/>
  <c r="L29" i="13"/>
  <c r="L33" i="13"/>
  <c r="L34" i="13"/>
  <c r="N16" i="14"/>
  <c r="N20" i="14"/>
  <c r="L22" i="14"/>
  <c r="L24" i="14"/>
  <c r="X20" i="16"/>
  <c r="L25" i="16"/>
  <c r="X15" i="16"/>
  <c r="N25" i="16"/>
  <c r="N29" i="16"/>
  <c r="N33" i="16"/>
  <c r="N34" i="16"/>
  <c r="N13" i="17"/>
  <c r="N22" i="17"/>
  <c r="N24" i="17"/>
  <c r="N21" i="19"/>
  <c r="L24" i="26"/>
  <c r="X15" i="17"/>
  <c r="N25" i="17"/>
  <c r="N29" i="17"/>
  <c r="N33" i="17"/>
  <c r="N34" i="17"/>
  <c r="N16" i="20"/>
  <c r="Z25" i="23"/>
  <c r="Z13" i="16"/>
  <c r="Z16" i="16"/>
  <c r="Z20" i="16"/>
  <c r="X22" i="16"/>
  <c r="X24" i="16"/>
  <c r="J20" i="17"/>
  <c r="J18" i="17"/>
  <c r="J16" i="17"/>
  <c r="H18" i="17"/>
  <c r="J15" i="17"/>
  <c r="N12" i="17"/>
  <c r="J24" i="17"/>
  <c r="J22" i="17"/>
  <c r="J21" i="17"/>
  <c r="J27" i="17"/>
  <c r="J36" i="17"/>
  <c r="J25" i="17"/>
  <c r="J34" i="17"/>
  <c r="J33" i="17"/>
  <c r="J31" i="17"/>
  <c r="J29" i="17"/>
  <c r="X13" i="17"/>
  <c r="Z15" i="17"/>
  <c r="X21" i="17"/>
  <c r="L25" i="19"/>
  <c r="N20" i="20"/>
  <c r="Z33" i="23"/>
  <c r="X12" i="16"/>
  <c r="R36" i="16"/>
  <c r="R34" i="16"/>
  <c r="R33" i="16"/>
  <c r="R31" i="16"/>
  <c r="R29" i="16"/>
  <c r="R27" i="16"/>
  <c r="R25" i="16"/>
  <c r="R21" i="16"/>
  <c r="R15" i="16"/>
  <c r="R24" i="16"/>
  <c r="R18" i="16"/>
  <c r="R22" i="16"/>
  <c r="P18" i="16"/>
  <c r="R16" i="16"/>
  <c r="R20" i="16"/>
  <c r="Z22" i="16"/>
  <c r="Z24" i="16"/>
  <c r="Z21" i="17"/>
  <c r="X25" i="17"/>
  <c r="X29" i="17"/>
  <c r="X33" i="17"/>
  <c r="X34" i="17"/>
  <c r="L29" i="19"/>
  <c r="L22" i="20"/>
  <c r="Z12" i="16"/>
  <c r="V36" i="16"/>
  <c r="V34" i="16"/>
  <c r="V33" i="16"/>
  <c r="V31" i="16"/>
  <c r="V29" i="16"/>
  <c r="V27" i="16"/>
  <c r="V25" i="16"/>
  <c r="V24" i="16"/>
  <c r="V22" i="16"/>
  <c r="V21" i="16"/>
  <c r="T18" i="16"/>
  <c r="V15" i="16"/>
  <c r="V18" i="16"/>
  <c r="V16" i="16"/>
  <c r="V20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0" i="17"/>
  <c r="R18" i="17"/>
  <c r="R16" i="17"/>
  <c r="P18" i="17"/>
  <c r="R15" i="17"/>
  <c r="R21" i="17"/>
  <c r="Z22" i="17"/>
  <c r="Z24" i="17"/>
  <c r="L24" i="20"/>
  <c r="Z13" i="22"/>
  <c r="J20" i="23"/>
  <c r="J18" i="23"/>
  <c r="J16" i="23"/>
  <c r="J33" i="23"/>
  <c r="J25" i="23"/>
  <c r="H18" i="23"/>
  <c r="J27" i="23"/>
  <c r="J34" i="23"/>
  <c r="J21" i="23"/>
  <c r="J29" i="23"/>
  <c r="J15" i="23"/>
  <c r="N12" i="23"/>
  <c r="J22" i="23"/>
  <c r="J31" i="23"/>
  <c r="J24" i="23"/>
  <c r="J36" i="23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V15" i="17"/>
  <c r="T18" i="17"/>
  <c r="L15" i="17"/>
  <c r="Z25" i="17"/>
  <c r="Z29" i="17"/>
  <c r="Z33" i="17"/>
  <c r="Z34" i="17"/>
  <c r="L13" i="19"/>
  <c r="L33" i="19"/>
  <c r="L15" i="23"/>
  <c r="N15" i="16"/>
  <c r="L21" i="16"/>
  <c r="L16" i="17"/>
  <c r="L20" i="17"/>
  <c r="L34" i="19"/>
  <c r="N16" i="16"/>
  <c r="N20" i="16"/>
  <c r="L22" i="16"/>
  <c r="L24" i="16"/>
  <c r="N15" i="17"/>
  <c r="L21" i="17"/>
  <c r="N21" i="25"/>
  <c r="L29" i="16"/>
  <c r="L33" i="16"/>
  <c r="L34" i="16"/>
  <c r="N16" i="17"/>
  <c r="N20" i="17"/>
  <c r="L22" i="17"/>
  <c r="L24" i="17"/>
  <c r="N13" i="16"/>
  <c r="N22" i="16"/>
  <c r="N24" i="16"/>
  <c r="L13" i="17"/>
  <c r="N21" i="17"/>
  <c r="L25" i="17"/>
  <c r="L29" i="17"/>
  <c r="L33" i="17"/>
  <c r="L34" i="17"/>
  <c r="N22" i="23"/>
  <c r="N15" i="32"/>
  <c r="N15" i="19"/>
  <c r="L21" i="19"/>
  <c r="L16" i="20"/>
  <c r="L20" i="20"/>
  <c r="F21" i="22"/>
  <c r="F36" i="22"/>
  <c r="F34" i="22"/>
  <c r="F33" i="22"/>
  <c r="F31" i="22"/>
  <c r="F29" i="22"/>
  <c r="F27" i="22"/>
  <c r="F25" i="22"/>
  <c r="F22" i="22"/>
  <c r="F24" i="22"/>
  <c r="F16" i="22"/>
  <c r="F15" i="22"/>
  <c r="F18" i="22"/>
  <c r="D18" i="22"/>
  <c r="F20" i="22"/>
  <c r="L12" i="22"/>
  <c r="Z15" i="22"/>
  <c r="L21" i="22"/>
  <c r="X25" i="22"/>
  <c r="X33" i="22"/>
  <c r="Z13" i="23"/>
  <c r="L16" i="23"/>
  <c r="Z20" i="23"/>
  <c r="L29" i="25"/>
  <c r="L22" i="26"/>
  <c r="N16" i="19"/>
  <c r="N20" i="19"/>
  <c r="L22" i="19"/>
  <c r="L24" i="19"/>
  <c r="N15" i="20"/>
  <c r="L21" i="20"/>
  <c r="H18" i="22"/>
  <c r="J15" i="22"/>
  <c r="J21" i="22"/>
  <c r="J24" i="22"/>
  <c r="J33" i="22"/>
  <c r="J25" i="22"/>
  <c r="J16" i="22"/>
  <c r="J34" i="22"/>
  <c r="J27" i="22"/>
  <c r="J18" i="22"/>
  <c r="J36" i="22"/>
  <c r="J29" i="22"/>
  <c r="J20" i="22"/>
  <c r="N12" i="22"/>
  <c r="J31" i="22"/>
  <c r="J22" i="22"/>
  <c r="X13" i="22"/>
  <c r="L20" i="22"/>
  <c r="N21" i="22"/>
  <c r="X24" i="22"/>
  <c r="L29" i="22"/>
  <c r="F20" i="23"/>
  <c r="F18" i="23"/>
  <c r="F16" i="23"/>
  <c r="F24" i="23"/>
  <c r="F22" i="23"/>
  <c r="F31" i="23"/>
  <c r="D18" i="23"/>
  <c r="F33" i="23"/>
  <c r="F25" i="23"/>
  <c r="F27" i="23"/>
  <c r="F34" i="23"/>
  <c r="F21" i="23"/>
  <c r="F15" i="23"/>
  <c r="L12" i="23"/>
  <c r="F36" i="23"/>
  <c r="F29" i="23"/>
  <c r="N16" i="23"/>
  <c r="L22" i="23"/>
  <c r="X25" i="23"/>
  <c r="X33" i="23"/>
  <c r="N15" i="26"/>
  <c r="N13" i="19"/>
  <c r="N22" i="19"/>
  <c r="N24" i="19"/>
  <c r="L13" i="20"/>
  <c r="N21" i="20"/>
  <c r="L25" i="20"/>
  <c r="L29" i="20"/>
  <c r="L33" i="20"/>
  <c r="L34" i="20"/>
  <c r="X22" i="22"/>
  <c r="Z24" i="22"/>
  <c r="X24" i="23"/>
  <c r="N29" i="23"/>
  <c r="L22" i="25"/>
  <c r="X15" i="19"/>
  <c r="N25" i="19"/>
  <c r="N29" i="19"/>
  <c r="N33" i="19"/>
  <c r="N34" i="19"/>
  <c r="N13" i="20"/>
  <c r="N22" i="20"/>
  <c r="N24" i="20"/>
  <c r="R15" i="22"/>
  <c r="R34" i="22"/>
  <c r="R27" i="22"/>
  <c r="R16" i="22"/>
  <c r="R18" i="22"/>
  <c r="R36" i="22"/>
  <c r="R29" i="22"/>
  <c r="P18" i="22"/>
  <c r="R20" i="22"/>
  <c r="X12" i="22"/>
  <c r="R21" i="22"/>
  <c r="R31" i="22"/>
  <c r="R22" i="22"/>
  <c r="R33" i="22"/>
  <c r="R25" i="22"/>
  <c r="R24" i="22"/>
  <c r="X21" i="22"/>
  <c r="L34" i="22"/>
  <c r="X16" i="23"/>
  <c r="L13" i="25"/>
  <c r="L33" i="25"/>
  <c r="N16" i="26"/>
  <c r="X15" i="28"/>
  <c r="D18" i="19"/>
  <c r="F15" i="19"/>
  <c r="L12" i="19"/>
  <c r="F36" i="19"/>
  <c r="F34" i="19"/>
  <c r="F33" i="19"/>
  <c r="F31" i="19"/>
  <c r="F29" i="19"/>
  <c r="F27" i="19"/>
  <c r="F25" i="19"/>
  <c r="F21" i="19"/>
  <c r="F20" i="19"/>
  <c r="F18" i="19"/>
  <c r="F16" i="19"/>
  <c r="F22" i="19"/>
  <c r="F24" i="19"/>
  <c r="X16" i="19"/>
  <c r="X20" i="19"/>
  <c r="X15" i="20"/>
  <c r="N25" i="20"/>
  <c r="N29" i="20"/>
  <c r="N33" i="20"/>
  <c r="N34" i="20"/>
  <c r="V34" i="22"/>
  <c r="V27" i="22"/>
  <c r="V18" i="22"/>
  <c r="T18" i="22"/>
  <c r="V36" i="22"/>
  <c r="V29" i="22"/>
  <c r="V20" i="22"/>
  <c r="V21" i="22"/>
  <c r="Z12" i="22"/>
  <c r="V22" i="22"/>
  <c r="V31" i="22"/>
  <c r="V24" i="22"/>
  <c r="V15" i="22"/>
  <c r="V16" i="22"/>
  <c r="V33" i="22"/>
  <c r="V25" i="22"/>
  <c r="L15" i="22"/>
  <c r="L16" i="22"/>
  <c r="X20" i="22"/>
  <c r="Z22" i="22"/>
  <c r="N34" i="22"/>
  <c r="Z12" i="23"/>
  <c r="V36" i="23"/>
  <c r="V34" i="23"/>
  <c r="V33" i="23"/>
  <c r="V21" i="23"/>
  <c r="V29" i="23"/>
  <c r="V15" i="23"/>
  <c r="V22" i="23"/>
  <c r="V16" i="23"/>
  <c r="V31" i="23"/>
  <c r="V24" i="23"/>
  <c r="V18" i="23"/>
  <c r="V25" i="23"/>
  <c r="T18" i="23"/>
  <c r="V20" i="23"/>
  <c r="V27" i="23"/>
  <c r="N34" i="23"/>
  <c r="L24" i="25"/>
  <c r="X20" i="28"/>
  <c r="N12" i="19"/>
  <c r="J36" i="19"/>
  <c r="J34" i="19"/>
  <c r="J33" i="19"/>
  <c r="J31" i="19"/>
  <c r="J29" i="19"/>
  <c r="J27" i="19"/>
  <c r="J25" i="19"/>
  <c r="J24" i="19"/>
  <c r="J22" i="19"/>
  <c r="J21" i="19"/>
  <c r="H18" i="19"/>
  <c r="J15" i="19"/>
  <c r="J20" i="19"/>
  <c r="J18" i="19"/>
  <c r="J16" i="19"/>
  <c r="X13" i="19"/>
  <c r="Z15" i="19"/>
  <c r="X21" i="19"/>
  <c r="L12" i="20"/>
  <c r="F36" i="20"/>
  <c r="F34" i="20"/>
  <c r="F33" i="20"/>
  <c r="F31" i="20"/>
  <c r="F29" i="20"/>
  <c r="F27" i="20"/>
  <c r="F25" i="20"/>
  <c r="F24" i="20"/>
  <c r="F22" i="20"/>
  <c r="F20" i="20"/>
  <c r="F18" i="20"/>
  <c r="F16" i="20"/>
  <c r="D18" i="20"/>
  <c r="F15" i="20"/>
  <c r="F21" i="20"/>
  <c r="X16" i="20"/>
  <c r="X20" i="20"/>
  <c r="Z21" i="22"/>
  <c r="X29" i="22"/>
  <c r="X15" i="23"/>
  <c r="Z16" i="23"/>
  <c r="L20" i="23"/>
  <c r="X22" i="23"/>
  <c r="L34" i="25"/>
  <c r="Z13" i="19"/>
  <c r="Z16" i="19"/>
  <c r="Z20" i="19"/>
  <c r="X22" i="19"/>
  <c r="X24" i="19"/>
  <c r="N12" i="20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J15" i="20"/>
  <c r="H18" i="20"/>
  <c r="X13" i="20"/>
  <c r="Z15" i="20"/>
  <c r="X21" i="20"/>
  <c r="N15" i="22"/>
  <c r="Z20" i="22"/>
  <c r="L25" i="22"/>
  <c r="L33" i="22"/>
  <c r="N20" i="23"/>
  <c r="X29" i="23"/>
  <c r="N16" i="25"/>
  <c r="Z21" i="19"/>
  <c r="X25" i="19"/>
  <c r="X29" i="19"/>
  <c r="X33" i="19"/>
  <c r="X34" i="19"/>
  <c r="Z13" i="20"/>
  <c r="Z16" i="20"/>
  <c r="Z20" i="20"/>
  <c r="X22" i="20"/>
  <c r="X24" i="20"/>
  <c r="N25" i="22"/>
  <c r="N33" i="22"/>
  <c r="N13" i="23"/>
  <c r="Z15" i="23"/>
  <c r="X21" i="23"/>
  <c r="Z29" i="23"/>
  <c r="L25" i="25"/>
  <c r="N20" i="26"/>
  <c r="X12" i="19"/>
  <c r="R36" i="19"/>
  <c r="R34" i="19"/>
  <c r="R33" i="19"/>
  <c r="R31" i="19"/>
  <c r="R29" i="19"/>
  <c r="R27" i="19"/>
  <c r="R25" i="19"/>
  <c r="R24" i="19"/>
  <c r="R22" i="19"/>
  <c r="R21" i="19"/>
  <c r="R20" i="19"/>
  <c r="R18" i="19"/>
  <c r="R16" i="19"/>
  <c r="P18" i="19"/>
  <c r="R15" i="19"/>
  <c r="Z22" i="19"/>
  <c r="Z24" i="19"/>
  <c r="Z21" i="20"/>
  <c r="X25" i="20"/>
  <c r="X29" i="20"/>
  <c r="X33" i="20"/>
  <c r="X34" i="20"/>
  <c r="L13" i="22"/>
  <c r="X16" i="22"/>
  <c r="X34" i="22"/>
  <c r="N25" i="23"/>
  <c r="N33" i="23"/>
  <c r="X34" i="23"/>
  <c r="L21" i="26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T18" i="19"/>
  <c r="V15" i="19"/>
  <c r="Z12" i="19"/>
  <c r="L15" i="19"/>
  <c r="Z25" i="19"/>
  <c r="Z29" i="19"/>
  <c r="Z33" i="19"/>
  <c r="Z34" i="19"/>
  <c r="R36" i="20"/>
  <c r="R34" i="20"/>
  <c r="R33" i="20"/>
  <c r="R31" i="20"/>
  <c r="R29" i="20"/>
  <c r="R27" i="20"/>
  <c r="R25" i="20"/>
  <c r="R24" i="20"/>
  <c r="R22" i="20"/>
  <c r="R21" i="20"/>
  <c r="R20" i="20"/>
  <c r="R18" i="20"/>
  <c r="R16" i="20"/>
  <c r="P18" i="20"/>
  <c r="R15" i="20"/>
  <c r="X12" i="20"/>
  <c r="Z22" i="20"/>
  <c r="Z24" i="20"/>
  <c r="N13" i="22"/>
  <c r="X15" i="22"/>
  <c r="X20" i="23"/>
  <c r="Z21" i="23"/>
  <c r="L24" i="23"/>
  <c r="Z34" i="23"/>
  <c r="L16" i="19"/>
  <c r="L20" i="19"/>
  <c r="V24" i="20"/>
  <c r="V22" i="20"/>
  <c r="V21" i="20"/>
  <c r="V20" i="20"/>
  <c r="V18" i="20"/>
  <c r="V16" i="20"/>
  <c r="T18" i="20"/>
  <c r="V15" i="20"/>
  <c r="Z12" i="20"/>
  <c r="V36" i="20"/>
  <c r="V34" i="20"/>
  <c r="V33" i="20"/>
  <c r="V31" i="20"/>
  <c r="V29" i="20"/>
  <c r="V27" i="20"/>
  <c r="V25" i="20"/>
  <c r="L15" i="20"/>
  <c r="Z25" i="20"/>
  <c r="Z29" i="20"/>
  <c r="Z33" i="20"/>
  <c r="Z34" i="20"/>
  <c r="Z16" i="22"/>
  <c r="X13" i="23"/>
  <c r="N24" i="23"/>
  <c r="N20" i="25"/>
  <c r="N20" i="31"/>
  <c r="N22" i="22"/>
  <c r="N24" i="22"/>
  <c r="L13" i="23"/>
  <c r="N21" i="23"/>
  <c r="L25" i="23"/>
  <c r="L29" i="23"/>
  <c r="L33" i="23"/>
  <c r="L34" i="23"/>
  <c r="L16" i="25"/>
  <c r="L20" i="25"/>
  <c r="V21" i="26"/>
  <c r="V20" i="26"/>
  <c r="V18" i="26"/>
  <c r="V16" i="26"/>
  <c r="T18" i="26"/>
  <c r="V15" i="26"/>
  <c r="V36" i="26"/>
  <c r="V34" i="26"/>
  <c r="V33" i="26"/>
  <c r="V31" i="26"/>
  <c r="V29" i="26"/>
  <c r="V27" i="26"/>
  <c r="V25" i="26"/>
  <c r="V24" i="26"/>
  <c r="V22" i="26"/>
  <c r="Z12" i="26"/>
  <c r="L15" i="26"/>
  <c r="Z25" i="26"/>
  <c r="Z29" i="26"/>
  <c r="Z33" i="26"/>
  <c r="Z34" i="26"/>
  <c r="Z24" i="28"/>
  <c r="X25" i="29"/>
  <c r="N16" i="31"/>
  <c r="N15" i="25"/>
  <c r="L21" i="25"/>
  <c r="L16" i="26"/>
  <c r="L20" i="26"/>
  <c r="N25" i="28"/>
  <c r="N33" i="28"/>
  <c r="N13" i="29"/>
  <c r="N13" i="25"/>
  <c r="N22" i="25"/>
  <c r="N24" i="25"/>
  <c r="L13" i="26"/>
  <c r="N21" i="26"/>
  <c r="L25" i="26"/>
  <c r="L29" i="26"/>
  <c r="L33" i="26"/>
  <c r="L34" i="26"/>
  <c r="N34" i="28"/>
  <c r="X29" i="29"/>
  <c r="L22" i="31"/>
  <c r="X15" i="25"/>
  <c r="N25" i="25"/>
  <c r="N29" i="25"/>
  <c r="N33" i="25"/>
  <c r="N34" i="25"/>
  <c r="N13" i="26"/>
  <c r="N22" i="26"/>
  <c r="N24" i="26"/>
  <c r="X15" i="29"/>
  <c r="L24" i="31"/>
  <c r="L12" i="25"/>
  <c r="F36" i="25"/>
  <c r="F34" i="25"/>
  <c r="F33" i="25"/>
  <c r="F31" i="25"/>
  <c r="F29" i="25"/>
  <c r="F27" i="25"/>
  <c r="F25" i="25"/>
  <c r="F20" i="25"/>
  <c r="F18" i="25"/>
  <c r="F16" i="25"/>
  <c r="D18" i="25"/>
  <c r="F15" i="25"/>
  <c r="F24" i="25"/>
  <c r="F22" i="25"/>
  <c r="F21" i="25"/>
  <c r="X16" i="25"/>
  <c r="X20" i="25"/>
  <c r="X15" i="26"/>
  <c r="N25" i="26"/>
  <c r="N29" i="26"/>
  <c r="N33" i="26"/>
  <c r="N34" i="26"/>
  <c r="Z21" i="29"/>
  <c r="Z25" i="22"/>
  <c r="Z29" i="22"/>
  <c r="Z33" i="22"/>
  <c r="Z34" i="22"/>
  <c r="R36" i="23"/>
  <c r="R34" i="23"/>
  <c r="R33" i="23"/>
  <c r="R31" i="23"/>
  <c r="R29" i="23"/>
  <c r="R27" i="23"/>
  <c r="R25" i="23"/>
  <c r="R20" i="23"/>
  <c r="R21" i="23"/>
  <c r="R22" i="23"/>
  <c r="R15" i="23"/>
  <c r="X12" i="23"/>
  <c r="R16" i="23"/>
  <c r="R24" i="23"/>
  <c r="P18" i="23"/>
  <c r="R18" i="23"/>
  <c r="Z22" i="23"/>
  <c r="Z24" i="23"/>
  <c r="N12" i="25"/>
  <c r="J36" i="25"/>
  <c r="J34" i="25"/>
  <c r="J33" i="25"/>
  <c r="J31" i="25"/>
  <c r="J29" i="25"/>
  <c r="J27" i="25"/>
  <c r="J25" i="25"/>
  <c r="J24" i="25"/>
  <c r="J22" i="25"/>
  <c r="J21" i="25"/>
  <c r="J18" i="25"/>
  <c r="H18" i="25"/>
  <c r="J16" i="25"/>
  <c r="J15" i="25"/>
  <c r="J20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D18" i="26"/>
  <c r="F15" i="26"/>
  <c r="F21" i="26"/>
  <c r="F20" i="26"/>
  <c r="F18" i="26"/>
  <c r="F16" i="26"/>
  <c r="X16" i="26"/>
  <c r="X20" i="26"/>
  <c r="N29" i="28"/>
  <c r="N22" i="29"/>
  <c r="L21" i="32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X13" i="26"/>
  <c r="Z15" i="26"/>
  <c r="X21" i="26"/>
  <c r="F36" i="28"/>
  <c r="F34" i="28"/>
  <c r="F33" i="28"/>
  <c r="F31" i="28"/>
  <c r="F29" i="28"/>
  <c r="F27" i="28"/>
  <c r="F25" i="28"/>
  <c r="F24" i="28"/>
  <c r="F22" i="28"/>
  <c r="F21" i="28"/>
  <c r="F20" i="28"/>
  <c r="F18" i="28"/>
  <c r="F16" i="28"/>
  <c r="D18" i="28"/>
  <c r="F15" i="28"/>
  <c r="L12" i="28"/>
  <c r="X16" i="28"/>
  <c r="X33" i="29"/>
  <c r="Z21" i="25"/>
  <c r="X25" i="25"/>
  <c r="X29" i="25"/>
  <c r="X33" i="25"/>
  <c r="X34" i="25"/>
  <c r="Z13" i="26"/>
  <c r="Z16" i="26"/>
  <c r="Z20" i="26"/>
  <c r="X22" i="26"/>
  <c r="X24" i="26"/>
  <c r="Z22" i="28"/>
  <c r="N24" i="29"/>
  <c r="N16" i="22"/>
  <c r="N20" i="22"/>
  <c r="L22" i="22"/>
  <c r="L24" i="22"/>
  <c r="N15" i="23"/>
  <c r="L21" i="23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P18" i="25"/>
  <c r="R15" i="25"/>
  <c r="X12" i="25"/>
  <c r="Z22" i="25"/>
  <c r="Z24" i="25"/>
  <c r="Z21" i="26"/>
  <c r="X25" i="26"/>
  <c r="X29" i="26"/>
  <c r="X33" i="26"/>
  <c r="X34" i="26"/>
  <c r="X12" i="28"/>
  <c r="R24" i="28"/>
  <c r="R22" i="28"/>
  <c r="R21" i="28"/>
  <c r="R20" i="28"/>
  <c r="R18" i="28"/>
  <c r="R16" i="28"/>
  <c r="P18" i="28"/>
  <c r="R36" i="28"/>
  <c r="R29" i="28"/>
  <c r="R34" i="28"/>
  <c r="R27" i="28"/>
  <c r="R15" i="28"/>
  <c r="R31" i="28"/>
  <c r="R33" i="28"/>
  <c r="R25" i="28"/>
  <c r="X34" i="29"/>
  <c r="V24" i="25"/>
  <c r="V22" i="25"/>
  <c r="V21" i="25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N25" i="29"/>
  <c r="N29" i="29"/>
  <c r="N33" i="29"/>
  <c r="N34" i="29"/>
  <c r="L13" i="31"/>
  <c r="N21" i="31"/>
  <c r="L25" i="31"/>
  <c r="L29" i="31"/>
  <c r="L33" i="31"/>
  <c r="L34" i="31"/>
  <c r="N16" i="32"/>
  <c r="N20" i="32"/>
  <c r="L22" i="32"/>
  <c r="L24" i="32"/>
  <c r="L20" i="35"/>
  <c r="J21" i="28"/>
  <c r="J20" i="28"/>
  <c r="J18" i="28"/>
  <c r="J16" i="28"/>
  <c r="H18" i="28"/>
  <c r="J15" i="28"/>
  <c r="J31" i="28"/>
  <c r="J24" i="28"/>
  <c r="N12" i="28"/>
  <c r="J36" i="28"/>
  <c r="J29" i="28"/>
  <c r="J22" i="28"/>
  <c r="J34" i="28"/>
  <c r="J27" i="28"/>
  <c r="J33" i="28"/>
  <c r="J25" i="28"/>
  <c r="X13" i="28"/>
  <c r="Z15" i="28"/>
  <c r="X21" i="28"/>
  <c r="F24" i="29"/>
  <c r="F22" i="29"/>
  <c r="F21" i="29"/>
  <c r="F20" i="29"/>
  <c r="F18" i="29"/>
  <c r="F16" i="29"/>
  <c r="D18" i="29"/>
  <c r="F15" i="29"/>
  <c r="L12" i="29"/>
  <c r="F36" i="29"/>
  <c r="F25" i="29"/>
  <c r="F34" i="29"/>
  <c r="F33" i="29"/>
  <c r="F31" i="29"/>
  <c r="F27" i="29"/>
  <c r="F29" i="29"/>
  <c r="X16" i="29"/>
  <c r="X20" i="29"/>
  <c r="N13" i="31"/>
  <c r="N22" i="31"/>
  <c r="N24" i="31"/>
  <c r="L13" i="32"/>
  <c r="N21" i="32"/>
  <c r="L25" i="32"/>
  <c r="L29" i="32"/>
  <c r="L33" i="32"/>
  <c r="L34" i="32"/>
  <c r="N34" i="44"/>
  <c r="Z13" i="28"/>
  <c r="Z16" i="28"/>
  <c r="Z20" i="28"/>
  <c r="X22" i="28"/>
  <c r="X24" i="28"/>
  <c r="J20" i="29"/>
  <c r="J18" i="29"/>
  <c r="J16" i="29"/>
  <c r="H18" i="29"/>
  <c r="J15" i="29"/>
  <c r="J36" i="29"/>
  <c r="J34" i="29"/>
  <c r="J33" i="29"/>
  <c r="J31" i="29"/>
  <c r="J29" i="29"/>
  <c r="J27" i="29"/>
  <c r="J25" i="29"/>
  <c r="J24" i="29"/>
  <c r="J22" i="29"/>
  <c r="J21" i="29"/>
  <c r="N12" i="29"/>
  <c r="X13" i="29"/>
  <c r="Z15" i="29"/>
  <c r="X21" i="29"/>
  <c r="X15" i="31"/>
  <c r="N25" i="31"/>
  <c r="N29" i="31"/>
  <c r="N33" i="31"/>
  <c r="N34" i="31"/>
  <c r="N13" i="32"/>
  <c r="N22" i="32"/>
  <c r="N24" i="32"/>
  <c r="Z25" i="37"/>
  <c r="Z21" i="28"/>
  <c r="X25" i="28"/>
  <c r="X29" i="28"/>
  <c r="X33" i="28"/>
  <c r="X34" i="28"/>
  <c r="Z13" i="29"/>
  <c r="Z16" i="29"/>
  <c r="Z20" i="29"/>
  <c r="X22" i="29"/>
  <c r="X24" i="29"/>
  <c r="F20" i="31"/>
  <c r="F18" i="31"/>
  <c r="F16" i="31"/>
  <c r="D18" i="31"/>
  <c r="F15" i="31"/>
  <c r="L12" i="31"/>
  <c r="F36" i="31"/>
  <c r="F34" i="31"/>
  <c r="F33" i="31"/>
  <c r="F31" i="31"/>
  <c r="F29" i="31"/>
  <c r="F27" i="31"/>
  <c r="F25" i="31"/>
  <c r="F24" i="31"/>
  <c r="F22" i="31"/>
  <c r="F21" i="31"/>
  <c r="X16" i="31"/>
  <c r="X20" i="31"/>
  <c r="X15" i="32"/>
  <c r="N25" i="32"/>
  <c r="N29" i="32"/>
  <c r="N33" i="32"/>
  <c r="N34" i="32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J15" i="31"/>
  <c r="H18" i="31"/>
  <c r="X13" i="31"/>
  <c r="Z15" i="31"/>
  <c r="X21" i="31"/>
  <c r="D18" i="32"/>
  <c r="F15" i="32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X16" i="32"/>
  <c r="X20" i="32"/>
  <c r="Z29" i="37"/>
  <c r="Z22" i="38"/>
  <c r="Z12" i="28"/>
  <c r="V36" i="28"/>
  <c r="V34" i="28"/>
  <c r="V33" i="28"/>
  <c r="V31" i="28"/>
  <c r="V29" i="28"/>
  <c r="V27" i="28"/>
  <c r="V25" i="28"/>
  <c r="V24" i="28"/>
  <c r="V22" i="28"/>
  <c r="V20" i="28"/>
  <c r="V18" i="28"/>
  <c r="V16" i="28"/>
  <c r="T18" i="28"/>
  <c r="V15" i="28"/>
  <c r="V21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1" i="29"/>
  <c r="R20" i="29"/>
  <c r="R18" i="29"/>
  <c r="R16" i="29"/>
  <c r="P18" i="29"/>
  <c r="R15" i="29"/>
  <c r="R24" i="29"/>
  <c r="R22" i="29"/>
  <c r="Z22" i="29"/>
  <c r="Z24" i="29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X13" i="32"/>
  <c r="Z15" i="32"/>
  <c r="X21" i="32"/>
  <c r="N15" i="34"/>
  <c r="V21" i="37"/>
  <c r="V20" i="37"/>
  <c r="V18" i="37"/>
  <c r="V16" i="37"/>
  <c r="T18" i="37"/>
  <c r="V15" i="37"/>
  <c r="Z12" i="37"/>
  <c r="V36" i="37"/>
  <c r="V34" i="37"/>
  <c r="V33" i="37"/>
  <c r="V31" i="37"/>
  <c r="V29" i="37"/>
  <c r="V27" i="37"/>
  <c r="V25" i="37"/>
  <c r="V24" i="37"/>
  <c r="V22" i="37"/>
  <c r="Z24" i="38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T18" i="29"/>
  <c r="V15" i="29"/>
  <c r="V16" i="29"/>
  <c r="V18" i="29"/>
  <c r="V20" i="29"/>
  <c r="L15" i="29"/>
  <c r="Z25" i="29"/>
  <c r="Z29" i="29"/>
  <c r="Z33" i="29"/>
  <c r="Z34" i="29"/>
  <c r="Z21" i="31"/>
  <c r="X25" i="31"/>
  <c r="X29" i="31"/>
  <c r="X33" i="31"/>
  <c r="X34" i="31"/>
  <c r="Z13" i="32"/>
  <c r="Z16" i="32"/>
  <c r="Z20" i="32"/>
  <c r="X22" i="32"/>
  <c r="X24" i="32"/>
  <c r="L15" i="37"/>
  <c r="Z33" i="37"/>
  <c r="N15" i="28"/>
  <c r="L21" i="28"/>
  <c r="L16" i="29"/>
  <c r="L20" i="29"/>
  <c r="X12" i="31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Z22" i="31"/>
  <c r="Z24" i="31"/>
  <c r="Z21" i="32"/>
  <c r="X25" i="32"/>
  <c r="X29" i="32"/>
  <c r="X33" i="32"/>
  <c r="X34" i="32"/>
  <c r="Z34" i="37"/>
  <c r="N16" i="28"/>
  <c r="N20" i="28"/>
  <c r="L22" i="28"/>
  <c r="L24" i="28"/>
  <c r="N15" i="29"/>
  <c r="L21" i="29"/>
  <c r="Z12" i="31"/>
  <c r="V36" i="31"/>
  <c r="V34" i="31"/>
  <c r="V33" i="31"/>
  <c r="V31" i="31"/>
  <c r="V29" i="31"/>
  <c r="V27" i="31"/>
  <c r="V25" i="31"/>
  <c r="V24" i="31"/>
  <c r="V22" i="31"/>
  <c r="V21" i="31"/>
  <c r="V20" i="31"/>
  <c r="V18" i="31"/>
  <c r="V16" i="31"/>
  <c r="T18" i="31"/>
  <c r="V15" i="31"/>
  <c r="L15" i="31"/>
  <c r="Z25" i="31"/>
  <c r="Z29" i="31"/>
  <c r="Z33" i="31"/>
  <c r="Z34" i="31"/>
  <c r="X12" i="32"/>
  <c r="R36" i="32"/>
  <c r="R34" i="32"/>
  <c r="R33" i="32"/>
  <c r="R31" i="32"/>
  <c r="R29" i="32"/>
  <c r="R27" i="32"/>
  <c r="R25" i="32"/>
  <c r="R24" i="32"/>
  <c r="R22" i="32"/>
  <c r="R21" i="32"/>
  <c r="R20" i="32"/>
  <c r="R18" i="32"/>
  <c r="R16" i="32"/>
  <c r="P18" i="32"/>
  <c r="R15" i="32"/>
  <c r="Z22" i="32"/>
  <c r="Z24" i="32"/>
  <c r="F36" i="41"/>
  <c r="F34" i="41"/>
  <c r="F33" i="41"/>
  <c r="F31" i="41"/>
  <c r="F29" i="41"/>
  <c r="F27" i="41"/>
  <c r="F25" i="41"/>
  <c r="F24" i="41"/>
  <c r="F22" i="41"/>
  <c r="F21" i="41"/>
  <c r="F20" i="41"/>
  <c r="F18" i="41"/>
  <c r="F16" i="41"/>
  <c r="D18" i="41"/>
  <c r="F15" i="41"/>
  <c r="L12" i="41"/>
  <c r="L13" i="28"/>
  <c r="N21" i="28"/>
  <c r="L25" i="28"/>
  <c r="L29" i="28"/>
  <c r="L33" i="28"/>
  <c r="L34" i="28"/>
  <c r="N16" i="29"/>
  <c r="N20" i="29"/>
  <c r="L22" i="29"/>
  <c r="L24" i="29"/>
  <c r="L16" i="31"/>
  <c r="L20" i="31"/>
  <c r="V36" i="32"/>
  <c r="V34" i="32"/>
  <c r="V33" i="32"/>
  <c r="V31" i="32"/>
  <c r="V29" i="32"/>
  <c r="V27" i="32"/>
  <c r="V25" i="32"/>
  <c r="V24" i="32"/>
  <c r="V22" i="32"/>
  <c r="V21" i="32"/>
  <c r="V20" i="32"/>
  <c r="V18" i="32"/>
  <c r="V16" i="32"/>
  <c r="T18" i="32"/>
  <c r="V15" i="32"/>
  <c r="Z12" i="32"/>
  <c r="L15" i="32"/>
  <c r="Z25" i="32"/>
  <c r="Z29" i="32"/>
  <c r="Z33" i="32"/>
  <c r="Z34" i="32"/>
  <c r="L21" i="34"/>
  <c r="R24" i="38"/>
  <c r="R22" i="38"/>
  <c r="R21" i="38"/>
  <c r="R20" i="38"/>
  <c r="R18" i="38"/>
  <c r="R16" i="38"/>
  <c r="P18" i="38"/>
  <c r="R15" i="38"/>
  <c r="X12" i="38"/>
  <c r="R33" i="38"/>
  <c r="R31" i="38"/>
  <c r="R29" i="38"/>
  <c r="R27" i="38"/>
  <c r="R25" i="38"/>
  <c r="R36" i="38"/>
  <c r="R34" i="38"/>
  <c r="N13" i="28"/>
  <c r="N22" i="28"/>
  <c r="N24" i="28"/>
  <c r="L13" i="29"/>
  <c r="N21" i="29"/>
  <c r="L25" i="29"/>
  <c r="L29" i="29"/>
  <c r="L33" i="29"/>
  <c r="L34" i="29"/>
  <c r="N15" i="31"/>
  <c r="L21" i="31"/>
  <c r="L16" i="32"/>
  <c r="L20" i="32"/>
  <c r="L16" i="35"/>
  <c r="N16" i="34"/>
  <c r="N20" i="34"/>
  <c r="L22" i="34"/>
  <c r="L24" i="34"/>
  <c r="N15" i="35"/>
  <c r="L21" i="35"/>
  <c r="L16" i="37"/>
  <c r="L20" i="37"/>
  <c r="V20" i="38"/>
  <c r="V18" i="38"/>
  <c r="V16" i="38"/>
  <c r="T18" i="38"/>
  <c r="V15" i="38"/>
  <c r="Z12" i="38"/>
  <c r="V36" i="38"/>
  <c r="V34" i="38"/>
  <c r="V33" i="38"/>
  <c r="V31" i="38"/>
  <c r="V29" i="38"/>
  <c r="V27" i="38"/>
  <c r="V25" i="38"/>
  <c r="V24" i="38"/>
  <c r="V22" i="38"/>
  <c r="V21" i="38"/>
  <c r="L15" i="38"/>
  <c r="Z25" i="38"/>
  <c r="Z29" i="38"/>
  <c r="Z33" i="38"/>
  <c r="Z34" i="38"/>
  <c r="L13" i="34"/>
  <c r="N21" i="34"/>
  <c r="L25" i="34"/>
  <c r="L29" i="34"/>
  <c r="L33" i="34"/>
  <c r="L34" i="34"/>
  <c r="N16" i="35"/>
  <c r="N20" i="35"/>
  <c r="L22" i="35"/>
  <c r="L24" i="35"/>
  <c r="N15" i="37"/>
  <c r="L21" i="37"/>
  <c r="L16" i="38"/>
  <c r="L20" i="38"/>
  <c r="X21" i="40"/>
  <c r="N13" i="34"/>
  <c r="N22" i="34"/>
  <c r="N24" i="34"/>
  <c r="L13" i="35"/>
  <c r="N21" i="35"/>
  <c r="L25" i="35"/>
  <c r="L29" i="35"/>
  <c r="L33" i="35"/>
  <c r="L34" i="35"/>
  <c r="N16" i="37"/>
  <c r="N20" i="37"/>
  <c r="L22" i="37"/>
  <c r="L24" i="37"/>
  <c r="N15" i="38"/>
  <c r="L21" i="38"/>
  <c r="X16" i="41"/>
  <c r="X15" i="34"/>
  <c r="N25" i="34"/>
  <c r="N29" i="34"/>
  <c r="N33" i="34"/>
  <c r="N34" i="34"/>
  <c r="N13" i="35"/>
  <c r="N22" i="35"/>
  <c r="N24" i="35"/>
  <c r="L13" i="37"/>
  <c r="N21" i="37"/>
  <c r="L25" i="37"/>
  <c r="L29" i="37"/>
  <c r="L33" i="37"/>
  <c r="L34" i="37"/>
  <c r="N16" i="38"/>
  <c r="N20" i="38"/>
  <c r="L22" i="38"/>
  <c r="L24" i="38"/>
  <c r="D18" i="34"/>
  <c r="F15" i="34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X16" i="34"/>
  <c r="X20" i="34"/>
  <c r="X15" i="35"/>
  <c r="N25" i="35"/>
  <c r="N29" i="35"/>
  <c r="N33" i="35"/>
  <c r="N34" i="35"/>
  <c r="N13" i="37"/>
  <c r="N22" i="37"/>
  <c r="N24" i="37"/>
  <c r="L13" i="38"/>
  <c r="N21" i="38"/>
  <c r="L25" i="38"/>
  <c r="L29" i="38"/>
  <c r="L33" i="38"/>
  <c r="L34" i="38"/>
  <c r="X20" i="41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F15" i="35"/>
  <c r="D18" i="35"/>
  <c r="X16" i="35"/>
  <c r="X20" i="35"/>
  <c r="X15" i="37"/>
  <c r="N25" i="37"/>
  <c r="N29" i="37"/>
  <c r="N33" i="37"/>
  <c r="N34" i="37"/>
  <c r="N13" i="38"/>
  <c r="N22" i="38"/>
  <c r="N24" i="38"/>
  <c r="Z34" i="43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L12" i="37"/>
  <c r="F36" i="37"/>
  <c r="F34" i="37"/>
  <c r="F33" i="37"/>
  <c r="F31" i="37"/>
  <c r="F29" i="37"/>
  <c r="F27" i="37"/>
  <c r="F25" i="37"/>
  <c r="F24" i="37"/>
  <c r="F22" i="37"/>
  <c r="F21" i="37"/>
  <c r="F20" i="37"/>
  <c r="F18" i="37"/>
  <c r="F16" i="37"/>
  <c r="D18" i="37"/>
  <c r="F15" i="37"/>
  <c r="X16" i="37"/>
  <c r="X20" i="37"/>
  <c r="X15" i="38"/>
  <c r="N25" i="38"/>
  <c r="N29" i="38"/>
  <c r="N33" i="38"/>
  <c r="N34" i="38"/>
  <c r="Z21" i="34"/>
  <c r="X25" i="34"/>
  <c r="X29" i="34"/>
  <c r="X33" i="34"/>
  <c r="X34" i="34"/>
  <c r="Z13" i="35"/>
  <c r="Z16" i="35"/>
  <c r="Z20" i="35"/>
  <c r="X22" i="35"/>
  <c r="X24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X13" i="37"/>
  <c r="Z15" i="37"/>
  <c r="X21" i="37"/>
  <c r="L12" i="38"/>
  <c r="F36" i="38"/>
  <c r="F34" i="38"/>
  <c r="F33" i="38"/>
  <c r="F31" i="38"/>
  <c r="F29" i="38"/>
  <c r="F27" i="38"/>
  <c r="F25" i="38"/>
  <c r="F24" i="38"/>
  <c r="F22" i="38"/>
  <c r="F21" i="38"/>
  <c r="F20" i="38"/>
  <c r="F18" i="38"/>
  <c r="F16" i="38"/>
  <c r="D18" i="38"/>
  <c r="F15" i="38"/>
  <c r="X16" i="38"/>
  <c r="X20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Z16" i="44"/>
  <c r="X12" i="34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Z22" i="34"/>
  <c r="Z24" i="34"/>
  <c r="Z21" i="35"/>
  <c r="X25" i="35"/>
  <c r="X29" i="35"/>
  <c r="X33" i="35"/>
  <c r="X34" i="35"/>
  <c r="Z13" i="37"/>
  <c r="Z16" i="37"/>
  <c r="Z20" i="37"/>
  <c r="X22" i="37"/>
  <c r="X24" i="37"/>
  <c r="N12" i="38"/>
  <c r="J36" i="38"/>
  <c r="J34" i="38"/>
  <c r="J33" i="38"/>
  <c r="J31" i="38"/>
  <c r="J29" i="38"/>
  <c r="J27" i="38"/>
  <c r="J25" i="38"/>
  <c r="J24" i="38"/>
  <c r="J22" i="38"/>
  <c r="J21" i="38"/>
  <c r="J20" i="38"/>
  <c r="J18" i="38"/>
  <c r="J16" i="38"/>
  <c r="H18" i="38"/>
  <c r="J15" i="38"/>
  <c r="X13" i="38"/>
  <c r="Z15" i="38"/>
  <c r="X21" i="38"/>
  <c r="X13" i="40"/>
  <c r="R36" i="43"/>
  <c r="R34" i="43"/>
  <c r="R33" i="43"/>
  <c r="R31" i="43"/>
  <c r="R29" i="43"/>
  <c r="R27" i="43"/>
  <c r="R25" i="43"/>
  <c r="R20" i="43"/>
  <c r="R24" i="43"/>
  <c r="R21" i="43"/>
  <c r="R15" i="43"/>
  <c r="R16" i="43"/>
  <c r="R22" i="43"/>
  <c r="X12" i="43"/>
  <c r="R18" i="43"/>
  <c r="P18" i="43"/>
  <c r="L21" i="44"/>
  <c r="V36" i="34"/>
  <c r="V34" i="34"/>
  <c r="V33" i="34"/>
  <c r="V31" i="34"/>
  <c r="V29" i="34"/>
  <c r="V27" i="34"/>
  <c r="V25" i="34"/>
  <c r="V24" i="34"/>
  <c r="V22" i="34"/>
  <c r="V21" i="34"/>
  <c r="V20" i="34"/>
  <c r="V18" i="34"/>
  <c r="V16" i="34"/>
  <c r="T18" i="34"/>
  <c r="V15" i="34"/>
  <c r="Z12" i="34"/>
  <c r="L15" i="34"/>
  <c r="Z25" i="34"/>
  <c r="Z29" i="34"/>
  <c r="Z33" i="34"/>
  <c r="Z34" i="34"/>
  <c r="R36" i="35"/>
  <c r="R34" i="35"/>
  <c r="R33" i="35"/>
  <c r="R31" i="35"/>
  <c r="R29" i="35"/>
  <c r="R27" i="35"/>
  <c r="R25" i="35"/>
  <c r="R24" i="35"/>
  <c r="R22" i="35"/>
  <c r="R21" i="35"/>
  <c r="R20" i="35"/>
  <c r="R18" i="35"/>
  <c r="R16" i="35"/>
  <c r="P18" i="35"/>
  <c r="R15" i="35"/>
  <c r="X12" i="35"/>
  <c r="Z22" i="35"/>
  <c r="Z24" i="35"/>
  <c r="Z21" i="37"/>
  <c r="X25" i="37"/>
  <c r="X29" i="37"/>
  <c r="X33" i="37"/>
  <c r="X34" i="37"/>
  <c r="Z13" i="38"/>
  <c r="Z16" i="38"/>
  <c r="Z20" i="38"/>
  <c r="X22" i="38"/>
  <c r="X24" i="38"/>
  <c r="Z15" i="40"/>
  <c r="L16" i="34"/>
  <c r="L20" i="34"/>
  <c r="V24" i="35"/>
  <c r="V22" i="35"/>
  <c r="V21" i="35"/>
  <c r="V20" i="35"/>
  <c r="V18" i="35"/>
  <c r="V16" i="35"/>
  <c r="T18" i="35"/>
  <c r="V15" i="35"/>
  <c r="Z12" i="35"/>
  <c r="V34" i="35"/>
  <c r="V33" i="35"/>
  <c r="V31" i="35"/>
  <c r="V29" i="35"/>
  <c r="V27" i="35"/>
  <c r="V25" i="35"/>
  <c r="V36" i="35"/>
  <c r="L15" i="35"/>
  <c r="Z25" i="35"/>
  <c r="Z29" i="35"/>
  <c r="Z33" i="35"/>
  <c r="Z34" i="35"/>
  <c r="R36" i="37"/>
  <c r="R34" i="37"/>
  <c r="R33" i="37"/>
  <c r="R31" i="37"/>
  <c r="R29" i="37"/>
  <c r="R27" i="37"/>
  <c r="R25" i="37"/>
  <c r="R24" i="37"/>
  <c r="R22" i="37"/>
  <c r="R21" i="37"/>
  <c r="R20" i="37"/>
  <c r="R18" i="37"/>
  <c r="R16" i="37"/>
  <c r="P18" i="37"/>
  <c r="R15" i="37"/>
  <c r="X12" i="37"/>
  <c r="Z22" i="37"/>
  <c r="Z24" i="37"/>
  <c r="Z21" i="38"/>
  <c r="X25" i="38"/>
  <c r="X29" i="38"/>
  <c r="X33" i="38"/>
  <c r="X34" i="38"/>
  <c r="N29" i="44"/>
  <c r="Z13" i="40"/>
  <c r="Z16" i="40"/>
  <c r="Z20" i="40"/>
  <c r="X22" i="40"/>
  <c r="X24" i="40"/>
  <c r="J24" i="41"/>
  <c r="J22" i="41"/>
  <c r="J21" i="41"/>
  <c r="J20" i="41"/>
  <c r="J18" i="41"/>
  <c r="J16" i="41"/>
  <c r="H18" i="41"/>
  <c r="J15" i="41"/>
  <c r="N12" i="41"/>
  <c r="J29" i="41"/>
  <c r="J27" i="41"/>
  <c r="J25" i="41"/>
  <c r="J36" i="41"/>
  <c r="J34" i="41"/>
  <c r="J33" i="41"/>
  <c r="J31" i="41"/>
  <c r="X13" i="41"/>
  <c r="Z15" i="41"/>
  <c r="X21" i="41"/>
  <c r="V21" i="43"/>
  <c r="V36" i="43"/>
  <c r="V34" i="43"/>
  <c r="V33" i="43"/>
  <c r="V31" i="43"/>
  <c r="V29" i="43"/>
  <c r="V27" i="43"/>
  <c r="V24" i="43"/>
  <c r="V20" i="43"/>
  <c r="V15" i="43"/>
  <c r="V25" i="43"/>
  <c r="V16" i="43"/>
  <c r="V22" i="43"/>
  <c r="V18" i="43"/>
  <c r="Z12" i="43"/>
  <c r="T18" i="43"/>
  <c r="L15" i="43"/>
  <c r="N16" i="43"/>
  <c r="X13" i="44"/>
  <c r="X24" i="44"/>
  <c r="Z21" i="40"/>
  <c r="X25" i="40"/>
  <c r="X29" i="40"/>
  <c r="X33" i="40"/>
  <c r="X34" i="40"/>
  <c r="Z13" i="41"/>
  <c r="Z16" i="41"/>
  <c r="Z20" i="41"/>
  <c r="X22" i="41"/>
  <c r="X24" i="41"/>
  <c r="L21" i="43"/>
  <c r="X22" i="43"/>
  <c r="L25" i="43"/>
  <c r="Z13" i="44"/>
  <c r="X21" i="44"/>
  <c r="Z24" i="44"/>
  <c r="P18" i="40"/>
  <c r="R15" i="40"/>
  <c r="X12" i="40"/>
  <c r="R36" i="40"/>
  <c r="R34" i="40"/>
  <c r="R33" i="40"/>
  <c r="R31" i="40"/>
  <c r="R29" i="40"/>
  <c r="R27" i="40"/>
  <c r="R25" i="40"/>
  <c r="R24" i="40"/>
  <c r="R22" i="40"/>
  <c r="R21" i="40"/>
  <c r="R16" i="40"/>
  <c r="R20" i="40"/>
  <c r="R18" i="40"/>
  <c r="Z22" i="40"/>
  <c r="Z24" i="40"/>
  <c r="Z21" i="41"/>
  <c r="X25" i="41"/>
  <c r="X29" i="41"/>
  <c r="X33" i="41"/>
  <c r="X34" i="41"/>
  <c r="N15" i="43"/>
  <c r="X16" i="43"/>
  <c r="L29" i="43"/>
  <c r="L33" i="43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N21" i="43"/>
  <c r="N15" i="44"/>
  <c r="N25" i="44"/>
  <c r="N22" i="46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L15" i="41"/>
  <c r="Z25" i="41"/>
  <c r="Z29" i="41"/>
  <c r="Z33" i="41"/>
  <c r="Z34" i="41"/>
  <c r="L13" i="43"/>
  <c r="Z16" i="43"/>
  <c r="L20" i="43"/>
  <c r="X25" i="43"/>
  <c r="X15" i="44"/>
  <c r="N24" i="46"/>
  <c r="N15" i="40"/>
  <c r="L21" i="40"/>
  <c r="L16" i="41"/>
  <c r="L20" i="41"/>
  <c r="N13" i="43"/>
  <c r="L24" i="43"/>
  <c r="Z25" i="43"/>
  <c r="X29" i="43"/>
  <c r="X33" i="43"/>
  <c r="Z15" i="44"/>
  <c r="Z22" i="47"/>
  <c r="N16" i="40"/>
  <c r="N20" i="40"/>
  <c r="L22" i="40"/>
  <c r="L24" i="40"/>
  <c r="N15" i="41"/>
  <c r="L21" i="41"/>
  <c r="Z15" i="43"/>
  <c r="N20" i="43"/>
  <c r="Z21" i="43"/>
  <c r="Z29" i="43"/>
  <c r="Z33" i="43"/>
  <c r="L13" i="40"/>
  <c r="N21" i="40"/>
  <c r="L25" i="40"/>
  <c r="L29" i="40"/>
  <c r="L33" i="40"/>
  <c r="L34" i="40"/>
  <c r="N16" i="41"/>
  <c r="N20" i="41"/>
  <c r="L22" i="41"/>
  <c r="L24" i="41"/>
  <c r="F36" i="43"/>
  <c r="F34" i="43"/>
  <c r="F33" i="43"/>
  <c r="F31" i="43"/>
  <c r="F29" i="43"/>
  <c r="F27" i="43"/>
  <c r="F25" i="43"/>
  <c r="L12" i="43"/>
  <c r="F18" i="43"/>
  <c r="D18" i="43"/>
  <c r="F24" i="43"/>
  <c r="F20" i="43"/>
  <c r="F21" i="43"/>
  <c r="F15" i="43"/>
  <c r="F16" i="43"/>
  <c r="F22" i="43"/>
  <c r="N12" i="44"/>
  <c r="J36" i="44"/>
  <c r="J34" i="44"/>
  <c r="J33" i="44"/>
  <c r="J31" i="44"/>
  <c r="J29" i="44"/>
  <c r="J27" i="44"/>
  <c r="J25" i="44"/>
  <c r="J21" i="44"/>
  <c r="J20" i="44"/>
  <c r="J18" i="44"/>
  <c r="J16" i="44"/>
  <c r="H18" i="44"/>
  <c r="J15" i="44"/>
  <c r="J24" i="44"/>
  <c r="J22" i="44"/>
  <c r="X22" i="44"/>
  <c r="N33" i="44"/>
  <c r="N29" i="47"/>
  <c r="N13" i="40"/>
  <c r="N22" i="40"/>
  <c r="N24" i="40"/>
  <c r="L13" i="41"/>
  <c r="N21" i="41"/>
  <c r="L25" i="41"/>
  <c r="L29" i="41"/>
  <c r="L33" i="41"/>
  <c r="L34" i="41"/>
  <c r="J24" i="43"/>
  <c r="J22" i="43"/>
  <c r="J21" i="43"/>
  <c r="J18" i="43"/>
  <c r="N12" i="43"/>
  <c r="J31" i="43"/>
  <c r="J27" i="43"/>
  <c r="H18" i="43"/>
  <c r="J34" i="43"/>
  <c r="J20" i="43"/>
  <c r="J33" i="43"/>
  <c r="J29" i="43"/>
  <c r="J15" i="43"/>
  <c r="J25" i="43"/>
  <c r="J36" i="43"/>
  <c r="J16" i="43"/>
  <c r="X13" i="43"/>
  <c r="X20" i="43"/>
  <c r="X24" i="43"/>
  <c r="Z22" i="44"/>
  <c r="X15" i="40"/>
  <c r="N25" i="40"/>
  <c r="N29" i="40"/>
  <c r="N33" i="40"/>
  <c r="N34" i="40"/>
  <c r="N13" i="41"/>
  <c r="N22" i="41"/>
  <c r="N24" i="41"/>
  <c r="Z13" i="43"/>
  <c r="Z20" i="43"/>
  <c r="R24" i="44"/>
  <c r="R22" i="44"/>
  <c r="P18" i="44"/>
  <c r="R15" i="44"/>
  <c r="X12" i="44"/>
  <c r="R33" i="44"/>
  <c r="R27" i="44"/>
  <c r="R16" i="44"/>
  <c r="R20" i="44"/>
  <c r="R36" i="44"/>
  <c r="R31" i="44"/>
  <c r="R25" i="44"/>
  <c r="R18" i="44"/>
  <c r="R34" i="44"/>
  <c r="R29" i="44"/>
  <c r="R21" i="44"/>
  <c r="Z20" i="44"/>
  <c r="N13" i="46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15" i="41"/>
  <c r="N25" i="41"/>
  <c r="N29" i="41"/>
  <c r="N33" i="41"/>
  <c r="N34" i="41"/>
  <c r="L16" i="43"/>
  <c r="L22" i="43"/>
  <c r="X34" i="43"/>
  <c r="V20" i="44"/>
  <c r="V18" i="44"/>
  <c r="V16" i="44"/>
  <c r="V36" i="44"/>
  <c r="V34" i="44"/>
  <c r="V33" i="44"/>
  <c r="V31" i="44"/>
  <c r="V29" i="44"/>
  <c r="V27" i="44"/>
  <c r="V25" i="44"/>
  <c r="V24" i="44"/>
  <c r="V22" i="44"/>
  <c r="Z12" i="44"/>
  <c r="V15" i="44"/>
  <c r="T18" i="44"/>
  <c r="V21" i="44"/>
  <c r="L15" i="44"/>
  <c r="Z25" i="44"/>
  <c r="Z29" i="44"/>
  <c r="Z33" i="44"/>
  <c r="Z34" i="44"/>
  <c r="X15" i="46"/>
  <c r="N25" i="46"/>
  <c r="N29" i="46"/>
  <c r="N33" i="46"/>
  <c r="N34" i="46"/>
  <c r="F36" i="47"/>
  <c r="F34" i="47"/>
  <c r="F33" i="47"/>
  <c r="F31" i="47"/>
  <c r="F29" i="47"/>
  <c r="F27" i="47"/>
  <c r="F25" i="47"/>
  <c r="F24" i="47"/>
  <c r="F22" i="47"/>
  <c r="F21" i="47"/>
  <c r="L12" i="47"/>
  <c r="F16" i="47"/>
  <c r="F18" i="47"/>
  <c r="D18" i="47"/>
  <c r="F20" i="47"/>
  <c r="F15" i="47"/>
  <c r="L15" i="47"/>
  <c r="X16" i="47"/>
  <c r="N13" i="49"/>
  <c r="N22" i="49"/>
  <c r="L16" i="44"/>
  <c r="L20" i="44"/>
  <c r="F24" i="46"/>
  <c r="F22" i="46"/>
  <c r="F21" i="46"/>
  <c r="F20" i="46"/>
  <c r="F18" i="46"/>
  <c r="F16" i="46"/>
  <c r="D18" i="46"/>
  <c r="F15" i="46"/>
  <c r="L12" i="46"/>
  <c r="F34" i="46"/>
  <c r="F33" i="46"/>
  <c r="F31" i="46"/>
  <c r="F29" i="46"/>
  <c r="F27" i="46"/>
  <c r="F25" i="46"/>
  <c r="F36" i="46"/>
  <c r="X16" i="46"/>
  <c r="X20" i="46"/>
  <c r="J21" i="47"/>
  <c r="J20" i="47"/>
  <c r="J18" i="47"/>
  <c r="J16" i="47"/>
  <c r="H18" i="47"/>
  <c r="J15" i="47"/>
  <c r="J36" i="47"/>
  <c r="J22" i="47"/>
  <c r="J31" i="47"/>
  <c r="J27" i="47"/>
  <c r="J34" i="47"/>
  <c r="J24" i="47"/>
  <c r="N12" i="47"/>
  <c r="J29" i="47"/>
  <c r="J33" i="47"/>
  <c r="J25" i="47"/>
  <c r="L20" i="47"/>
  <c r="X21" i="47"/>
  <c r="X25" i="47"/>
  <c r="X33" i="47"/>
  <c r="L16" i="52"/>
  <c r="J20" i="46"/>
  <c r="J18" i="46"/>
  <c r="J16" i="46"/>
  <c r="H18" i="46"/>
  <c r="J15" i="46"/>
  <c r="N12" i="46"/>
  <c r="J36" i="46"/>
  <c r="J34" i="46"/>
  <c r="J33" i="46"/>
  <c r="J31" i="46"/>
  <c r="J29" i="46"/>
  <c r="J27" i="46"/>
  <c r="J25" i="46"/>
  <c r="J24" i="46"/>
  <c r="J22" i="46"/>
  <c r="J21" i="46"/>
  <c r="X13" i="46"/>
  <c r="Z15" i="46"/>
  <c r="X21" i="46"/>
  <c r="N15" i="47"/>
  <c r="Z21" i="47"/>
  <c r="X29" i="47"/>
  <c r="N24" i="49"/>
  <c r="Z25" i="50"/>
  <c r="L34" i="43"/>
  <c r="N16" i="44"/>
  <c r="N20" i="44"/>
  <c r="L22" i="44"/>
  <c r="L24" i="44"/>
  <c r="Z13" i="46"/>
  <c r="Z16" i="46"/>
  <c r="Z20" i="46"/>
  <c r="X22" i="46"/>
  <c r="X24" i="46"/>
  <c r="R21" i="47"/>
  <c r="R36" i="47"/>
  <c r="R22" i="47"/>
  <c r="R31" i="47"/>
  <c r="R27" i="47"/>
  <c r="R18" i="47"/>
  <c r="P18" i="47"/>
  <c r="R34" i="47"/>
  <c r="R24" i="47"/>
  <c r="R20" i="47"/>
  <c r="X12" i="47"/>
  <c r="R15" i="47"/>
  <c r="R29" i="47"/>
  <c r="R33" i="47"/>
  <c r="R25" i="47"/>
  <c r="R16" i="47"/>
  <c r="X15" i="47"/>
  <c r="Z25" i="47"/>
  <c r="L16" i="49"/>
  <c r="L20" i="52"/>
  <c r="T18" i="53"/>
  <c r="V15" i="53"/>
  <c r="V36" i="53"/>
  <c r="V34" i="53"/>
  <c r="V33" i="53"/>
  <c r="V31" i="53"/>
  <c r="V29" i="53"/>
  <c r="V27" i="53"/>
  <c r="V25" i="53"/>
  <c r="V24" i="53"/>
  <c r="V20" i="53"/>
  <c r="V21" i="53"/>
  <c r="V16" i="53"/>
  <c r="V22" i="53"/>
  <c r="V18" i="53"/>
  <c r="Z12" i="53"/>
  <c r="N22" i="43"/>
  <c r="N24" i="43"/>
  <c r="L13" i="44"/>
  <c r="N21" i="44"/>
  <c r="L25" i="44"/>
  <c r="L29" i="44"/>
  <c r="L33" i="44"/>
  <c r="L34" i="44"/>
  <c r="Z21" i="46"/>
  <c r="X25" i="46"/>
  <c r="X29" i="46"/>
  <c r="X33" i="46"/>
  <c r="X34" i="46"/>
  <c r="T18" i="47"/>
  <c r="V15" i="47"/>
  <c r="V31" i="47"/>
  <c r="V27" i="47"/>
  <c r="V18" i="47"/>
  <c r="V24" i="47"/>
  <c r="V34" i="47"/>
  <c r="V20" i="47"/>
  <c r="Z12" i="47"/>
  <c r="V29" i="47"/>
  <c r="V25" i="47"/>
  <c r="V33" i="47"/>
  <c r="V21" i="47"/>
  <c r="V16" i="47"/>
  <c r="V22" i="47"/>
  <c r="V36" i="47"/>
  <c r="X20" i="47"/>
  <c r="Z29" i="50"/>
  <c r="X15" i="43"/>
  <c r="N25" i="43"/>
  <c r="N29" i="43"/>
  <c r="N33" i="43"/>
  <c r="N34" i="43"/>
  <c r="N13" i="44"/>
  <c r="N22" i="44"/>
  <c r="N24" i="44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15" i="47"/>
  <c r="X34" i="47"/>
  <c r="V21" i="50"/>
  <c r="V20" i="50"/>
  <c r="V18" i="50"/>
  <c r="V16" i="50"/>
  <c r="T18" i="50"/>
  <c r="V15" i="50"/>
  <c r="Z12" i="50"/>
  <c r="V36" i="50"/>
  <c r="V34" i="50"/>
  <c r="V33" i="50"/>
  <c r="V31" i="50"/>
  <c r="V29" i="50"/>
  <c r="V27" i="50"/>
  <c r="V25" i="50"/>
  <c r="V24" i="50"/>
  <c r="V22" i="50"/>
  <c r="Z12" i="46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L15" i="46"/>
  <c r="Z25" i="46"/>
  <c r="Z29" i="46"/>
  <c r="Z33" i="46"/>
  <c r="Z34" i="46"/>
  <c r="L15" i="50"/>
  <c r="Z33" i="50"/>
  <c r="X21" i="43"/>
  <c r="F36" i="44"/>
  <c r="F34" i="44"/>
  <c r="F33" i="44"/>
  <c r="F31" i="44"/>
  <c r="F29" i="44"/>
  <c r="F27" i="44"/>
  <c r="F25" i="44"/>
  <c r="F24" i="44"/>
  <c r="F22" i="44"/>
  <c r="F21" i="44"/>
  <c r="D18" i="44"/>
  <c r="F15" i="44"/>
  <c r="F16" i="44"/>
  <c r="L12" i="44"/>
  <c r="F20" i="44"/>
  <c r="F18" i="44"/>
  <c r="X16" i="44"/>
  <c r="X20" i="44"/>
  <c r="L16" i="46"/>
  <c r="L20" i="46"/>
  <c r="Z24" i="47"/>
  <c r="L20" i="49"/>
  <c r="Z34" i="50"/>
  <c r="N15" i="46"/>
  <c r="L21" i="46"/>
  <c r="N16" i="46"/>
  <c r="N20" i="46"/>
  <c r="L22" i="46"/>
  <c r="L24" i="46"/>
  <c r="X13" i="47"/>
  <c r="L16" i="47"/>
  <c r="Z22" i="43"/>
  <c r="Z24" i="43"/>
  <c r="Z21" i="44"/>
  <c r="X25" i="44"/>
  <c r="X29" i="44"/>
  <c r="X33" i="44"/>
  <c r="X34" i="44"/>
  <c r="L13" i="46"/>
  <c r="N21" i="46"/>
  <c r="L25" i="46"/>
  <c r="L29" i="46"/>
  <c r="L33" i="46"/>
  <c r="L34" i="46"/>
  <c r="L21" i="47"/>
  <c r="N25" i="47"/>
  <c r="N15" i="49"/>
  <c r="L21" i="49"/>
  <c r="L16" i="50"/>
  <c r="L20" i="50"/>
  <c r="N15" i="52"/>
  <c r="L21" i="52"/>
  <c r="N15" i="53"/>
  <c r="L25" i="53"/>
  <c r="Z13" i="47"/>
  <c r="Z16" i="47"/>
  <c r="Z20" i="47"/>
  <c r="X22" i="47"/>
  <c r="X24" i="47"/>
  <c r="N16" i="49"/>
  <c r="N20" i="49"/>
  <c r="L22" i="49"/>
  <c r="L24" i="49"/>
  <c r="N15" i="50"/>
  <c r="L21" i="50"/>
  <c r="N16" i="52"/>
  <c r="N20" i="52"/>
  <c r="L22" i="52"/>
  <c r="L24" i="52"/>
  <c r="L21" i="53"/>
  <c r="L29" i="53"/>
  <c r="L33" i="53"/>
  <c r="L13" i="49"/>
  <c r="N21" i="49"/>
  <c r="L25" i="49"/>
  <c r="L29" i="49"/>
  <c r="L33" i="49"/>
  <c r="L34" i="49"/>
  <c r="N16" i="50"/>
  <c r="N20" i="50"/>
  <c r="L22" i="50"/>
  <c r="L24" i="50"/>
  <c r="L13" i="52"/>
  <c r="N21" i="52"/>
  <c r="L25" i="52"/>
  <c r="L29" i="52"/>
  <c r="L33" i="52"/>
  <c r="L34" i="52"/>
  <c r="X16" i="53"/>
  <c r="N21" i="53"/>
  <c r="Z22" i="53"/>
  <c r="L13" i="50"/>
  <c r="N21" i="50"/>
  <c r="L25" i="50"/>
  <c r="L29" i="50"/>
  <c r="L33" i="50"/>
  <c r="L34" i="50"/>
  <c r="N13" i="52"/>
  <c r="N22" i="52"/>
  <c r="N24" i="52"/>
  <c r="L13" i="53"/>
  <c r="X15" i="53"/>
  <c r="X25" i="53"/>
  <c r="Z29" i="47"/>
  <c r="Z33" i="47"/>
  <c r="Z34" i="47"/>
  <c r="X15" i="49"/>
  <c r="N25" i="49"/>
  <c r="N29" i="49"/>
  <c r="N33" i="49"/>
  <c r="N34" i="49"/>
  <c r="N13" i="50"/>
  <c r="N22" i="50"/>
  <c r="N24" i="50"/>
  <c r="X15" i="52"/>
  <c r="N25" i="52"/>
  <c r="N29" i="52"/>
  <c r="N33" i="52"/>
  <c r="N34" i="52"/>
  <c r="N13" i="53"/>
  <c r="X29" i="53"/>
  <c r="X33" i="53"/>
  <c r="L12" i="49"/>
  <c r="F36" i="49"/>
  <c r="F24" i="49"/>
  <c r="F22" i="49"/>
  <c r="F21" i="49"/>
  <c r="F20" i="49"/>
  <c r="F18" i="49"/>
  <c r="F16" i="49"/>
  <c r="F31" i="49"/>
  <c r="F29" i="49"/>
  <c r="F27" i="49"/>
  <c r="D18" i="49"/>
  <c r="F25" i="49"/>
  <c r="F34" i="49"/>
  <c r="F15" i="49"/>
  <c r="F33" i="49"/>
  <c r="X16" i="49"/>
  <c r="X20" i="49"/>
  <c r="X15" i="50"/>
  <c r="N25" i="50"/>
  <c r="N29" i="50"/>
  <c r="N33" i="50"/>
  <c r="N34" i="50"/>
  <c r="L12" i="52"/>
  <c r="F36" i="52"/>
  <c r="F34" i="52"/>
  <c r="F33" i="52"/>
  <c r="F31" i="52"/>
  <c r="F29" i="52"/>
  <c r="F27" i="52"/>
  <c r="F25" i="52"/>
  <c r="F24" i="52"/>
  <c r="F22" i="52"/>
  <c r="F21" i="52"/>
  <c r="F20" i="52"/>
  <c r="F18" i="52"/>
  <c r="F16" i="52"/>
  <c r="D18" i="52"/>
  <c r="F15" i="52"/>
  <c r="X16" i="52"/>
  <c r="X20" i="52"/>
  <c r="Z15" i="53"/>
  <c r="X21" i="53"/>
  <c r="Z25" i="53"/>
  <c r="N12" i="49"/>
  <c r="J36" i="49"/>
  <c r="J34" i="49"/>
  <c r="J33" i="49"/>
  <c r="J31" i="49"/>
  <c r="J29" i="49"/>
  <c r="J27" i="49"/>
  <c r="J25" i="49"/>
  <c r="J24" i="49"/>
  <c r="J22" i="49"/>
  <c r="J20" i="49"/>
  <c r="J18" i="49"/>
  <c r="J16" i="49"/>
  <c r="H18" i="49"/>
  <c r="J15" i="49"/>
  <c r="J21" i="49"/>
  <c r="X13" i="49"/>
  <c r="Z15" i="49"/>
  <c r="X21" i="49"/>
  <c r="L12" i="50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X16" i="50"/>
  <c r="X20" i="50"/>
  <c r="N12" i="52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X13" i="52"/>
  <c r="Z15" i="52"/>
  <c r="X21" i="52"/>
  <c r="F36" i="53"/>
  <c r="F34" i="53"/>
  <c r="F33" i="53"/>
  <c r="F31" i="53"/>
  <c r="F29" i="53"/>
  <c r="F27" i="53"/>
  <c r="F25" i="53"/>
  <c r="F21" i="53"/>
  <c r="D18" i="53"/>
  <c r="F22" i="53"/>
  <c r="F16" i="53"/>
  <c r="L12" i="53"/>
  <c r="F18" i="53"/>
  <c r="F24" i="53"/>
  <c r="F20" i="53"/>
  <c r="F15" i="53"/>
  <c r="Z21" i="53"/>
  <c r="N16" i="47"/>
  <c r="N20" i="47"/>
  <c r="L22" i="47"/>
  <c r="L24" i="47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4" i="50"/>
  <c r="J22" i="50"/>
  <c r="J21" i="50"/>
  <c r="J20" i="50"/>
  <c r="J18" i="50"/>
  <c r="J16" i="50"/>
  <c r="H18" i="50"/>
  <c r="J15" i="50"/>
  <c r="X13" i="50"/>
  <c r="Z15" i="50"/>
  <c r="X21" i="50"/>
  <c r="Z13" i="52"/>
  <c r="Z16" i="52"/>
  <c r="Z20" i="52"/>
  <c r="X22" i="52"/>
  <c r="X24" i="52"/>
  <c r="J24" i="53"/>
  <c r="J22" i="53"/>
  <c r="H18" i="53"/>
  <c r="J15" i="53"/>
  <c r="N12" i="53"/>
  <c r="J34" i="53"/>
  <c r="J31" i="53"/>
  <c r="J27" i="53"/>
  <c r="J18" i="53"/>
  <c r="J20" i="53"/>
  <c r="J21" i="53"/>
  <c r="J36" i="53"/>
  <c r="J33" i="53"/>
  <c r="J29" i="53"/>
  <c r="J25" i="53"/>
  <c r="J16" i="53"/>
  <c r="X13" i="53"/>
  <c r="L34" i="53"/>
  <c r="L13" i="47"/>
  <c r="N21" i="47"/>
  <c r="L25" i="47"/>
  <c r="L29" i="47"/>
  <c r="L33" i="47"/>
  <c r="L34" i="47"/>
  <c r="Z21" i="49"/>
  <c r="X25" i="49"/>
  <c r="X29" i="49"/>
  <c r="X33" i="49"/>
  <c r="X34" i="49"/>
  <c r="Z13" i="50"/>
  <c r="Z16" i="50"/>
  <c r="Z20" i="50"/>
  <c r="X22" i="50"/>
  <c r="X24" i="50"/>
  <c r="Z21" i="52"/>
  <c r="X25" i="52"/>
  <c r="X29" i="52"/>
  <c r="X33" i="52"/>
  <c r="X34" i="52"/>
  <c r="X20" i="53"/>
  <c r="N13" i="47"/>
  <c r="N22" i="47"/>
  <c r="N24" i="47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X12" i="49"/>
  <c r="Z22" i="49"/>
  <c r="Z24" i="49"/>
  <c r="Z21" i="50"/>
  <c r="X25" i="50"/>
  <c r="X29" i="50"/>
  <c r="X33" i="50"/>
  <c r="X34" i="50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X12" i="52"/>
  <c r="Z22" i="52"/>
  <c r="Z24" i="52"/>
  <c r="L16" i="53"/>
  <c r="Z24" i="53"/>
  <c r="N33" i="47"/>
  <c r="N34" i="47"/>
  <c r="V24" i="49"/>
  <c r="V22" i="49"/>
  <c r="V21" i="49"/>
  <c r="V20" i="49"/>
  <c r="V18" i="49"/>
  <c r="V16" i="49"/>
  <c r="T18" i="49"/>
  <c r="V15" i="49"/>
  <c r="Z12" i="49"/>
  <c r="V29" i="49"/>
  <c r="V27" i="49"/>
  <c r="V25" i="49"/>
  <c r="V36" i="49"/>
  <c r="V34" i="49"/>
  <c r="V33" i="49"/>
  <c r="V31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X12" i="50"/>
  <c r="Z22" i="50"/>
  <c r="Z24" i="50"/>
  <c r="V24" i="52"/>
  <c r="V22" i="52"/>
  <c r="V21" i="52"/>
  <c r="V20" i="52"/>
  <c r="V18" i="52"/>
  <c r="V16" i="52"/>
  <c r="T18" i="52"/>
  <c r="V15" i="52"/>
  <c r="Z12" i="52"/>
  <c r="V29" i="52"/>
  <c r="V27" i="52"/>
  <c r="V25" i="52"/>
  <c r="V36" i="52"/>
  <c r="V34" i="52"/>
  <c r="V33" i="52"/>
  <c r="V31" i="52"/>
  <c r="L15" i="52"/>
  <c r="Z25" i="52"/>
  <c r="Z29" i="52"/>
  <c r="Z33" i="52"/>
  <c r="Z34" i="52"/>
  <c r="R21" i="53"/>
  <c r="R20" i="53"/>
  <c r="R24" i="53"/>
  <c r="R36" i="53"/>
  <c r="R33" i="53"/>
  <c r="R29" i="53"/>
  <c r="R25" i="53"/>
  <c r="R15" i="53"/>
  <c r="R16" i="53"/>
  <c r="R22" i="53"/>
  <c r="R18" i="53"/>
  <c r="X12" i="53"/>
  <c r="R27" i="53"/>
  <c r="P18" i="53"/>
  <c r="R34" i="53"/>
  <c r="R31" i="53"/>
  <c r="L15" i="53"/>
  <c r="X34" i="53"/>
  <c r="Z29" i="53"/>
  <c r="Z33" i="53"/>
  <c r="Z34" i="53"/>
  <c r="L20" i="53"/>
  <c r="N16" i="53"/>
  <c r="N20" i="53"/>
  <c r="L22" i="53"/>
  <c r="L24" i="53"/>
  <c r="N22" i="53"/>
  <c r="N24" i="53"/>
  <c r="N25" i="53"/>
  <c r="N29" i="53"/>
  <c r="N33" i="53"/>
  <c r="N34" i="53"/>
  <c r="Z13" i="53"/>
  <c r="Z16" i="53"/>
  <c r="Z20" i="53"/>
  <c r="X22" i="53"/>
  <c r="X24" i="53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21" i="110"/>
  <c r="V20" i="110"/>
  <c r="V18" i="110"/>
  <c r="V16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T12" i="3"/>
  <c r="N51" i="3"/>
  <c r="Z37" i="3"/>
  <c r="Z71" i="3"/>
  <c r="X71" i="3"/>
  <c r="Z73" i="3"/>
  <c r="Z109" i="3"/>
  <c r="Z64" i="3"/>
  <c r="Z23" i="3"/>
  <c r="X23" i="3"/>
  <c r="Z39" i="3"/>
  <c r="X39" i="3"/>
  <c r="Z53" i="3"/>
  <c r="Z75" i="3"/>
  <c r="X75" i="3"/>
  <c r="Z113" i="3"/>
  <c r="Z288" i="3"/>
  <c r="Z19" i="9"/>
  <c r="Z284" i="3"/>
  <c r="N289" i="3"/>
  <c r="N16" i="6"/>
  <c r="H22" i="6"/>
  <c r="N243" i="3"/>
  <c r="X79" i="3"/>
  <c r="Z79" i="3" s="1"/>
  <c r="Z96" i="3"/>
  <c r="J297" i="3"/>
  <c r="J281" i="3"/>
  <c r="J273" i="3"/>
  <c r="J269" i="3"/>
  <c r="J253" i="3"/>
  <c r="J247" i="3"/>
  <c r="J235" i="3"/>
  <c r="J227" i="3"/>
  <c r="J209" i="3"/>
  <c r="J205" i="3"/>
  <c r="J191" i="3"/>
  <c r="J249" i="3"/>
  <c r="J302" i="3"/>
  <c r="J296" i="3"/>
  <c r="J264" i="3"/>
  <c r="J248" i="3"/>
  <c r="J236" i="3"/>
  <c r="J228" i="3"/>
  <c r="J210" i="3"/>
  <c r="J200" i="3"/>
  <c r="J196" i="3"/>
  <c r="J192" i="3"/>
  <c r="J190" i="3"/>
  <c r="J188" i="3"/>
  <c r="J130" i="3"/>
  <c r="J295" i="3"/>
  <c r="J265" i="3"/>
  <c r="J259" i="3"/>
  <c r="J237" i="3"/>
  <c r="J229" i="3"/>
  <c r="J219" i="3"/>
  <c r="J211" i="3"/>
  <c r="H188" i="3"/>
  <c r="J183" i="3"/>
  <c r="J179" i="3"/>
  <c r="J175" i="3"/>
  <c r="J171" i="3"/>
  <c r="J167" i="3"/>
  <c r="J163" i="3"/>
  <c r="J159" i="3"/>
  <c r="J155" i="3"/>
  <c r="J151" i="3"/>
  <c r="J147" i="3"/>
  <c r="J143" i="3"/>
  <c r="J139" i="3"/>
  <c r="J135" i="3"/>
  <c r="J131" i="3"/>
  <c r="J293" i="3"/>
  <c r="J239" i="3"/>
  <c r="J307" i="3"/>
  <c r="J306" i="3"/>
  <c r="J294" i="3"/>
  <c r="J282" i="3"/>
  <c r="J274" i="3"/>
  <c r="J270" i="3"/>
  <c r="J266" i="3"/>
  <c r="J254" i="3"/>
  <c r="J238" i="3"/>
  <c r="J230" i="3"/>
  <c r="J220" i="3"/>
  <c r="J212" i="3"/>
  <c r="J206" i="3"/>
  <c r="J275" i="3"/>
  <c r="J221" i="3"/>
  <c r="J213" i="3"/>
  <c r="J201" i="3"/>
  <c r="J197" i="3"/>
  <c r="J193" i="3"/>
  <c r="J292" i="3"/>
  <c r="J276" i="3"/>
  <c r="J260" i="3"/>
  <c r="J240" i="3"/>
  <c r="J214" i="3"/>
  <c r="J202" i="3"/>
  <c r="J184" i="3"/>
  <c r="J180" i="3"/>
  <c r="J176" i="3"/>
  <c r="J172" i="3"/>
  <c r="J168" i="3"/>
  <c r="J164" i="3"/>
  <c r="J160" i="3"/>
  <c r="J156" i="3"/>
  <c r="J152" i="3"/>
  <c r="J148" i="3"/>
  <c r="J144" i="3"/>
  <c r="J140" i="3"/>
  <c r="J136" i="3"/>
  <c r="J132" i="3"/>
  <c r="J288" i="3"/>
  <c r="J268" i="3"/>
  <c r="J262" i="3"/>
  <c r="J291" i="3"/>
  <c r="J283" i="3"/>
  <c r="J271" i="3"/>
  <c r="J267" i="3"/>
  <c r="J255" i="3"/>
  <c r="J241" i="3"/>
  <c r="J231" i="3"/>
  <c r="J215" i="3"/>
  <c r="J207" i="3"/>
  <c r="J203" i="3"/>
  <c r="J278" i="3"/>
  <c r="J244" i="3"/>
  <c r="J290" i="3"/>
  <c r="J284" i="3"/>
  <c r="J256" i="3"/>
  <c r="J250" i="3"/>
  <c r="J242" i="3"/>
  <c r="J232" i="3"/>
  <c r="J222" i="3"/>
  <c r="J216" i="3"/>
  <c r="J198" i="3"/>
  <c r="J194" i="3"/>
  <c r="J272" i="3"/>
  <c r="J289" i="3"/>
  <c r="J285" i="3"/>
  <c r="J277" i="3"/>
  <c r="J261" i="3"/>
  <c r="J257" i="3"/>
  <c r="J243" i="3"/>
  <c r="J233" i="3"/>
  <c r="J223" i="3"/>
  <c r="J217" i="3"/>
  <c r="J185" i="3"/>
  <c r="J181" i="3"/>
  <c r="J177" i="3"/>
  <c r="J173" i="3"/>
  <c r="J169" i="3"/>
  <c r="J165" i="3"/>
  <c r="J161" i="3"/>
  <c r="J157" i="3"/>
  <c r="J153" i="3"/>
  <c r="J149" i="3"/>
  <c r="J145" i="3"/>
  <c r="J141" i="3"/>
  <c r="J137" i="3"/>
  <c r="J133" i="3"/>
  <c r="J287" i="3"/>
  <c r="J279" i="3"/>
  <c r="J263" i="3"/>
  <c r="J251" i="3"/>
  <c r="J245" i="3"/>
  <c r="J225" i="3"/>
  <c r="J199" i="3"/>
  <c r="J195" i="3"/>
  <c r="J298" i="3"/>
  <c r="J280" i="3"/>
  <c r="J258" i="3"/>
  <c r="J252" i="3"/>
  <c r="J246" i="3"/>
  <c r="J234" i="3"/>
  <c r="J226" i="3"/>
  <c r="J218" i="3"/>
  <c r="J186" i="3"/>
  <c r="J182" i="3"/>
  <c r="J178" i="3"/>
  <c r="J174" i="3"/>
  <c r="J170" i="3"/>
  <c r="J166" i="3"/>
  <c r="J162" i="3"/>
  <c r="J158" i="3"/>
  <c r="J154" i="3"/>
  <c r="J150" i="3"/>
  <c r="J146" i="3"/>
  <c r="J142" i="3"/>
  <c r="J138" i="3"/>
  <c r="J134" i="3"/>
  <c r="Z20" i="3"/>
  <c r="N31" i="3"/>
  <c r="Z36" i="3"/>
  <c r="N47" i="3"/>
  <c r="Z59" i="3"/>
  <c r="X59" i="3"/>
  <c r="X83" i="3"/>
  <c r="Z83" i="3" s="1"/>
  <c r="Z85" i="3"/>
  <c r="Z100" i="3"/>
  <c r="Z92" i="3"/>
  <c r="D12" i="3"/>
  <c r="L15" i="3"/>
  <c r="X87" i="3"/>
  <c r="Z87" i="3" s="1"/>
  <c r="P22" i="6"/>
  <c r="X16" i="6"/>
  <c r="N29" i="6"/>
  <c r="Z16" i="12"/>
  <c r="N83" i="3"/>
  <c r="N223" i="3"/>
  <c r="N15" i="3"/>
  <c r="Z31" i="3"/>
  <c r="X31" i="3"/>
  <c r="X47" i="3"/>
  <c r="Z47" i="3" s="1"/>
  <c r="Z61" i="3"/>
  <c r="Z72" i="3"/>
  <c r="Z89" i="3"/>
  <c r="N95" i="3"/>
  <c r="Z108" i="3"/>
  <c r="N212" i="3"/>
  <c r="N256" i="3"/>
  <c r="N306" i="3"/>
  <c r="Z18" i="9"/>
  <c r="Z69" i="9"/>
  <c r="X63" i="3"/>
  <c r="Z63" i="3" s="1"/>
  <c r="Z91" i="3"/>
  <c r="X91" i="3"/>
  <c r="Z93" i="3"/>
  <c r="J224" i="3"/>
  <c r="J250" i="12"/>
  <c r="J242" i="12"/>
  <c r="J214" i="12"/>
  <c r="J204" i="12"/>
  <c r="J194" i="12"/>
  <c r="J186" i="12"/>
  <c r="J154" i="12"/>
  <c r="J150" i="12"/>
  <c r="J146" i="12"/>
  <c r="J142" i="12"/>
  <c r="J138" i="12"/>
  <c r="J134" i="12"/>
  <c r="J130" i="12"/>
  <c r="J126" i="12"/>
  <c r="J122" i="12"/>
  <c r="J243" i="12"/>
  <c r="J225" i="12"/>
  <c r="J205" i="12"/>
  <c r="J195" i="12"/>
  <c r="J177" i="12"/>
  <c r="J173" i="12"/>
  <c r="J244" i="12"/>
  <c r="J236" i="12"/>
  <c r="J232" i="12"/>
  <c r="J220" i="12"/>
  <c r="J206" i="12"/>
  <c r="J196" i="12"/>
  <c r="J168" i="12"/>
  <c r="J164" i="12"/>
  <c r="J106" i="12"/>
  <c r="J221" i="12"/>
  <c r="J215" i="12"/>
  <c r="J207" i="12"/>
  <c r="J197" i="12"/>
  <c r="J187" i="12"/>
  <c r="J155" i="12"/>
  <c r="J151" i="12"/>
  <c r="J147" i="12"/>
  <c r="J143" i="12"/>
  <c r="J139" i="12"/>
  <c r="J135" i="12"/>
  <c r="J131" i="12"/>
  <c r="J127" i="12"/>
  <c r="J123" i="12"/>
  <c r="J119" i="12"/>
  <c r="J115" i="12"/>
  <c r="J111" i="12"/>
  <c r="J107" i="12"/>
  <c r="J258" i="12"/>
  <c r="J226" i="12"/>
  <c r="J222" i="12"/>
  <c r="J208" i="12"/>
  <c r="J198" i="12"/>
  <c r="J188" i="12"/>
  <c r="J178" i="12"/>
  <c r="J174" i="12"/>
  <c r="J160" i="12"/>
  <c r="J257" i="12"/>
  <c r="J245" i="12"/>
  <c r="J237" i="12"/>
  <c r="J233" i="12"/>
  <c r="J227" i="12"/>
  <c r="J209" i="12"/>
  <c r="J189" i="12"/>
  <c r="J179" i="12"/>
  <c r="J169" i="12"/>
  <c r="J165" i="12"/>
  <c r="J161" i="12"/>
  <c r="J159" i="12"/>
  <c r="J157" i="12"/>
  <c r="J255" i="12"/>
  <c r="J239" i="12"/>
  <c r="J223" i="12"/>
  <c r="J217" i="12"/>
  <c r="J211" i="12"/>
  <c r="J199" i="12"/>
  <c r="J181" i="12"/>
  <c r="J175" i="12"/>
  <c r="J254" i="12"/>
  <c r="J246" i="12"/>
  <c r="J234" i="12"/>
  <c r="J218" i="12"/>
  <c r="J212" i="12"/>
  <c r="J200" i="12"/>
  <c r="J190" i="12"/>
  <c r="J182" i="12"/>
  <c r="J170" i="12"/>
  <c r="J166" i="12"/>
  <c r="J162" i="12"/>
  <c r="J252" i="12"/>
  <c r="J248" i="12"/>
  <c r="J240" i="12"/>
  <c r="J230" i="12"/>
  <c r="J224" i="12"/>
  <c r="J202" i="12"/>
  <c r="J192" i="12"/>
  <c r="J184" i="12"/>
  <c r="J176" i="12"/>
  <c r="J172" i="12"/>
  <c r="J251" i="12"/>
  <c r="J241" i="12"/>
  <c r="J235" i="12"/>
  <c r="J231" i="12"/>
  <c r="J219" i="12"/>
  <c r="J203" i="12"/>
  <c r="J193" i="12"/>
  <c r="J185" i="12"/>
  <c r="J167" i="12"/>
  <c r="J163" i="12"/>
  <c r="J153" i="12"/>
  <c r="J136" i="12"/>
  <c r="J125" i="12"/>
  <c r="J216" i="12"/>
  <c r="J133" i="12"/>
  <c r="J180" i="12"/>
  <c r="J140" i="12"/>
  <c r="J183" i="12"/>
  <c r="J262" i="12"/>
  <c r="J129" i="12"/>
  <c r="J116" i="12"/>
  <c r="J112" i="12"/>
  <c r="J110" i="12"/>
  <c r="J108" i="12"/>
  <c r="J171" i="12"/>
  <c r="J148" i="12"/>
  <c r="J201" i="12"/>
  <c r="J144" i="12"/>
  <c r="J120" i="12"/>
  <c r="J118" i="12"/>
  <c r="J114" i="12"/>
  <c r="J228" i="12"/>
  <c r="J210" i="12"/>
  <c r="H157" i="12"/>
  <c r="J145" i="12"/>
  <c r="J113" i="12"/>
  <c r="J152" i="12"/>
  <c r="J137" i="12"/>
  <c r="J124" i="12"/>
  <c r="J117" i="12"/>
  <c r="J253" i="12"/>
  <c r="J191" i="12"/>
  <c r="J141" i="12"/>
  <c r="J213" i="12"/>
  <c r="J128" i="12"/>
  <c r="J109" i="12"/>
  <c r="J149" i="12"/>
  <c r="J132" i="12"/>
  <c r="J121" i="12"/>
  <c r="J256" i="12"/>
  <c r="J247" i="12"/>
  <c r="J238" i="12"/>
  <c r="J229" i="12"/>
  <c r="N87" i="3"/>
  <c r="N130" i="3"/>
  <c r="N67" i="3"/>
  <c r="Z262" i="3"/>
  <c r="Z60" i="9"/>
  <c r="X55" i="3"/>
  <c r="Z55" i="3" s="1"/>
  <c r="Z220" i="3"/>
  <c r="Z16" i="3"/>
  <c r="X27" i="3"/>
  <c r="Z27" i="3" s="1"/>
  <c r="Z15" i="3"/>
  <c r="X15" i="3"/>
  <c r="Z56" i="3"/>
  <c r="N71" i="3"/>
  <c r="N107" i="3"/>
  <c r="Z116" i="3"/>
  <c r="J208" i="3"/>
  <c r="L287" i="3"/>
  <c r="N19" i="9"/>
  <c r="Z39" i="9"/>
  <c r="N59" i="3"/>
  <c r="Z43" i="3"/>
  <c r="X43" i="3"/>
  <c r="X19" i="3"/>
  <c r="Z19" i="3" s="1"/>
  <c r="X35" i="3"/>
  <c r="Z35" i="3" s="1"/>
  <c r="Z28" i="3"/>
  <c r="N39" i="3"/>
  <c r="Z44" i="3"/>
  <c r="X51" i="3"/>
  <c r="Z51" i="3" s="1"/>
  <c r="Z67" i="3"/>
  <c r="X67" i="3"/>
  <c r="Z69" i="3"/>
  <c r="N75" i="3"/>
  <c r="Z80" i="3"/>
  <c r="Z105" i="3"/>
  <c r="Z120" i="3"/>
  <c r="N190" i="3"/>
  <c r="Z229" i="3"/>
  <c r="Z237" i="3"/>
  <c r="N294" i="3"/>
  <c r="N307" i="3"/>
  <c r="N28" i="6"/>
  <c r="R62" i="9"/>
  <c r="L36" i="12"/>
  <c r="N36" i="12" s="1"/>
  <c r="L96" i="12"/>
  <c r="N96" i="12" s="1"/>
  <c r="Z33" i="15"/>
  <c r="X18" i="3"/>
  <c r="Z18" i="3" s="1"/>
  <c r="Z14" i="3"/>
  <c r="R131" i="3"/>
  <c r="R135" i="3"/>
  <c r="R139" i="3"/>
  <c r="R143" i="3"/>
  <c r="R147" i="3"/>
  <c r="R151" i="3"/>
  <c r="R155" i="3"/>
  <c r="R159" i="3"/>
  <c r="R163" i="3"/>
  <c r="R167" i="3"/>
  <c r="R171" i="3"/>
  <c r="R175" i="3"/>
  <c r="R179" i="3"/>
  <c r="R183" i="3"/>
  <c r="R211" i="3"/>
  <c r="R212" i="3"/>
  <c r="R219" i="3"/>
  <c r="R220" i="3"/>
  <c r="R259" i="3"/>
  <c r="H287" i="3"/>
  <c r="R294" i="3"/>
  <c r="R306" i="3"/>
  <c r="R307" i="3"/>
  <c r="T16" i="6"/>
  <c r="F14" i="9"/>
  <c r="F16" i="9"/>
  <c r="F18" i="9"/>
  <c r="V22" i="9"/>
  <c r="V26" i="9"/>
  <c r="V31" i="9"/>
  <c r="V38" i="9"/>
  <c r="R42" i="9"/>
  <c r="V43" i="9"/>
  <c r="J45" i="9"/>
  <c r="V46" i="9"/>
  <c r="F49" i="9"/>
  <c r="F56" i="9"/>
  <c r="J63" i="9"/>
  <c r="X69" i="9"/>
  <c r="J71" i="9"/>
  <c r="X80" i="9"/>
  <c r="Z80" i="9" s="1"/>
  <c r="R93" i="9"/>
  <c r="R98" i="9"/>
  <c r="N19" i="12"/>
  <c r="N21" i="12"/>
  <c r="N101" i="12"/>
  <c r="L103" i="12"/>
  <c r="N103" i="12" s="1"/>
  <c r="X106" i="12"/>
  <c r="Z106" i="12" s="1"/>
  <c r="F165" i="12"/>
  <c r="F170" i="12"/>
  <c r="F182" i="12"/>
  <c r="L227" i="12"/>
  <c r="F245" i="12"/>
  <c r="N250" i="12"/>
  <c r="Z14" i="15"/>
  <c r="Z18" i="15"/>
  <c r="Z22" i="15"/>
  <c r="X26" i="15"/>
  <c r="Z26" i="15" s="1"/>
  <c r="X30" i="15"/>
  <c r="X34" i="15"/>
  <c r="X38" i="15"/>
  <c r="X42" i="15"/>
  <c r="Z42" i="15" s="1"/>
  <c r="X46" i="15"/>
  <c r="X50" i="15"/>
  <c r="X54" i="15"/>
  <c r="Z54" i="15" s="1"/>
  <c r="X58" i="15"/>
  <c r="Z58" i="15" s="1"/>
  <c r="Z91" i="15"/>
  <c r="P188" i="3"/>
  <c r="R192" i="3"/>
  <c r="R196" i="3"/>
  <c r="R200" i="3"/>
  <c r="R228" i="3"/>
  <c r="R229" i="3"/>
  <c r="R236" i="3"/>
  <c r="R237" i="3"/>
  <c r="R248" i="3"/>
  <c r="R264" i="3"/>
  <c r="R265" i="3"/>
  <c r="R295" i="3"/>
  <c r="R302" i="3"/>
  <c r="V14" i="6"/>
  <c r="V16" i="6"/>
  <c r="V18" i="6"/>
  <c r="V20" i="6"/>
  <c r="V22" i="6"/>
  <c r="H16" i="9"/>
  <c r="F19" i="9"/>
  <c r="F20" i="9"/>
  <c r="F24" i="9"/>
  <c r="F28" i="9"/>
  <c r="F35" i="9"/>
  <c r="N49" i="9"/>
  <c r="V50" i="9"/>
  <c r="V57" i="9"/>
  <c r="R72" i="9"/>
  <c r="R83" i="9"/>
  <c r="N85" i="9"/>
  <c r="V89" i="9"/>
  <c r="N25" i="12"/>
  <c r="N29" i="12"/>
  <c r="N33" i="12"/>
  <c r="N37" i="12"/>
  <c r="N99" i="12"/>
  <c r="L99" i="12"/>
  <c r="N227" i="12"/>
  <c r="Z28" i="15"/>
  <c r="Z30" i="15"/>
  <c r="Z32" i="15"/>
  <c r="Z34" i="15"/>
  <c r="Z38" i="15"/>
  <c r="Z46" i="15"/>
  <c r="Z50" i="15"/>
  <c r="Z52" i="15"/>
  <c r="X62" i="15"/>
  <c r="X66" i="15"/>
  <c r="R157" i="15"/>
  <c r="L43" i="12"/>
  <c r="N43" i="12" s="1"/>
  <c r="N67" i="12"/>
  <c r="L67" i="12"/>
  <c r="N83" i="12"/>
  <c r="L83" i="12"/>
  <c r="R134" i="3"/>
  <c r="R138" i="3"/>
  <c r="R142" i="3"/>
  <c r="R146" i="3"/>
  <c r="R150" i="3"/>
  <c r="R154" i="3"/>
  <c r="R158" i="3"/>
  <c r="R162" i="3"/>
  <c r="R166" i="3"/>
  <c r="R170" i="3"/>
  <c r="R174" i="3"/>
  <c r="R178" i="3"/>
  <c r="R182" i="3"/>
  <c r="R186" i="3"/>
  <c r="R191" i="3"/>
  <c r="R218" i="3"/>
  <c r="R226" i="3"/>
  <c r="R227" i="3"/>
  <c r="R234" i="3"/>
  <c r="R235" i="3"/>
  <c r="R246" i="3"/>
  <c r="R247" i="3"/>
  <c r="R258" i="3"/>
  <c r="L262" i="3"/>
  <c r="N262" i="3" s="1"/>
  <c r="L278" i="3"/>
  <c r="N278" i="3" s="1"/>
  <c r="L288" i="3"/>
  <c r="X294" i="3"/>
  <c r="Z294" i="3" s="1"/>
  <c r="R297" i="3"/>
  <c r="X306" i="3"/>
  <c r="Z306" i="3" s="1"/>
  <c r="X307" i="3"/>
  <c r="Z307" i="3" s="1"/>
  <c r="Z12" i="6"/>
  <c r="F82" i="9"/>
  <c r="F70" i="9"/>
  <c r="F69" i="9"/>
  <c r="F46" i="9"/>
  <c r="F45" i="9"/>
  <c r="F71" i="9"/>
  <c r="F59" i="9"/>
  <c r="F58" i="9"/>
  <c r="F86" i="9"/>
  <c r="F85" i="9"/>
  <c r="F52" i="9"/>
  <c r="F51" i="9"/>
  <c r="F40" i="9"/>
  <c r="F39" i="9"/>
  <c r="F81" i="9"/>
  <c r="F80" i="9"/>
  <c r="F91" i="9"/>
  <c r="F89" i="9"/>
  <c r="L14" i="9"/>
  <c r="L18" i="9"/>
  <c r="N18" i="9" s="1"/>
  <c r="F32" i="9"/>
  <c r="V33" i="9"/>
  <c r="R41" i="9"/>
  <c r="F44" i="9"/>
  <c r="F48" i="9"/>
  <c r="R52" i="9"/>
  <c r="F55" i="9"/>
  <c r="R59" i="9"/>
  <c r="F62" i="9"/>
  <c r="R63" i="9"/>
  <c r="V71" i="9"/>
  <c r="X72" i="9"/>
  <c r="Z72" i="9" s="1"/>
  <c r="F74" i="9"/>
  <c r="V82" i="9"/>
  <c r="F95" i="9"/>
  <c r="N191" i="12"/>
  <c r="N217" i="12"/>
  <c r="X241" i="12"/>
  <c r="Z241" i="12" s="1"/>
  <c r="Z251" i="12"/>
  <c r="T250" i="12"/>
  <c r="F255" i="12"/>
  <c r="J243" i="15"/>
  <c r="J233" i="15"/>
  <c r="J227" i="15"/>
  <c r="J223" i="15"/>
  <c r="J211" i="15"/>
  <c r="J205" i="15"/>
  <c r="J175" i="15"/>
  <c r="J235" i="15"/>
  <c r="J217" i="15"/>
  <c r="J236" i="15"/>
  <c r="J228" i="15"/>
  <c r="J224" i="15"/>
  <c r="J212" i="15"/>
  <c r="J250" i="15"/>
  <c r="J218" i="15"/>
  <c r="J198" i="15"/>
  <c r="J188" i="15"/>
  <c r="J180" i="15"/>
  <c r="J249" i="15"/>
  <c r="J237" i="15"/>
  <c r="J229" i="15"/>
  <c r="J225" i="15"/>
  <c r="J219" i="15"/>
  <c r="J213" i="15"/>
  <c r="J199" i="15"/>
  <c r="J189" i="15"/>
  <c r="J181" i="15"/>
  <c r="J247" i="15"/>
  <c r="J231" i="15"/>
  <c r="J215" i="15"/>
  <c r="J201" i="15"/>
  <c r="J244" i="15"/>
  <c r="J240" i="15"/>
  <c r="J232" i="15"/>
  <c r="J222" i="15"/>
  <c r="J216" i="15"/>
  <c r="J210" i="15"/>
  <c r="J204" i="15"/>
  <c r="J184" i="15"/>
  <c r="J174" i="15"/>
  <c r="J221" i="15"/>
  <c r="J170" i="15"/>
  <c r="J165" i="15"/>
  <c r="J161" i="15"/>
  <c r="J157" i="15"/>
  <c r="J103" i="15"/>
  <c r="J248" i="15"/>
  <c r="J230" i="15"/>
  <c r="J206" i="15"/>
  <c r="J166" i="15"/>
  <c r="J148" i="15"/>
  <c r="J144" i="15"/>
  <c r="J140" i="15"/>
  <c r="J136" i="15"/>
  <c r="J132" i="15"/>
  <c r="J128" i="15"/>
  <c r="J124" i="15"/>
  <c r="J120" i="15"/>
  <c r="J116" i="15"/>
  <c r="J112" i="15"/>
  <c r="J108" i="15"/>
  <c r="J104" i="15"/>
  <c r="J239" i="15"/>
  <c r="J234" i="15"/>
  <c r="J226" i="15"/>
  <c r="J196" i="15"/>
  <c r="J178" i="15"/>
  <c r="J167" i="15"/>
  <c r="J245" i="15"/>
  <c r="J214" i="15"/>
  <c r="J209" i="15"/>
  <c r="J192" i="15"/>
  <c r="J185" i="15"/>
  <c r="J182" i="15"/>
  <c r="J162" i="15"/>
  <c r="J158" i="15"/>
  <c r="J202" i="15"/>
  <c r="J171" i="15"/>
  <c r="J149" i="15"/>
  <c r="J145" i="15"/>
  <c r="J141" i="15"/>
  <c r="J137" i="15"/>
  <c r="J133" i="15"/>
  <c r="J129" i="15"/>
  <c r="J125" i="15"/>
  <c r="J121" i="15"/>
  <c r="J117" i="15"/>
  <c r="J113" i="15"/>
  <c r="J109" i="15"/>
  <c r="J105" i="15"/>
  <c r="J207" i="15"/>
  <c r="J179" i="15"/>
  <c r="J176" i="15"/>
  <c r="J168" i="15"/>
  <c r="N12" i="15"/>
  <c r="J197" i="15"/>
  <c r="J193" i="15"/>
  <c r="J190" i="15"/>
  <c r="J163" i="15"/>
  <c r="J159" i="15"/>
  <c r="J246" i="15"/>
  <c r="J220" i="15"/>
  <c r="J186" i="15"/>
  <c r="J183" i="15"/>
  <c r="J172" i="15"/>
  <c r="J150" i="15"/>
  <c r="J146" i="15"/>
  <c r="J142" i="15"/>
  <c r="J138" i="15"/>
  <c r="J134" i="15"/>
  <c r="J130" i="15"/>
  <c r="J126" i="15"/>
  <c r="J122" i="15"/>
  <c r="J118" i="15"/>
  <c r="J114" i="15"/>
  <c r="J110" i="15"/>
  <c r="J106" i="15"/>
  <c r="J203" i="15"/>
  <c r="J155" i="15"/>
  <c r="J254" i="15"/>
  <c r="J208" i="15"/>
  <c r="J200" i="15"/>
  <c r="J194" i="15"/>
  <c r="J187" i="15"/>
  <c r="J177" i="15"/>
  <c r="H152" i="15"/>
  <c r="J147" i="15"/>
  <c r="J143" i="15"/>
  <c r="J139" i="15"/>
  <c r="J135" i="15"/>
  <c r="J131" i="15"/>
  <c r="J127" i="15"/>
  <c r="J123" i="15"/>
  <c r="J119" i="15"/>
  <c r="J115" i="15"/>
  <c r="J111" i="15"/>
  <c r="J107" i="15"/>
  <c r="J195" i="15"/>
  <c r="J191" i="15"/>
  <c r="J173" i="15"/>
  <c r="N17" i="15"/>
  <c r="N21" i="15"/>
  <c r="X70" i="15"/>
  <c r="X74" i="15"/>
  <c r="X78" i="15"/>
  <c r="Z78" i="15" s="1"/>
  <c r="X82" i="15"/>
  <c r="X86" i="15"/>
  <c r="R165" i="15"/>
  <c r="L51" i="12"/>
  <c r="N51" i="12" s="1"/>
  <c r="R195" i="3"/>
  <c r="R199" i="3"/>
  <c r="R251" i="3"/>
  <c r="R252" i="3"/>
  <c r="R263" i="3"/>
  <c r="R279" i="3"/>
  <c r="R280" i="3"/>
  <c r="P287" i="3"/>
  <c r="R298" i="3"/>
  <c r="D16" i="6"/>
  <c r="F24" i="6"/>
  <c r="J98" i="9"/>
  <c r="J95" i="9"/>
  <c r="J83" i="9"/>
  <c r="J77" i="9"/>
  <c r="J57" i="9"/>
  <c r="J47" i="9"/>
  <c r="J37" i="9"/>
  <c r="J33" i="9"/>
  <c r="J86" i="9"/>
  <c r="J78" i="9"/>
  <c r="J72" i="9"/>
  <c r="J66" i="9"/>
  <c r="J60" i="9"/>
  <c r="J50" i="9"/>
  <c r="J38" i="9"/>
  <c r="J34" i="9"/>
  <c r="J87" i="9"/>
  <c r="J79" i="9"/>
  <c r="J75" i="9"/>
  <c r="J67" i="9"/>
  <c r="J53" i="9"/>
  <c r="J41" i="9"/>
  <c r="J35" i="9"/>
  <c r="J76" i="9"/>
  <c r="J68" i="9"/>
  <c r="J93" i="9"/>
  <c r="F23" i="9"/>
  <c r="F27" i="9"/>
  <c r="F31" i="9"/>
  <c r="J32" i="9"/>
  <c r="V35" i="9"/>
  <c r="L39" i="9"/>
  <c r="N39" i="9" s="1"/>
  <c r="R40" i="9"/>
  <c r="J44" i="9"/>
  <c r="J48" i="9"/>
  <c r="L51" i="9"/>
  <c r="N51" i="9" s="1"/>
  <c r="V52" i="9"/>
  <c r="X53" i="9"/>
  <c r="Z53" i="9" s="1"/>
  <c r="J55" i="9"/>
  <c r="L58" i="9"/>
  <c r="N58" i="9" s="1"/>
  <c r="V59" i="9"/>
  <c r="X60" i="9"/>
  <c r="J62" i="9"/>
  <c r="F65" i="9"/>
  <c r="N74" i="9"/>
  <c r="V75" i="9"/>
  <c r="J91" i="9"/>
  <c r="L159" i="12"/>
  <c r="N159" i="12" s="1"/>
  <c r="F189" i="12"/>
  <c r="F234" i="12"/>
  <c r="Z70" i="15"/>
  <c r="Z74" i="15"/>
  <c r="Z82" i="15"/>
  <c r="Z86" i="15"/>
  <c r="R174" i="15"/>
  <c r="J238" i="15"/>
  <c r="Z83" i="9"/>
  <c r="L35" i="12"/>
  <c r="N35" i="12" s="1"/>
  <c r="L39" i="12"/>
  <c r="N39" i="12" s="1"/>
  <c r="N47" i="12"/>
  <c r="L47" i="12"/>
  <c r="N55" i="12"/>
  <c r="L55" i="12"/>
  <c r="L63" i="12"/>
  <c r="N63" i="12" s="1"/>
  <c r="N75" i="12"/>
  <c r="L75" i="12"/>
  <c r="L91" i="12"/>
  <c r="N91" i="12" s="1"/>
  <c r="L95" i="12"/>
  <c r="N95" i="12" s="1"/>
  <c r="Z64" i="15"/>
  <c r="L20" i="18"/>
  <c r="D12" i="18"/>
  <c r="R204" i="3"/>
  <c r="R208" i="3"/>
  <c r="R224" i="3"/>
  <c r="R225" i="3"/>
  <c r="R244" i="3"/>
  <c r="R245" i="3"/>
  <c r="R268" i="3"/>
  <c r="R272" i="3"/>
  <c r="R287" i="3"/>
  <c r="P16" i="9"/>
  <c r="R20" i="9"/>
  <c r="R24" i="9"/>
  <c r="R28" i="9"/>
  <c r="R37" i="9"/>
  <c r="V40" i="9"/>
  <c r="F43" i="9"/>
  <c r="V45" i="9"/>
  <c r="F47" i="9"/>
  <c r="R49" i="9"/>
  <c r="R56" i="9"/>
  <c r="N65" i="9"/>
  <c r="V66" i="9"/>
  <c r="V68" i="9"/>
  <c r="V77" i="9"/>
  <c r="V79" i="9"/>
  <c r="J81" i="9"/>
  <c r="F84" i="9"/>
  <c r="Z85" i="9"/>
  <c r="V87" i="9"/>
  <c r="P12" i="12"/>
  <c r="N14" i="12"/>
  <c r="L14" i="12"/>
  <c r="L16" i="12"/>
  <c r="N16" i="12" s="1"/>
  <c r="N104" i="12"/>
  <c r="L104" i="12"/>
  <c r="F166" i="12"/>
  <c r="N179" i="12"/>
  <c r="F181" i="12"/>
  <c r="X193" i="12"/>
  <c r="Z193" i="12" s="1"/>
  <c r="F237" i="12"/>
  <c r="F246" i="12"/>
  <c r="N65" i="15"/>
  <c r="Z90" i="15"/>
  <c r="X94" i="15"/>
  <c r="Z94" i="15" s="1"/>
  <c r="X98" i="15"/>
  <c r="Z98" i="15" s="1"/>
  <c r="L27" i="12"/>
  <c r="N27" i="12" s="1"/>
  <c r="N31" i="12"/>
  <c r="L31" i="12"/>
  <c r="L59" i="12"/>
  <c r="N59" i="12" s="1"/>
  <c r="N71" i="12"/>
  <c r="L71" i="12"/>
  <c r="N79" i="12"/>
  <c r="L79" i="12"/>
  <c r="N87" i="12"/>
  <c r="L87" i="12"/>
  <c r="Z66" i="15"/>
  <c r="N155" i="15"/>
  <c r="L155" i="15"/>
  <c r="Z13" i="3"/>
  <c r="X12" i="3"/>
  <c r="R133" i="3"/>
  <c r="R137" i="3"/>
  <c r="R141" i="3"/>
  <c r="R145" i="3"/>
  <c r="R149" i="3"/>
  <c r="R153" i="3"/>
  <c r="R157" i="3"/>
  <c r="R161" i="3"/>
  <c r="R165" i="3"/>
  <c r="R169" i="3"/>
  <c r="R173" i="3"/>
  <c r="R177" i="3"/>
  <c r="R181" i="3"/>
  <c r="R185" i="3"/>
  <c r="R217" i="3"/>
  <c r="R233" i="3"/>
  <c r="R257" i="3"/>
  <c r="R261" i="3"/>
  <c r="R262" i="3"/>
  <c r="R277" i="3"/>
  <c r="R278" i="3"/>
  <c r="R285" i="3"/>
  <c r="T287" i="3"/>
  <c r="R288" i="3"/>
  <c r="R14" i="9"/>
  <c r="R16" i="9"/>
  <c r="R18" i="9"/>
  <c r="V20" i="9"/>
  <c r="V24" i="9"/>
  <c r="V28" i="9"/>
  <c r="F30" i="9"/>
  <c r="J31" i="9"/>
  <c r="F34" i="9"/>
  <c r="V37" i="9"/>
  <c r="J39" i="9"/>
  <c r="N43" i="9"/>
  <c r="Z49" i="9"/>
  <c r="J51" i="9"/>
  <c r="Z56" i="9"/>
  <c r="J58" i="9"/>
  <c r="J65" i="9"/>
  <c r="F73" i="9"/>
  <c r="J84" i="9"/>
  <c r="R95" i="9"/>
  <c r="T12" i="12"/>
  <c r="X14" i="12"/>
  <c r="Z14" i="12" s="1"/>
  <c r="X16" i="12"/>
  <c r="L18" i="12"/>
  <c r="N18" i="12" s="1"/>
  <c r="L20" i="12"/>
  <c r="N20" i="12" s="1"/>
  <c r="N100" i="12"/>
  <c r="L100" i="12"/>
  <c r="N102" i="12"/>
  <c r="L102" i="12"/>
  <c r="F161" i="12"/>
  <c r="N171" i="12"/>
  <c r="N181" i="12"/>
  <c r="N183" i="12"/>
  <c r="Z195" i="12"/>
  <c r="Z253" i="12"/>
  <c r="T12" i="15"/>
  <c r="Z13" i="15"/>
  <c r="X13" i="15"/>
  <c r="Z17" i="15"/>
  <c r="X17" i="15"/>
  <c r="Z21" i="15"/>
  <c r="X21" i="15"/>
  <c r="J152" i="15"/>
  <c r="J156" i="15"/>
  <c r="R170" i="15"/>
  <c r="R244" i="15"/>
  <c r="N84" i="18"/>
  <c r="R48" i="9"/>
  <c r="N22" i="12"/>
  <c r="L22" i="12"/>
  <c r="L28" i="12"/>
  <c r="N28" i="12" s="1"/>
  <c r="N44" i="12"/>
  <c r="L44" i="12"/>
  <c r="L52" i="12"/>
  <c r="N52" i="12" s="1"/>
  <c r="L60" i="12"/>
  <c r="N60" i="12" s="1"/>
  <c r="L76" i="12"/>
  <c r="N76" i="12" s="1"/>
  <c r="N84" i="12"/>
  <c r="L84" i="12"/>
  <c r="L88" i="12"/>
  <c r="N88" i="12" s="1"/>
  <c r="Z25" i="15"/>
  <c r="X25" i="15"/>
  <c r="Z45" i="15"/>
  <c r="Z59" i="15"/>
  <c r="X95" i="3"/>
  <c r="Z95" i="3" s="1"/>
  <c r="X99" i="3"/>
  <c r="Z99" i="3" s="1"/>
  <c r="X103" i="3"/>
  <c r="Z103" i="3" s="1"/>
  <c r="X107" i="3"/>
  <c r="Z107" i="3" s="1"/>
  <c r="X111" i="3"/>
  <c r="Z111" i="3" s="1"/>
  <c r="X115" i="3"/>
  <c r="Z115" i="3" s="1"/>
  <c r="X119" i="3"/>
  <c r="Z119" i="3" s="1"/>
  <c r="X123" i="3"/>
  <c r="Z123" i="3" s="1"/>
  <c r="X127" i="3"/>
  <c r="Z127" i="3" s="1"/>
  <c r="R203" i="3"/>
  <c r="R207" i="3"/>
  <c r="R215" i="3"/>
  <c r="R216" i="3"/>
  <c r="R231" i="3"/>
  <c r="R232" i="3"/>
  <c r="R255" i="3"/>
  <c r="R256" i="3"/>
  <c r="R267" i="3"/>
  <c r="R271" i="3"/>
  <c r="R283" i="3"/>
  <c r="R284" i="3"/>
  <c r="R290" i="3"/>
  <c r="V73" i="9"/>
  <c r="V61" i="9"/>
  <c r="V53" i="9"/>
  <c r="V41" i="9"/>
  <c r="V29" i="9"/>
  <c r="V62" i="9"/>
  <c r="V54" i="9"/>
  <c r="V42" i="9"/>
  <c r="V98" i="9"/>
  <c r="V95" i="9"/>
  <c r="V93" i="9"/>
  <c r="V83" i="9"/>
  <c r="V63" i="9"/>
  <c r="V55" i="9"/>
  <c r="V47" i="9"/>
  <c r="V84" i="9"/>
  <c r="V72" i="9"/>
  <c r="V64" i="9"/>
  <c r="V60" i="9"/>
  <c r="V48" i="9"/>
  <c r="V14" i="9"/>
  <c r="V16" i="9"/>
  <c r="V18" i="9"/>
  <c r="R23" i="9"/>
  <c r="R27" i="9"/>
  <c r="V32" i="9"/>
  <c r="F42" i="9"/>
  <c r="F67" i="9"/>
  <c r="V70" i="9"/>
  <c r="F72" i="9"/>
  <c r="R74" i="9"/>
  <c r="F78" i="9"/>
  <c r="V81" i="9"/>
  <c r="F83" i="9"/>
  <c r="L26" i="12"/>
  <c r="N26" i="12" s="1"/>
  <c r="N30" i="12"/>
  <c r="L30" i="12"/>
  <c r="L34" i="12"/>
  <c r="N34" i="12" s="1"/>
  <c r="L38" i="12"/>
  <c r="N38" i="12" s="1"/>
  <c r="N42" i="12"/>
  <c r="L42" i="12"/>
  <c r="N46" i="12"/>
  <c r="L46" i="12"/>
  <c r="L50" i="12"/>
  <c r="N50" i="12" s="1"/>
  <c r="N54" i="12"/>
  <c r="L54" i="12"/>
  <c r="L58" i="12"/>
  <c r="N58" i="12" s="1"/>
  <c r="L62" i="12"/>
  <c r="N62" i="12" s="1"/>
  <c r="N66" i="12"/>
  <c r="L66" i="12"/>
  <c r="N70" i="12"/>
  <c r="L70" i="12"/>
  <c r="L74" i="12"/>
  <c r="N74" i="12" s="1"/>
  <c r="N78" i="12"/>
  <c r="L78" i="12"/>
  <c r="L82" i="12"/>
  <c r="N82" i="12" s="1"/>
  <c r="L86" i="12"/>
  <c r="N86" i="12" s="1"/>
  <c r="N90" i="12"/>
  <c r="L90" i="12"/>
  <c r="N94" i="12"/>
  <c r="L94" i="12"/>
  <c r="Z185" i="12"/>
  <c r="N154" i="15"/>
  <c r="R161" i="15"/>
  <c r="J164" i="15"/>
  <c r="N64" i="18"/>
  <c r="T16" i="9"/>
  <c r="R19" i="9"/>
  <c r="R32" i="9"/>
  <c r="R70" i="9"/>
  <c r="R81" i="9"/>
  <c r="N24" i="12"/>
  <c r="L24" i="12"/>
  <c r="L40" i="12"/>
  <c r="N40" i="12" s="1"/>
  <c r="L48" i="12"/>
  <c r="N48" i="12" s="1"/>
  <c r="N64" i="12"/>
  <c r="L64" i="12"/>
  <c r="N72" i="12"/>
  <c r="L72" i="12"/>
  <c r="L80" i="12"/>
  <c r="N80" i="12" s="1"/>
  <c r="N92" i="12"/>
  <c r="L92" i="12"/>
  <c r="L98" i="12"/>
  <c r="N98" i="12" s="1"/>
  <c r="Z35" i="15"/>
  <c r="Z47" i="15"/>
  <c r="Z61" i="15"/>
  <c r="R132" i="3"/>
  <c r="R136" i="3"/>
  <c r="R140" i="3"/>
  <c r="R144" i="3"/>
  <c r="R148" i="3"/>
  <c r="R152" i="3"/>
  <c r="R156" i="3"/>
  <c r="R160" i="3"/>
  <c r="R164" i="3"/>
  <c r="R168" i="3"/>
  <c r="R172" i="3"/>
  <c r="R176" i="3"/>
  <c r="R180" i="3"/>
  <c r="R184" i="3"/>
  <c r="R240" i="3"/>
  <c r="R241" i="3"/>
  <c r="R260" i="3"/>
  <c r="R276" i="3"/>
  <c r="R291" i="3"/>
  <c r="V24" i="6"/>
  <c r="V26" i="6"/>
  <c r="V28" i="6"/>
  <c r="V29" i="6"/>
  <c r="X12" i="9"/>
  <c r="V19" i="9"/>
  <c r="V23" i="9"/>
  <c r="V27" i="9"/>
  <c r="V34" i="9"/>
  <c r="F38" i="9"/>
  <c r="J42" i="9"/>
  <c r="F53" i="9"/>
  <c r="F60" i="9"/>
  <c r="J89" i="9"/>
  <c r="F93" i="9"/>
  <c r="F98" i="9"/>
  <c r="X26" i="12"/>
  <c r="Z26" i="12" s="1"/>
  <c r="X30" i="12"/>
  <c r="Z30" i="12" s="1"/>
  <c r="X34" i="12"/>
  <c r="Z34" i="12" s="1"/>
  <c r="F188" i="12"/>
  <c r="F190" i="12"/>
  <c r="L212" i="12"/>
  <c r="N212" i="12" s="1"/>
  <c r="N93" i="15"/>
  <c r="N97" i="15"/>
  <c r="J154" i="15"/>
  <c r="H242" i="15"/>
  <c r="N243" i="15"/>
  <c r="R86" i="9"/>
  <c r="R78" i="9"/>
  <c r="R66" i="9"/>
  <c r="R51" i="9"/>
  <c r="R50" i="9"/>
  <c r="R39" i="9"/>
  <c r="R38" i="9"/>
  <c r="R34" i="9"/>
  <c r="R87" i="9"/>
  <c r="R80" i="9"/>
  <c r="R79" i="9"/>
  <c r="R75" i="9"/>
  <c r="R67" i="9"/>
  <c r="R35" i="9"/>
  <c r="R91" i="9"/>
  <c r="R89" i="9"/>
  <c r="R76" i="9"/>
  <c r="R69" i="9"/>
  <c r="R68" i="9"/>
  <c r="R45" i="9"/>
  <c r="R44" i="9"/>
  <c r="R36" i="9"/>
  <c r="R77" i="9"/>
  <c r="R58" i="9"/>
  <c r="R57" i="9"/>
  <c r="R85" i="9"/>
  <c r="R84" i="9"/>
  <c r="L56" i="12"/>
  <c r="N56" i="12" s="1"/>
  <c r="R193" i="3"/>
  <c r="R197" i="3"/>
  <c r="R201" i="3"/>
  <c r="R202" i="3"/>
  <c r="R213" i="3"/>
  <c r="R214" i="3"/>
  <c r="R221" i="3"/>
  <c r="R249" i="3"/>
  <c r="R292" i="3"/>
  <c r="Z12" i="9"/>
  <c r="F21" i="9"/>
  <c r="F25" i="9"/>
  <c r="F29" i="9"/>
  <c r="R30" i="9"/>
  <c r="R31" i="9"/>
  <c r="V39" i="9"/>
  <c r="F41" i="9"/>
  <c r="R43" i="9"/>
  <c r="R47" i="9"/>
  <c r="F50" i="9"/>
  <c r="V51" i="9"/>
  <c r="F57" i="9"/>
  <c r="V58" i="9"/>
  <c r="Z65" i="9"/>
  <c r="J69" i="9"/>
  <c r="R73" i="9"/>
  <c r="V74" i="9"/>
  <c r="V76" i="9"/>
  <c r="J80" i="9"/>
  <c r="F252" i="12"/>
  <c r="F235" i="12"/>
  <c r="F231" i="12"/>
  <c r="F230" i="12"/>
  <c r="F219" i="12"/>
  <c r="F203" i="12"/>
  <c r="F202" i="12"/>
  <c r="F167" i="12"/>
  <c r="F163" i="12"/>
  <c r="F251" i="12"/>
  <c r="F242" i="12"/>
  <c r="F241" i="12"/>
  <c r="F214" i="12"/>
  <c r="F194" i="12"/>
  <c r="F193" i="12"/>
  <c r="F186" i="12"/>
  <c r="F185" i="12"/>
  <c r="F154" i="12"/>
  <c r="F150" i="12"/>
  <c r="F146" i="12"/>
  <c r="F142" i="12"/>
  <c r="F138" i="12"/>
  <c r="F134" i="12"/>
  <c r="F130" i="12"/>
  <c r="F126" i="12"/>
  <c r="F122" i="12"/>
  <c r="F118" i="12"/>
  <c r="F114" i="12"/>
  <c r="F110" i="12"/>
  <c r="F250" i="12"/>
  <c r="F225" i="12"/>
  <c r="F205" i="12"/>
  <c r="F204" i="12"/>
  <c r="F177" i="12"/>
  <c r="F173" i="12"/>
  <c r="F244" i="12"/>
  <c r="F243" i="12"/>
  <c r="F236" i="12"/>
  <c r="F232" i="12"/>
  <c r="F220" i="12"/>
  <c r="F196" i="12"/>
  <c r="F195" i="12"/>
  <c r="F168" i="12"/>
  <c r="F164" i="12"/>
  <c r="F215" i="12"/>
  <c r="F207" i="12"/>
  <c r="F206" i="12"/>
  <c r="F187" i="12"/>
  <c r="F155" i="12"/>
  <c r="F151" i="12"/>
  <c r="F147" i="12"/>
  <c r="F143" i="12"/>
  <c r="F139" i="12"/>
  <c r="F135" i="12"/>
  <c r="F131" i="12"/>
  <c r="F127" i="12"/>
  <c r="F123" i="12"/>
  <c r="F119" i="12"/>
  <c r="F115" i="12"/>
  <c r="F111" i="12"/>
  <c r="F107" i="12"/>
  <c r="F106" i="12"/>
  <c r="F226" i="12"/>
  <c r="F222" i="12"/>
  <c r="F221" i="12"/>
  <c r="F198" i="12"/>
  <c r="F197" i="12"/>
  <c r="F178" i="12"/>
  <c r="F174" i="12"/>
  <c r="F262" i="12"/>
  <c r="F257" i="12"/>
  <c r="F228" i="12"/>
  <c r="F227" i="12"/>
  <c r="F216" i="12"/>
  <c r="F180" i="12"/>
  <c r="F179" i="12"/>
  <c r="F159" i="12"/>
  <c r="F157" i="12"/>
  <c r="F152" i="12"/>
  <c r="F148" i="12"/>
  <c r="F144" i="12"/>
  <c r="F140" i="12"/>
  <c r="F136" i="12"/>
  <c r="F132" i="12"/>
  <c r="F128" i="12"/>
  <c r="F124" i="12"/>
  <c r="F120" i="12"/>
  <c r="F116" i="12"/>
  <c r="F112" i="12"/>
  <c r="F108" i="12"/>
  <c r="F256" i="12"/>
  <c r="F239" i="12"/>
  <c r="F238" i="12"/>
  <c r="F223" i="12"/>
  <c r="F211" i="12"/>
  <c r="F210" i="12"/>
  <c r="F199" i="12"/>
  <c r="F175" i="12"/>
  <c r="D157" i="12"/>
  <c r="F254" i="12"/>
  <c r="F229" i="12"/>
  <c r="F213" i="12"/>
  <c r="F212" i="12"/>
  <c r="F201" i="12"/>
  <c r="F200" i="12"/>
  <c r="F153" i="12"/>
  <c r="F149" i="12"/>
  <c r="F145" i="12"/>
  <c r="F141" i="12"/>
  <c r="F137" i="12"/>
  <c r="F133" i="12"/>
  <c r="F129" i="12"/>
  <c r="F125" i="12"/>
  <c r="F121" i="12"/>
  <c r="F117" i="12"/>
  <c r="F113" i="12"/>
  <c r="F109" i="12"/>
  <c r="F253" i="12"/>
  <c r="F248" i="12"/>
  <c r="F247" i="12"/>
  <c r="F240" i="12"/>
  <c r="F224" i="12"/>
  <c r="F192" i="12"/>
  <c r="F191" i="12"/>
  <c r="F184" i="12"/>
  <c r="F183" i="12"/>
  <c r="F176" i="12"/>
  <c r="F172" i="12"/>
  <c r="F171" i="12"/>
  <c r="L12" i="12"/>
  <c r="N12" i="12" s="1"/>
  <c r="Z79" i="15"/>
  <c r="Z89" i="15"/>
  <c r="R166" i="15"/>
  <c r="L242" i="15"/>
  <c r="Z45" i="18"/>
  <c r="R55" i="9"/>
  <c r="L32" i="12"/>
  <c r="N32" i="12" s="1"/>
  <c r="N68" i="12"/>
  <c r="L68" i="12"/>
  <c r="R206" i="3"/>
  <c r="R230" i="3"/>
  <c r="R238" i="3"/>
  <c r="R239" i="3"/>
  <c r="R254" i="3"/>
  <c r="R266" i="3"/>
  <c r="R270" i="3"/>
  <c r="R274" i="3"/>
  <c r="R275" i="3"/>
  <c r="R282" i="3"/>
  <c r="D16" i="9"/>
  <c r="R22" i="9"/>
  <c r="R26" i="9"/>
  <c r="V30" i="9"/>
  <c r="Z31" i="9"/>
  <c r="F33" i="9"/>
  <c r="V36" i="9"/>
  <c r="Z43" i="9"/>
  <c r="R46" i="9"/>
  <c r="R54" i="9"/>
  <c r="R61" i="9"/>
  <c r="F63" i="9"/>
  <c r="R64" i="9"/>
  <c r="V65" i="9"/>
  <c r="V67" i="9"/>
  <c r="V78" i="9"/>
  <c r="V86" i="9"/>
  <c r="N15" i="12"/>
  <c r="F160" i="12"/>
  <c r="F162" i="12"/>
  <c r="F208" i="12"/>
  <c r="F233" i="12"/>
  <c r="N247" i="12"/>
  <c r="F258" i="12"/>
  <c r="R236" i="15"/>
  <c r="R228" i="15"/>
  <c r="R224" i="15"/>
  <c r="R212" i="15"/>
  <c r="R197" i="15"/>
  <c r="R196" i="15"/>
  <c r="R249" i="15"/>
  <c r="R219" i="15"/>
  <c r="R218" i="15"/>
  <c r="R199" i="15"/>
  <c r="R198" i="15"/>
  <c r="R248" i="15"/>
  <c r="R237" i="15"/>
  <c r="R230" i="15"/>
  <c r="R229" i="15"/>
  <c r="R225" i="15"/>
  <c r="R214" i="15"/>
  <c r="R213" i="15"/>
  <c r="R246" i="15"/>
  <c r="R231" i="15"/>
  <c r="R215" i="15"/>
  <c r="R192" i="15"/>
  <c r="R191" i="15"/>
  <c r="R245" i="15"/>
  <c r="R239" i="15"/>
  <c r="R238" i="15"/>
  <c r="R226" i="15"/>
  <c r="R203" i="15"/>
  <c r="R202" i="15"/>
  <c r="R183" i="15"/>
  <c r="R182" i="15"/>
  <c r="R243" i="15"/>
  <c r="R240" i="15"/>
  <c r="R233" i="15"/>
  <c r="R232" i="15"/>
  <c r="R216" i="15"/>
  <c r="R205" i="15"/>
  <c r="R204" i="15"/>
  <c r="R217" i="15"/>
  <c r="R186" i="15"/>
  <c r="R185" i="15"/>
  <c r="R178" i="15"/>
  <c r="R177" i="15"/>
  <c r="R222" i="15"/>
  <c r="R162" i="15"/>
  <c r="R158" i="15"/>
  <c r="R242" i="15"/>
  <c r="R235" i="15"/>
  <c r="R209" i="15"/>
  <c r="R189" i="15"/>
  <c r="R175" i="15"/>
  <c r="R171" i="15"/>
  <c r="R149" i="15"/>
  <c r="R145" i="15"/>
  <c r="R141" i="15"/>
  <c r="R137" i="15"/>
  <c r="R133" i="15"/>
  <c r="R129" i="15"/>
  <c r="R125" i="15"/>
  <c r="R121" i="15"/>
  <c r="R117" i="15"/>
  <c r="R113" i="15"/>
  <c r="R109" i="15"/>
  <c r="R105" i="15"/>
  <c r="R207" i="15"/>
  <c r="R179" i="15"/>
  <c r="X12" i="15"/>
  <c r="R210" i="15"/>
  <c r="R193" i="15"/>
  <c r="R176" i="15"/>
  <c r="R168" i="15"/>
  <c r="R163" i="15"/>
  <c r="R159" i="15"/>
  <c r="R220" i="15"/>
  <c r="R190" i="15"/>
  <c r="R180" i="15"/>
  <c r="R155" i="15"/>
  <c r="R150" i="15"/>
  <c r="R146" i="15"/>
  <c r="R142" i="15"/>
  <c r="R138" i="15"/>
  <c r="R134" i="15"/>
  <c r="R130" i="15"/>
  <c r="R126" i="15"/>
  <c r="R122" i="15"/>
  <c r="R118" i="15"/>
  <c r="R114" i="15"/>
  <c r="R110" i="15"/>
  <c r="R106" i="15"/>
  <c r="R223" i="15"/>
  <c r="R172" i="15"/>
  <c r="R154" i="15"/>
  <c r="R152" i="15"/>
  <c r="R227" i="15"/>
  <c r="R169" i="15"/>
  <c r="R164" i="15"/>
  <c r="R160" i="15"/>
  <c r="R156" i="15"/>
  <c r="P152" i="15"/>
  <c r="R250" i="15"/>
  <c r="R208" i="15"/>
  <c r="R200" i="15"/>
  <c r="R194" i="15"/>
  <c r="R187" i="15"/>
  <c r="R147" i="15"/>
  <c r="R143" i="15"/>
  <c r="R139" i="15"/>
  <c r="R135" i="15"/>
  <c r="R131" i="15"/>
  <c r="R127" i="15"/>
  <c r="R123" i="15"/>
  <c r="R119" i="15"/>
  <c r="R115" i="15"/>
  <c r="R111" i="15"/>
  <c r="R107" i="15"/>
  <c r="R254" i="15"/>
  <c r="R247" i="15"/>
  <c r="R211" i="15"/>
  <c r="R195" i="15"/>
  <c r="R184" i="15"/>
  <c r="R181" i="15"/>
  <c r="R173" i="15"/>
  <c r="R103" i="15"/>
  <c r="R221" i="15"/>
  <c r="R206" i="15"/>
  <c r="R148" i="15"/>
  <c r="R144" i="15"/>
  <c r="R140" i="15"/>
  <c r="R136" i="15"/>
  <c r="R132" i="15"/>
  <c r="R128" i="15"/>
  <c r="R124" i="15"/>
  <c r="R120" i="15"/>
  <c r="R116" i="15"/>
  <c r="R112" i="15"/>
  <c r="R108" i="15"/>
  <c r="R104" i="15"/>
  <c r="R234" i="15"/>
  <c r="R167" i="15"/>
  <c r="X18" i="15"/>
  <c r="Z154" i="15"/>
  <c r="J169" i="15"/>
  <c r="N40" i="18"/>
  <c r="X15" i="15"/>
  <c r="Z15" i="15" s="1"/>
  <c r="X19" i="15"/>
  <c r="Z19" i="15" s="1"/>
  <c r="X23" i="15"/>
  <c r="Z23" i="15" s="1"/>
  <c r="X27" i="15"/>
  <c r="Z27" i="15" s="1"/>
  <c r="X31" i="15"/>
  <c r="Z31" i="15" s="1"/>
  <c r="X35" i="15"/>
  <c r="X39" i="15"/>
  <c r="Z39" i="15" s="1"/>
  <c r="X43" i="15"/>
  <c r="Z43" i="15" s="1"/>
  <c r="X47" i="15"/>
  <c r="X51" i="15"/>
  <c r="Z51" i="15" s="1"/>
  <c r="X55" i="15"/>
  <c r="Z55" i="15" s="1"/>
  <c r="X59" i="15"/>
  <c r="X63" i="15"/>
  <c r="Z63" i="15" s="1"/>
  <c r="X67" i="15"/>
  <c r="Z67" i="15" s="1"/>
  <c r="X71" i="15"/>
  <c r="Z71" i="15" s="1"/>
  <c r="X75" i="15"/>
  <c r="Z75" i="15" s="1"/>
  <c r="X79" i="15"/>
  <c r="X83" i="15"/>
  <c r="Z83" i="15" s="1"/>
  <c r="X87" i="15"/>
  <c r="Z87" i="15" s="1"/>
  <c r="X91" i="15"/>
  <c r="X95" i="15"/>
  <c r="Z95" i="15" s="1"/>
  <c r="X99" i="15"/>
  <c r="Z99" i="15" s="1"/>
  <c r="F107" i="15"/>
  <c r="F111" i="15"/>
  <c r="F115" i="15"/>
  <c r="F119" i="15"/>
  <c r="F123" i="15"/>
  <c r="F127" i="15"/>
  <c r="F131" i="15"/>
  <c r="F135" i="15"/>
  <c r="F139" i="15"/>
  <c r="F143" i="15"/>
  <c r="F147" i="15"/>
  <c r="F154" i="15"/>
  <c r="N166" i="15"/>
  <c r="F177" i="15"/>
  <c r="F181" i="15"/>
  <c r="F194" i="15"/>
  <c r="L201" i="15"/>
  <c r="F211" i="15"/>
  <c r="F213" i="15"/>
  <c r="X219" i="15"/>
  <c r="Z219" i="15" s="1"/>
  <c r="Z230" i="15"/>
  <c r="N247" i="15"/>
  <c r="Z248" i="15"/>
  <c r="Z19" i="18"/>
  <c r="X21" i="18"/>
  <c r="Z30" i="18"/>
  <c r="N36" i="18"/>
  <c r="Z41" i="18"/>
  <c r="Z54" i="18"/>
  <c r="N60" i="18"/>
  <c r="N80" i="18"/>
  <c r="Z85" i="18"/>
  <c r="Z102" i="18"/>
  <c r="Z104" i="18"/>
  <c r="N112" i="18"/>
  <c r="R153" i="18"/>
  <c r="L251" i="12"/>
  <c r="F155" i="15"/>
  <c r="F156" i="15"/>
  <c r="F160" i="15"/>
  <c r="F164" i="15"/>
  <c r="F169" i="15"/>
  <c r="F215" i="15"/>
  <c r="L243" i="15"/>
  <c r="N16" i="18"/>
  <c r="Z21" i="18"/>
  <c r="X45" i="18"/>
  <c r="Z56" i="18"/>
  <c r="X69" i="18"/>
  <c r="Z69" i="18" s="1"/>
  <c r="Z78" i="18"/>
  <c r="X89" i="18"/>
  <c r="Z89" i="18" s="1"/>
  <c r="Z106" i="18"/>
  <c r="L253" i="12"/>
  <c r="N253" i="12" s="1"/>
  <c r="F245" i="15"/>
  <c r="F240" i="15"/>
  <c r="F239" i="15"/>
  <c r="F232" i="15"/>
  <c r="F216" i="15"/>
  <c r="F204" i="15"/>
  <c r="F203" i="15"/>
  <c r="F184" i="15"/>
  <c r="F183" i="15"/>
  <c r="F243" i="15"/>
  <c r="F234" i="15"/>
  <c r="F233" i="15"/>
  <c r="F206" i="15"/>
  <c r="F205" i="15"/>
  <c r="F242" i="15"/>
  <c r="F217" i="15"/>
  <c r="F207" i="15"/>
  <c r="F187" i="15"/>
  <c r="F186" i="15"/>
  <c r="F179" i="15"/>
  <c r="F178" i="15"/>
  <c r="F171" i="15"/>
  <c r="F218" i="15"/>
  <c r="F198" i="15"/>
  <c r="F197" i="15"/>
  <c r="F254" i="15"/>
  <c r="F249" i="15"/>
  <c r="F220" i="15"/>
  <c r="F219" i="15"/>
  <c r="F208" i="15"/>
  <c r="F200" i="15"/>
  <c r="F199" i="15"/>
  <c r="F246" i="15"/>
  <c r="F221" i="15"/>
  <c r="F209" i="15"/>
  <c r="F193" i="15"/>
  <c r="F192" i="15"/>
  <c r="N13" i="15"/>
  <c r="X14" i="15"/>
  <c r="F106" i="15"/>
  <c r="F110" i="15"/>
  <c r="F114" i="15"/>
  <c r="F118" i="15"/>
  <c r="F122" i="15"/>
  <c r="F126" i="15"/>
  <c r="F130" i="15"/>
  <c r="F134" i="15"/>
  <c r="F138" i="15"/>
  <c r="F142" i="15"/>
  <c r="F146" i="15"/>
  <c r="F150" i="15"/>
  <c r="F172" i="15"/>
  <c r="L176" i="15"/>
  <c r="N176" i="15" s="1"/>
  <c r="X178" i="15"/>
  <c r="Z178" i="15" s="1"/>
  <c r="F190" i="15"/>
  <c r="F210" i="15"/>
  <c r="F223" i="15"/>
  <c r="F225" i="15"/>
  <c r="F231" i="15"/>
  <c r="L249" i="15"/>
  <c r="Z14" i="18"/>
  <c r="N20" i="18"/>
  <c r="Z23" i="18"/>
  <c r="X25" i="18"/>
  <c r="Z25" i="18" s="1"/>
  <c r="Z36" i="18"/>
  <c r="Z47" i="18"/>
  <c r="X49" i="18"/>
  <c r="Z49" i="18" s="1"/>
  <c r="Z91" i="18"/>
  <c r="X93" i="18"/>
  <c r="Z114" i="18"/>
  <c r="R156" i="18"/>
  <c r="F159" i="15"/>
  <c r="F163" i="15"/>
  <c r="F176" i="15"/>
  <c r="N190" i="15"/>
  <c r="X201" i="15"/>
  <c r="Z201" i="15" s="1"/>
  <c r="X243" i="15"/>
  <c r="Z247" i="15"/>
  <c r="Z38" i="18"/>
  <c r="Z62" i="18"/>
  <c r="N68" i="18"/>
  <c r="X73" i="18"/>
  <c r="Z73" i="18" s="1"/>
  <c r="Z82" i="18"/>
  <c r="N88" i="18"/>
  <c r="Z93" i="18"/>
  <c r="Z116" i="18"/>
  <c r="X29" i="15"/>
  <c r="Z29" i="15" s="1"/>
  <c r="X33" i="15"/>
  <c r="X37" i="15"/>
  <c r="Z37" i="15" s="1"/>
  <c r="X41" i="15"/>
  <c r="Z41" i="15" s="1"/>
  <c r="X45" i="15"/>
  <c r="X49" i="15"/>
  <c r="Z49" i="15" s="1"/>
  <c r="X53" i="15"/>
  <c r="Z53" i="15" s="1"/>
  <c r="X57" i="15"/>
  <c r="Z57" i="15" s="1"/>
  <c r="X61" i="15"/>
  <c r="X65" i="15"/>
  <c r="Z65" i="15" s="1"/>
  <c r="X69" i="15"/>
  <c r="Z69" i="15" s="1"/>
  <c r="X73" i="15"/>
  <c r="Z73" i="15" s="1"/>
  <c r="X77" i="15"/>
  <c r="Z77" i="15" s="1"/>
  <c r="X81" i="15"/>
  <c r="Z81" i="15" s="1"/>
  <c r="X85" i="15"/>
  <c r="Z85" i="15" s="1"/>
  <c r="X89" i="15"/>
  <c r="X93" i="15"/>
  <c r="Z93" i="15" s="1"/>
  <c r="X97" i="15"/>
  <c r="Z97" i="15" s="1"/>
  <c r="X101" i="15"/>
  <c r="Z101" i="15" s="1"/>
  <c r="F105" i="15"/>
  <c r="F109" i="15"/>
  <c r="F113" i="15"/>
  <c r="F117" i="15"/>
  <c r="F121" i="15"/>
  <c r="F125" i="15"/>
  <c r="F129" i="15"/>
  <c r="F133" i="15"/>
  <c r="F137" i="15"/>
  <c r="F141" i="15"/>
  <c r="F145" i="15"/>
  <c r="F149" i="15"/>
  <c r="X190" i="15"/>
  <c r="X195" i="15"/>
  <c r="Z195" i="15" s="1"/>
  <c r="F202" i="15"/>
  <c r="F212" i="15"/>
  <c r="F214" i="15"/>
  <c r="F222" i="15"/>
  <c r="F235" i="15"/>
  <c r="Z243" i="15"/>
  <c r="N24" i="18"/>
  <c r="Z29" i="18"/>
  <c r="N48" i="18"/>
  <c r="Z53" i="18"/>
  <c r="Z75" i="18"/>
  <c r="N92" i="18"/>
  <c r="Z99" i="18"/>
  <c r="Z101" i="18"/>
  <c r="Z29" i="21"/>
  <c r="F158" i="15"/>
  <c r="F162" i="15"/>
  <c r="F175" i="15"/>
  <c r="X176" i="15"/>
  <c r="F182" i="15"/>
  <c r="F185" i="15"/>
  <c r="F189" i="15"/>
  <c r="N214" i="15"/>
  <c r="N235" i="15"/>
  <c r="Z22" i="18"/>
  <c r="Z31" i="18"/>
  <c r="X33" i="18"/>
  <c r="Z33" i="18" s="1"/>
  <c r="Z55" i="18"/>
  <c r="X57" i="18"/>
  <c r="Z77" i="18"/>
  <c r="Z103" i="18"/>
  <c r="Z105" i="18"/>
  <c r="F166" i="15"/>
  <c r="F167" i="15"/>
  <c r="Z190" i="15"/>
  <c r="F196" i="15"/>
  <c r="F226" i="15"/>
  <c r="F228" i="15"/>
  <c r="F230" i="15"/>
  <c r="F237" i="15"/>
  <c r="F248" i="15"/>
  <c r="R280" i="18"/>
  <c r="R273" i="18"/>
  <c r="R243" i="18"/>
  <c r="R242" i="18"/>
  <c r="R223" i="18"/>
  <c r="R222" i="18"/>
  <c r="R186" i="18"/>
  <c r="R182" i="18"/>
  <c r="R272" i="18"/>
  <c r="R261" i="18"/>
  <c r="R254" i="18"/>
  <c r="R253" i="18"/>
  <c r="R249" i="18"/>
  <c r="R238" i="18"/>
  <c r="R237" i="18"/>
  <c r="R214" i="18"/>
  <c r="R213" i="18"/>
  <c r="R205" i="18"/>
  <c r="R173" i="18"/>
  <c r="R169" i="18"/>
  <c r="R165" i="18"/>
  <c r="R271" i="18"/>
  <c r="R244" i="18"/>
  <c r="R232" i="18"/>
  <c r="R225" i="18"/>
  <c r="R224" i="18"/>
  <c r="R196" i="18"/>
  <c r="R192" i="18"/>
  <c r="R270" i="18"/>
  <c r="R255" i="18"/>
  <c r="R239" i="18"/>
  <c r="R216" i="18"/>
  <c r="R215" i="18"/>
  <c r="R187" i="18"/>
  <c r="R183" i="18"/>
  <c r="R269" i="18"/>
  <c r="R263" i="18"/>
  <c r="R262" i="18"/>
  <c r="R250" i="18"/>
  <c r="R227" i="18"/>
  <c r="R226" i="18"/>
  <c r="R207" i="18"/>
  <c r="R206" i="18"/>
  <c r="R179" i="18"/>
  <c r="R268" i="18"/>
  <c r="R246" i="18"/>
  <c r="R245" i="18"/>
  <c r="R234" i="18"/>
  <c r="R233" i="18"/>
  <c r="R217" i="18"/>
  <c r="R198" i="18"/>
  <c r="R197" i="18"/>
  <c r="R193" i="18"/>
  <c r="R178" i="18"/>
  <c r="R267" i="18"/>
  <c r="R264" i="18"/>
  <c r="R251" i="18"/>
  <c r="R247" i="18"/>
  <c r="R235" i="18"/>
  <c r="R259" i="18"/>
  <c r="R258" i="18"/>
  <c r="R230" i="18"/>
  <c r="R219" i="18"/>
  <c r="R218" i="18"/>
  <c r="R194" i="18"/>
  <c r="R275" i="18"/>
  <c r="R260" i="18"/>
  <c r="R252" i="18"/>
  <c r="R248" i="18"/>
  <c r="R236" i="18"/>
  <c r="R221" i="18"/>
  <c r="R220" i="18"/>
  <c r="R274" i="18"/>
  <c r="R231" i="18"/>
  <c r="R212" i="18"/>
  <c r="R211" i="18"/>
  <c r="R204" i="18"/>
  <c r="R203" i="18"/>
  <c r="R195" i="18"/>
  <c r="R191" i="18"/>
  <c r="R209" i="18"/>
  <c r="R188" i="18"/>
  <c r="R184" i="18"/>
  <c r="R154" i="18"/>
  <c r="R147" i="18"/>
  <c r="R140" i="18"/>
  <c r="R120" i="18"/>
  <c r="R201" i="18"/>
  <c r="R163" i="18"/>
  <c r="R160" i="18"/>
  <c r="R157" i="18"/>
  <c r="R276" i="18"/>
  <c r="R256" i="18"/>
  <c r="R240" i="18"/>
  <c r="R199" i="18"/>
  <c r="R174" i="18"/>
  <c r="R151" i="18"/>
  <c r="R144" i="18"/>
  <c r="R137" i="18"/>
  <c r="R133" i="18"/>
  <c r="R129" i="18"/>
  <c r="R125" i="18"/>
  <c r="R121" i="18"/>
  <c r="R172" i="18"/>
  <c r="R170" i="18"/>
  <c r="R141" i="18"/>
  <c r="R210" i="18"/>
  <c r="R168" i="18"/>
  <c r="R161" i="18"/>
  <c r="R158" i="18"/>
  <c r="R155" i="18"/>
  <c r="R148" i="18"/>
  <c r="R202" i="18"/>
  <c r="R145" i="18"/>
  <c r="R138" i="18"/>
  <c r="R134" i="18"/>
  <c r="R130" i="18"/>
  <c r="R126" i="18"/>
  <c r="R122" i="18"/>
  <c r="R257" i="18"/>
  <c r="R228" i="18"/>
  <c r="R208" i="18"/>
  <c r="R200" i="18"/>
  <c r="R189" i="18"/>
  <c r="R185" i="18"/>
  <c r="R181" i="18"/>
  <c r="R166" i="18"/>
  <c r="R152" i="18"/>
  <c r="R142" i="18"/>
  <c r="P176" i="18"/>
  <c r="R164" i="18"/>
  <c r="R149" i="18"/>
  <c r="R241" i="18"/>
  <c r="R162" i="18"/>
  <c r="R146" i="18"/>
  <c r="R139" i="18"/>
  <c r="R135" i="18"/>
  <c r="R131" i="18"/>
  <c r="R127" i="18"/>
  <c r="R123" i="18"/>
  <c r="R229" i="18"/>
  <c r="R190" i="18"/>
  <c r="R167" i="18"/>
  <c r="R150" i="18"/>
  <c r="R143" i="18"/>
  <c r="R180" i="18"/>
  <c r="R136" i="18"/>
  <c r="R132" i="18"/>
  <c r="R128" i="18"/>
  <c r="R124" i="18"/>
  <c r="N28" i="18"/>
  <c r="Z46" i="18"/>
  <c r="N52" i="18"/>
  <c r="Z57" i="18"/>
  <c r="Z70" i="18"/>
  <c r="Z90" i="18"/>
  <c r="L97" i="12"/>
  <c r="N97" i="12" s="1"/>
  <c r="L101" i="12"/>
  <c r="X16" i="15"/>
  <c r="Z16" i="15" s="1"/>
  <c r="X20" i="15"/>
  <c r="Z20" i="15" s="1"/>
  <c r="X24" i="15"/>
  <c r="Z24" i="15" s="1"/>
  <c r="X28" i="15"/>
  <c r="X32" i="15"/>
  <c r="X36" i="15"/>
  <c r="Z36" i="15" s="1"/>
  <c r="X40" i="15"/>
  <c r="Z40" i="15" s="1"/>
  <c r="X44" i="15"/>
  <c r="Z44" i="15" s="1"/>
  <c r="X48" i="15"/>
  <c r="Z48" i="15" s="1"/>
  <c r="X52" i="15"/>
  <c r="X56" i="15"/>
  <c r="Z56" i="15" s="1"/>
  <c r="X60" i="15"/>
  <c r="Z60" i="15" s="1"/>
  <c r="X64" i="15"/>
  <c r="X68" i="15"/>
  <c r="X72" i="15"/>
  <c r="Z72" i="15" s="1"/>
  <c r="X76" i="15"/>
  <c r="Z76" i="15" s="1"/>
  <c r="X80" i="15"/>
  <c r="Z80" i="15" s="1"/>
  <c r="X84" i="15"/>
  <c r="Z84" i="15" s="1"/>
  <c r="X88" i="15"/>
  <c r="Z88" i="15" s="1"/>
  <c r="X92" i="15"/>
  <c r="Z92" i="15" s="1"/>
  <c r="X96" i="15"/>
  <c r="Z96" i="15" s="1"/>
  <c r="X100" i="15"/>
  <c r="Z100" i="15" s="1"/>
  <c r="F103" i="15"/>
  <c r="F104" i="15"/>
  <c r="F108" i="15"/>
  <c r="F112" i="15"/>
  <c r="F116" i="15"/>
  <c r="F120" i="15"/>
  <c r="F124" i="15"/>
  <c r="F128" i="15"/>
  <c r="F132" i="15"/>
  <c r="F136" i="15"/>
  <c r="F140" i="15"/>
  <c r="F144" i="15"/>
  <c r="F148" i="15"/>
  <c r="F174" i="15"/>
  <c r="Z176" i="15"/>
  <c r="F188" i="15"/>
  <c r="F224" i="15"/>
  <c r="X242" i="15"/>
  <c r="Z242" i="15" s="1"/>
  <c r="F244" i="15"/>
  <c r="T12" i="18"/>
  <c r="Z13" i="18"/>
  <c r="Z48" i="18"/>
  <c r="N76" i="18"/>
  <c r="Z92" i="18"/>
  <c r="L179" i="18"/>
  <c r="N179" i="18" s="1"/>
  <c r="F157" i="15"/>
  <c r="F161" i="15"/>
  <c r="F165" i="15"/>
  <c r="F170" i="15"/>
  <c r="F195" i="15"/>
  <c r="F201" i="15"/>
  <c r="Z214" i="15"/>
  <c r="Z15" i="18"/>
  <c r="N32" i="18"/>
  <c r="Z37" i="18"/>
  <c r="Z61" i="18"/>
  <c r="Z81" i="18"/>
  <c r="Z94" i="18"/>
  <c r="R171" i="18"/>
  <c r="D152" i="15"/>
  <c r="F173" i="15"/>
  <c r="F191" i="15"/>
  <c r="N195" i="15"/>
  <c r="Z235" i="15"/>
  <c r="F247" i="15"/>
  <c r="F250" i="15"/>
  <c r="Z17" i="18"/>
  <c r="Z28" i="18"/>
  <c r="Z39" i="18"/>
  <c r="Z63" i="18"/>
  <c r="J123" i="18"/>
  <c r="J127" i="18"/>
  <c r="J131" i="18"/>
  <c r="J135" i="18"/>
  <c r="J139" i="18"/>
  <c r="J146" i="18"/>
  <c r="J156" i="18"/>
  <c r="J159" i="18"/>
  <c r="J162" i="18"/>
  <c r="J169" i="18"/>
  <c r="J171" i="18"/>
  <c r="Z219" i="18"/>
  <c r="N18" i="21"/>
  <c r="J149" i="18"/>
  <c r="J173" i="18"/>
  <c r="H176" i="18"/>
  <c r="J206" i="18"/>
  <c r="J234" i="18"/>
  <c r="J239" i="18"/>
  <c r="J90" i="21"/>
  <c r="J78" i="21"/>
  <c r="J72" i="21"/>
  <c r="J64" i="21"/>
  <c r="J34" i="21"/>
  <c r="J30" i="21"/>
  <c r="J28" i="21"/>
  <c r="J26" i="21"/>
  <c r="J91" i="21"/>
  <c r="J85" i="21"/>
  <c r="J79" i="21"/>
  <c r="J73" i="21"/>
  <c r="J65" i="21"/>
  <c r="J53" i="21"/>
  <c r="H26" i="21"/>
  <c r="J92" i="21"/>
  <c r="J80" i="21"/>
  <c r="J74" i="21"/>
  <c r="J66" i="21"/>
  <c r="J54" i="21"/>
  <c r="J44" i="21"/>
  <c r="J40" i="21"/>
  <c r="J93" i="21"/>
  <c r="J81" i="21"/>
  <c r="J75" i="21"/>
  <c r="J67" i="21"/>
  <c r="J55" i="21"/>
  <c r="J45" i="21"/>
  <c r="J35" i="21"/>
  <c r="J31" i="21"/>
  <c r="J94" i="21"/>
  <c r="J86" i="21"/>
  <c r="J82" i="21"/>
  <c r="J68" i="21"/>
  <c r="J56" i="21"/>
  <c r="J46" i="21"/>
  <c r="J69" i="21"/>
  <c r="J57" i="21"/>
  <c r="J47" i="21"/>
  <c r="J41" i="21"/>
  <c r="J96" i="21"/>
  <c r="J76" i="21"/>
  <c r="J58" i="21"/>
  <c r="J48" i="21"/>
  <c r="J36" i="21"/>
  <c r="J32" i="21"/>
  <c r="J22" i="21"/>
  <c r="J87" i="21"/>
  <c r="J83" i="21"/>
  <c r="J59" i="21"/>
  <c r="J49" i="21"/>
  <c r="J23" i="21"/>
  <c r="J100" i="21"/>
  <c r="J70" i="21"/>
  <c r="J60" i="21"/>
  <c r="J50" i="21"/>
  <c r="J42" i="21"/>
  <c r="J88" i="21"/>
  <c r="J84" i="21"/>
  <c r="J62" i="21"/>
  <c r="J52" i="21"/>
  <c r="J38" i="21"/>
  <c r="J24" i="21"/>
  <c r="J89" i="21"/>
  <c r="J71" i="21"/>
  <c r="J63" i="21"/>
  <c r="J43" i="21"/>
  <c r="J39" i="21"/>
  <c r="J29" i="21"/>
  <c r="J259" i="18"/>
  <c r="J241" i="18"/>
  <c r="J219" i="18"/>
  <c r="J209" i="18"/>
  <c r="J201" i="18"/>
  <c r="J189" i="18"/>
  <c r="J185" i="18"/>
  <c r="J181" i="18"/>
  <c r="J276" i="18"/>
  <c r="J260" i="18"/>
  <c r="J252" i="18"/>
  <c r="J248" i="18"/>
  <c r="J236" i="18"/>
  <c r="J220" i="18"/>
  <c r="J210" i="18"/>
  <c r="J202" i="18"/>
  <c r="J190" i="18"/>
  <c r="J172" i="18"/>
  <c r="J168" i="18"/>
  <c r="J164" i="18"/>
  <c r="J275" i="18"/>
  <c r="J231" i="18"/>
  <c r="J221" i="18"/>
  <c r="J211" i="18"/>
  <c r="J203" i="18"/>
  <c r="J195" i="18"/>
  <c r="J191" i="18"/>
  <c r="J280" i="18"/>
  <c r="J274" i="18"/>
  <c r="J242" i="18"/>
  <c r="J222" i="18"/>
  <c r="J212" i="18"/>
  <c r="J204" i="18"/>
  <c r="J186" i="18"/>
  <c r="J182" i="18"/>
  <c r="J273" i="18"/>
  <c r="J261" i="18"/>
  <c r="J253" i="18"/>
  <c r="J249" i="18"/>
  <c r="J243" i="18"/>
  <c r="J237" i="18"/>
  <c r="J223" i="18"/>
  <c r="J213" i="18"/>
  <c r="J205" i="18"/>
  <c r="J272" i="18"/>
  <c r="J254" i="18"/>
  <c r="J244" i="18"/>
  <c r="J238" i="18"/>
  <c r="J232" i="18"/>
  <c r="J224" i="18"/>
  <c r="J214" i="18"/>
  <c r="J196" i="18"/>
  <c r="J192" i="18"/>
  <c r="J271" i="18"/>
  <c r="J270" i="18"/>
  <c r="J262" i="18"/>
  <c r="J250" i="18"/>
  <c r="J226" i="18"/>
  <c r="J269" i="18"/>
  <c r="J263" i="18"/>
  <c r="J245" i="18"/>
  <c r="J233" i="18"/>
  <c r="J227" i="18"/>
  <c r="J217" i="18"/>
  <c r="J207" i="18"/>
  <c r="J197" i="18"/>
  <c r="J193" i="18"/>
  <c r="J179" i="18"/>
  <c r="J267" i="18"/>
  <c r="J257" i="18"/>
  <c r="J251" i="18"/>
  <c r="J247" i="18"/>
  <c r="J235" i="18"/>
  <c r="J229" i="18"/>
  <c r="J199" i="18"/>
  <c r="J258" i="18"/>
  <c r="J230" i="18"/>
  <c r="J218" i="18"/>
  <c r="J200" i="18"/>
  <c r="J194" i="18"/>
  <c r="J122" i="18"/>
  <c r="J126" i="18"/>
  <c r="J130" i="18"/>
  <c r="J134" i="18"/>
  <c r="J138" i="18"/>
  <c r="J145" i="18"/>
  <c r="J152" i="18"/>
  <c r="J166" i="18"/>
  <c r="J183" i="18"/>
  <c r="J187" i="18"/>
  <c r="J198" i="18"/>
  <c r="Z275" i="18"/>
  <c r="T266" i="18"/>
  <c r="Z18" i="21"/>
  <c r="P98" i="21"/>
  <c r="N60" i="21"/>
  <c r="Z66" i="21"/>
  <c r="J155" i="18"/>
  <c r="J158" i="18"/>
  <c r="J161" i="18"/>
  <c r="N214" i="18"/>
  <c r="X13" i="18"/>
  <c r="J141" i="18"/>
  <c r="J148" i="18"/>
  <c r="J216" i="18"/>
  <c r="J268" i="18"/>
  <c r="N272" i="18"/>
  <c r="N28" i="21"/>
  <c r="N47" i="21"/>
  <c r="J121" i="18"/>
  <c r="J125" i="18"/>
  <c r="J129" i="18"/>
  <c r="J133" i="18"/>
  <c r="J137" i="18"/>
  <c r="J151" i="18"/>
  <c r="J170" i="18"/>
  <c r="Z200" i="18"/>
  <c r="J240" i="18"/>
  <c r="F71" i="21"/>
  <c r="F63" i="21"/>
  <c r="F62" i="21"/>
  <c r="F43" i="21"/>
  <c r="F39" i="21"/>
  <c r="F38" i="21"/>
  <c r="F90" i="21"/>
  <c r="F89" i="21"/>
  <c r="F78" i="21"/>
  <c r="F34" i="21"/>
  <c r="F30" i="21"/>
  <c r="F29" i="21"/>
  <c r="F85" i="21"/>
  <c r="F73" i="21"/>
  <c r="F72" i="21"/>
  <c r="F65" i="21"/>
  <c r="F64" i="21"/>
  <c r="F53" i="21"/>
  <c r="F28" i="21"/>
  <c r="F92" i="21"/>
  <c r="F91" i="21"/>
  <c r="F80" i="21"/>
  <c r="F79" i="21"/>
  <c r="F44" i="21"/>
  <c r="F40" i="21"/>
  <c r="D26" i="21"/>
  <c r="F26" i="21" s="1"/>
  <c r="L12" i="21"/>
  <c r="N12" i="21" s="1"/>
  <c r="F75" i="21"/>
  <c r="F74" i="21"/>
  <c r="F67" i="21"/>
  <c r="F66" i="21"/>
  <c r="F55" i="21"/>
  <c r="F54" i="21"/>
  <c r="F35" i="21"/>
  <c r="F31" i="21"/>
  <c r="F94" i="21"/>
  <c r="F93" i="21"/>
  <c r="F86" i="21"/>
  <c r="F82" i="21"/>
  <c r="F81" i="21"/>
  <c r="F46" i="21"/>
  <c r="F45" i="21"/>
  <c r="F69" i="21"/>
  <c r="F68" i="21"/>
  <c r="F57" i="21"/>
  <c r="F56" i="21"/>
  <c r="F41" i="21"/>
  <c r="F76" i="21"/>
  <c r="F48" i="21"/>
  <c r="F47" i="21"/>
  <c r="F36" i="21"/>
  <c r="F32" i="21"/>
  <c r="F96" i="21"/>
  <c r="F87" i="21"/>
  <c r="F83" i="21"/>
  <c r="F59" i="21"/>
  <c r="F58" i="21"/>
  <c r="F23" i="21"/>
  <c r="F22" i="21"/>
  <c r="F77" i="21"/>
  <c r="F61" i="21"/>
  <c r="F60" i="21"/>
  <c r="F37" i="21"/>
  <c r="F33" i="21"/>
  <c r="F88" i="21"/>
  <c r="F84" i="21"/>
  <c r="F52" i="21"/>
  <c r="F51" i="21"/>
  <c r="F24" i="21"/>
  <c r="N51" i="21"/>
  <c r="N81" i="21"/>
  <c r="J120" i="18"/>
  <c r="J144" i="18"/>
  <c r="J160" i="18"/>
  <c r="J174" i="18"/>
  <c r="Z202" i="18"/>
  <c r="L238" i="18"/>
  <c r="J246" i="18"/>
  <c r="J256" i="18"/>
  <c r="L263" i="18"/>
  <c r="L266" i="18"/>
  <c r="X19" i="21"/>
  <c r="J33" i="21"/>
  <c r="J51" i="21"/>
  <c r="V101" i="24"/>
  <c r="V65" i="24"/>
  <c r="V61" i="24"/>
  <c r="V57" i="24"/>
  <c r="V53" i="24"/>
  <c r="V49" i="24"/>
  <c r="V108" i="24"/>
  <c r="V100" i="24"/>
  <c r="V92" i="24"/>
  <c r="V84" i="24"/>
  <c r="V79" i="24"/>
  <c r="V75" i="24"/>
  <c r="V110" i="24"/>
  <c r="V102" i="24"/>
  <c r="V94" i="24"/>
  <c r="V66" i="24"/>
  <c r="V62" i="24"/>
  <c r="V58" i="24"/>
  <c r="V54" i="24"/>
  <c r="V50" i="24"/>
  <c r="V109" i="24"/>
  <c r="V93" i="24"/>
  <c r="V85" i="24"/>
  <c r="V104" i="24"/>
  <c r="V96" i="24"/>
  <c r="V113" i="24"/>
  <c r="V111" i="24"/>
  <c r="V103" i="24"/>
  <c r="V95" i="24"/>
  <c r="V87" i="24"/>
  <c r="V67" i="24"/>
  <c r="V63" i="24"/>
  <c r="V59" i="24"/>
  <c r="V55" i="24"/>
  <c r="V51" i="24"/>
  <c r="V47" i="24"/>
  <c r="V106" i="24"/>
  <c r="V98" i="24"/>
  <c r="V86" i="24"/>
  <c r="V117" i="24"/>
  <c r="V107" i="24"/>
  <c r="V99" i="24"/>
  <c r="V91" i="24"/>
  <c r="V83" i="24"/>
  <c r="V90" i="24"/>
  <c r="V78" i="24"/>
  <c r="V74" i="24"/>
  <c r="V105" i="24"/>
  <c r="V80" i="24"/>
  <c r="V73" i="24"/>
  <c r="V89" i="24"/>
  <c r="V77" i="24"/>
  <c r="V97" i="24"/>
  <c r="V81" i="24"/>
  <c r="T70" i="24"/>
  <c r="V88" i="24"/>
  <c r="V82" i="24"/>
  <c r="V68" i="24"/>
  <c r="V64" i="24"/>
  <c r="V60" i="24"/>
  <c r="V56" i="24"/>
  <c r="V52" i="24"/>
  <c r="V48" i="24"/>
  <c r="N32" i="24"/>
  <c r="L30" i="27"/>
  <c r="N30" i="27" s="1"/>
  <c r="X16" i="18"/>
  <c r="Z16" i="18" s="1"/>
  <c r="X20" i="18"/>
  <c r="Z20" i="18" s="1"/>
  <c r="X24" i="18"/>
  <c r="Z24" i="18" s="1"/>
  <c r="X28" i="18"/>
  <c r="X32" i="18"/>
  <c r="Z32" i="18" s="1"/>
  <c r="X36" i="18"/>
  <c r="X40" i="18"/>
  <c r="Z40" i="18" s="1"/>
  <c r="X44" i="18"/>
  <c r="Z44" i="18" s="1"/>
  <c r="X48" i="18"/>
  <c r="X52" i="18"/>
  <c r="Z52" i="18" s="1"/>
  <c r="X56" i="18"/>
  <c r="X60" i="18"/>
  <c r="Z60" i="18" s="1"/>
  <c r="X64" i="18"/>
  <c r="Z64" i="18" s="1"/>
  <c r="X68" i="18"/>
  <c r="Z68" i="18" s="1"/>
  <c r="X72" i="18"/>
  <c r="Z72" i="18" s="1"/>
  <c r="X76" i="18"/>
  <c r="Z76" i="18" s="1"/>
  <c r="X80" i="18"/>
  <c r="Z80" i="18" s="1"/>
  <c r="X84" i="18"/>
  <c r="Z84" i="18" s="1"/>
  <c r="X88" i="18"/>
  <c r="Z88" i="18" s="1"/>
  <c r="X92" i="18"/>
  <c r="X96" i="18"/>
  <c r="Z96" i="18" s="1"/>
  <c r="X100" i="18"/>
  <c r="Z100" i="18" s="1"/>
  <c r="X104" i="18"/>
  <c r="X108" i="18"/>
  <c r="Z108" i="18" s="1"/>
  <c r="X112" i="18"/>
  <c r="Z112" i="18" s="1"/>
  <c r="X116" i="18"/>
  <c r="J147" i="18"/>
  <c r="J154" i="18"/>
  <c r="J157" i="18"/>
  <c r="J163" i="18"/>
  <c r="J178" i="18"/>
  <c r="J184" i="18"/>
  <c r="J188" i="18"/>
  <c r="N238" i="18"/>
  <c r="L254" i="18"/>
  <c r="N263" i="18"/>
  <c r="X15" i="21"/>
  <c r="Z15" i="21" s="1"/>
  <c r="Z19" i="21"/>
  <c r="X74" i="21"/>
  <c r="J77" i="21"/>
  <c r="Z93" i="21"/>
  <c r="J124" i="18"/>
  <c r="J128" i="18"/>
  <c r="J132" i="18"/>
  <c r="J136" i="18"/>
  <c r="J140" i="18"/>
  <c r="J165" i="18"/>
  <c r="J180" i="18"/>
  <c r="N254" i="18"/>
  <c r="F70" i="21"/>
  <c r="Z74" i="21"/>
  <c r="J143" i="18"/>
  <c r="J150" i="18"/>
  <c r="J167" i="18"/>
  <c r="J215" i="18"/>
  <c r="N219" i="18"/>
  <c r="J225" i="18"/>
  <c r="H266" i="18"/>
  <c r="J266" i="18" s="1"/>
  <c r="N269" i="18"/>
  <c r="T12" i="21"/>
  <c r="F100" i="21"/>
  <c r="J113" i="24"/>
  <c r="J105" i="24"/>
  <c r="J97" i="24"/>
  <c r="J87" i="24"/>
  <c r="J81" i="24"/>
  <c r="J77" i="24"/>
  <c r="J47" i="24"/>
  <c r="J106" i="24"/>
  <c r="J98" i="24"/>
  <c r="J88" i="24"/>
  <c r="J82" i="24"/>
  <c r="J68" i="24"/>
  <c r="J64" i="24"/>
  <c r="J60" i="24"/>
  <c r="J56" i="24"/>
  <c r="J52" i="24"/>
  <c r="J48" i="24"/>
  <c r="J117" i="24"/>
  <c r="J107" i="24"/>
  <c r="J99" i="24"/>
  <c r="J89" i="24"/>
  <c r="J83" i="24"/>
  <c r="J73" i="24"/>
  <c r="J90" i="24"/>
  <c r="J78" i="24"/>
  <c r="J74" i="24"/>
  <c r="J72" i="24"/>
  <c r="J70" i="24"/>
  <c r="J91" i="24"/>
  <c r="H70" i="24"/>
  <c r="J65" i="24"/>
  <c r="J61" i="24"/>
  <c r="J57" i="24"/>
  <c r="J53" i="24"/>
  <c r="J49" i="24"/>
  <c r="J108" i="24"/>
  <c r="J100" i="24"/>
  <c r="J92" i="24"/>
  <c r="J101" i="24"/>
  <c r="J79" i="24"/>
  <c r="J75" i="24"/>
  <c r="J102" i="24"/>
  <c r="J111" i="24"/>
  <c r="J103" i="24"/>
  <c r="J95" i="24"/>
  <c r="J104" i="24"/>
  <c r="J96" i="24"/>
  <c r="J86" i="24"/>
  <c r="J76" i="24"/>
  <c r="J66" i="24"/>
  <c r="J62" i="24"/>
  <c r="J58" i="24"/>
  <c r="J54" i="24"/>
  <c r="J50" i="24"/>
  <c r="J84" i="24"/>
  <c r="J94" i="24"/>
  <c r="J80" i="24"/>
  <c r="J109" i="24"/>
  <c r="J85" i="24"/>
  <c r="J67" i="24"/>
  <c r="J63" i="24"/>
  <c r="J59" i="24"/>
  <c r="J55" i="24"/>
  <c r="J51" i="24"/>
  <c r="J110" i="24"/>
  <c r="J93" i="24"/>
  <c r="V76" i="24"/>
  <c r="J153" i="18"/>
  <c r="Z178" i="18"/>
  <c r="X219" i="18"/>
  <c r="F50" i="21"/>
  <c r="Z54" i="21"/>
  <c r="Z42" i="24"/>
  <c r="X12" i="21"/>
  <c r="N15" i="21"/>
  <c r="R40" i="21"/>
  <c r="R44" i="21"/>
  <c r="R45" i="21"/>
  <c r="R80" i="21"/>
  <c r="R81" i="21"/>
  <c r="R92" i="21"/>
  <c r="R93" i="21"/>
  <c r="Z25" i="24"/>
  <c r="N37" i="24"/>
  <c r="L44" i="24"/>
  <c r="N44" i="24" s="1"/>
  <c r="Z45" i="24"/>
  <c r="Z98" i="24"/>
  <c r="N101" i="24"/>
  <c r="N110" i="24"/>
  <c r="F61" i="27"/>
  <c r="F91" i="27"/>
  <c r="P12" i="33"/>
  <c r="X15" i="33"/>
  <c r="Z15" i="33" s="1"/>
  <c r="Z25" i="33"/>
  <c r="R53" i="21"/>
  <c r="R54" i="21"/>
  <c r="R65" i="21"/>
  <c r="R66" i="21"/>
  <c r="R73" i="21"/>
  <c r="R74" i="21"/>
  <c r="R85" i="21"/>
  <c r="L24" i="24"/>
  <c r="N24" i="24" s="1"/>
  <c r="L22" i="27"/>
  <c r="N22" i="27" s="1"/>
  <c r="N26" i="27"/>
  <c r="Z44" i="30"/>
  <c r="V84" i="33"/>
  <c r="V76" i="33"/>
  <c r="V72" i="33"/>
  <c r="V60" i="33"/>
  <c r="V71" i="33"/>
  <c r="V62" i="33"/>
  <c r="V46" i="33"/>
  <c r="V77" i="33"/>
  <c r="V73" i="33"/>
  <c r="V64" i="33"/>
  <c r="V52" i="33"/>
  <c r="V48" i="33"/>
  <c r="V79" i="33"/>
  <c r="V63" i="33"/>
  <c r="V55" i="33"/>
  <c r="V47" i="33"/>
  <c r="V43" i="33"/>
  <c r="V39" i="33"/>
  <c r="V78" i="33"/>
  <c r="V74" i="33"/>
  <c r="V66" i="33"/>
  <c r="V54" i="33"/>
  <c r="V91" i="33"/>
  <c r="V81" i="33"/>
  <c r="V90" i="33"/>
  <c r="V80" i="33"/>
  <c r="V68" i="33"/>
  <c r="V56" i="33"/>
  <c r="V89" i="33"/>
  <c r="V83" i="33"/>
  <c r="V75" i="33"/>
  <c r="V67" i="33"/>
  <c r="V88" i="33"/>
  <c r="V82" i="33"/>
  <c r="V70" i="33"/>
  <c r="V58" i="33"/>
  <c r="V50" i="33"/>
  <c r="V53" i="33"/>
  <c r="V40" i="33"/>
  <c r="V34" i="33"/>
  <c r="V30" i="33"/>
  <c r="V49" i="33"/>
  <c r="V87" i="33"/>
  <c r="V38" i="33"/>
  <c r="T36" i="33"/>
  <c r="V61" i="33"/>
  <c r="V51" i="33"/>
  <c r="V45" i="33"/>
  <c r="V31" i="33"/>
  <c r="V65" i="33"/>
  <c r="V59" i="33"/>
  <c r="V57" i="33"/>
  <c r="V41" i="33"/>
  <c r="V32" i="33"/>
  <c r="V69" i="33"/>
  <c r="V44" i="33"/>
  <c r="V42" i="33"/>
  <c r="V33" i="33"/>
  <c r="V29" i="33"/>
  <c r="V95" i="33"/>
  <c r="P266" i="18"/>
  <c r="X266" i="18" s="1"/>
  <c r="N14" i="21"/>
  <c r="R26" i="21"/>
  <c r="R28" i="21"/>
  <c r="R39" i="21"/>
  <c r="R43" i="21"/>
  <c r="R63" i="21"/>
  <c r="R64" i="21"/>
  <c r="R71" i="21"/>
  <c r="R72" i="21"/>
  <c r="X93" i="21"/>
  <c r="X72" i="24"/>
  <c r="Z72" i="24" s="1"/>
  <c r="N91" i="24"/>
  <c r="N106" i="24"/>
  <c r="P12" i="27"/>
  <c r="X15" i="27"/>
  <c r="Z22" i="27"/>
  <c r="X41" i="27"/>
  <c r="Z41" i="27" s="1"/>
  <c r="N59" i="27"/>
  <c r="F69" i="27"/>
  <c r="F74" i="27"/>
  <c r="N78" i="27"/>
  <c r="Z38" i="30"/>
  <c r="Z42" i="30"/>
  <c r="R24" i="21"/>
  <c r="R29" i="21"/>
  <c r="R52" i="21"/>
  <c r="R84" i="21"/>
  <c r="R88" i="21"/>
  <c r="R89" i="21"/>
  <c r="Z17" i="24"/>
  <c r="Z29" i="24"/>
  <c r="Z15" i="27"/>
  <c r="L34" i="27"/>
  <c r="N34" i="27" s="1"/>
  <c r="N69" i="27"/>
  <c r="D109" i="27"/>
  <c r="L110" i="27"/>
  <c r="N110" i="27" s="1"/>
  <c r="R77" i="21"/>
  <c r="D114" i="27"/>
  <c r="F114" i="27" s="1"/>
  <c r="R42" i="21"/>
  <c r="R50" i="21"/>
  <c r="R51" i="21"/>
  <c r="R70" i="21"/>
  <c r="R100" i="21"/>
  <c r="L13" i="24"/>
  <c r="L33" i="24"/>
  <c r="N33" i="24" s="1"/>
  <c r="Z104" i="24"/>
  <c r="Z106" i="24"/>
  <c r="H12" i="27"/>
  <c r="N14" i="27"/>
  <c r="Z17" i="27"/>
  <c r="X19" i="27"/>
  <c r="Z34" i="27"/>
  <c r="Z78" i="27"/>
  <c r="N83" i="27"/>
  <c r="L83" i="27"/>
  <c r="P142" i="30"/>
  <c r="X142" i="30" s="1"/>
  <c r="Z142" i="30" s="1"/>
  <c r="X144" i="30"/>
  <c r="R23" i="21"/>
  <c r="X29" i="21"/>
  <c r="L47" i="21"/>
  <c r="R59" i="21"/>
  <c r="R60" i="21"/>
  <c r="R83" i="21"/>
  <c r="R87" i="21"/>
  <c r="X89" i="21"/>
  <c r="Z89" i="21" s="1"/>
  <c r="N13" i="24"/>
  <c r="Z47" i="24"/>
  <c r="Z89" i="24"/>
  <c r="X89" i="24"/>
  <c r="Z19" i="27"/>
  <c r="F65" i="27"/>
  <c r="R32" i="21"/>
  <c r="R36" i="21"/>
  <c r="R48" i="21"/>
  <c r="R49" i="21"/>
  <c r="R76" i="21"/>
  <c r="P12" i="24"/>
  <c r="Z21" i="24"/>
  <c r="X26" i="24"/>
  <c r="Z26" i="24" s="1"/>
  <c r="Z23" i="27"/>
  <c r="X13" i="21"/>
  <c r="Z13" i="21" s="1"/>
  <c r="R22" i="21"/>
  <c r="R41" i="21"/>
  <c r="R57" i="21"/>
  <c r="R58" i="21"/>
  <c r="R69" i="21"/>
  <c r="R96" i="21"/>
  <c r="R98" i="21"/>
  <c r="Z16" i="24"/>
  <c r="X16" i="24"/>
  <c r="L20" i="24"/>
  <c r="N20" i="24" s="1"/>
  <c r="L32" i="24"/>
  <c r="Z33" i="24"/>
  <c r="Z87" i="24"/>
  <c r="N18" i="27"/>
  <c r="Z21" i="27"/>
  <c r="Z27" i="27"/>
  <c r="X31" i="27"/>
  <c r="Z31" i="27" s="1"/>
  <c r="Z83" i="27"/>
  <c r="Z92" i="27"/>
  <c r="R46" i="21"/>
  <c r="R47" i="21"/>
  <c r="R82" i="21"/>
  <c r="R86" i="21"/>
  <c r="R94" i="21"/>
  <c r="D12" i="24"/>
  <c r="Z73" i="24"/>
  <c r="F102" i="27"/>
  <c r="F101" i="27"/>
  <c r="F94" i="27"/>
  <c r="F86" i="27"/>
  <c r="F85" i="27"/>
  <c r="F103" i="27"/>
  <c r="F87" i="27"/>
  <c r="F105" i="27"/>
  <c r="F104" i="27"/>
  <c r="F89" i="27"/>
  <c r="F88" i="27"/>
  <c r="F116" i="27"/>
  <c r="F111" i="27"/>
  <c r="F110" i="27"/>
  <c r="F93" i="27"/>
  <c r="F92" i="27"/>
  <c r="F95" i="27"/>
  <c r="F66" i="27"/>
  <c r="F62" i="27"/>
  <c r="F109" i="27"/>
  <c r="F77" i="27"/>
  <c r="F76" i="27"/>
  <c r="F53" i="27"/>
  <c r="F49" i="27"/>
  <c r="F45" i="27"/>
  <c r="F112" i="27"/>
  <c r="F99" i="27"/>
  <c r="F96" i="27"/>
  <c r="F72" i="27"/>
  <c r="L12" i="27"/>
  <c r="F79" i="27"/>
  <c r="F78" i="27"/>
  <c r="F67" i="27"/>
  <c r="F63" i="27"/>
  <c r="F106" i="27"/>
  <c r="F54" i="27"/>
  <c r="F50" i="27"/>
  <c r="F46" i="27"/>
  <c r="F42" i="27"/>
  <c r="F41" i="27"/>
  <c r="F97" i="27"/>
  <c r="F90" i="27"/>
  <c r="F73" i="27"/>
  <c r="F80" i="27"/>
  <c r="F68" i="27"/>
  <c r="F64" i="27"/>
  <c r="F60" i="27"/>
  <c r="F59" i="27"/>
  <c r="F100" i="27"/>
  <c r="F98" i="27"/>
  <c r="F58" i="27"/>
  <c r="F56" i="27"/>
  <c r="F51" i="27"/>
  <c r="F47" i="27"/>
  <c r="F43" i="27"/>
  <c r="F84" i="27"/>
  <c r="F83" i="27"/>
  <c r="F52" i="27"/>
  <c r="F48" i="27"/>
  <c r="F44" i="27"/>
  <c r="F75" i="27"/>
  <c r="F71" i="27"/>
  <c r="F107" i="27"/>
  <c r="R31" i="21"/>
  <c r="R35" i="21"/>
  <c r="R55" i="21"/>
  <c r="R56" i="21"/>
  <c r="R67" i="21"/>
  <c r="R68" i="21"/>
  <c r="Z23" i="24"/>
  <c r="Z29" i="27"/>
  <c r="Z35" i="27"/>
  <c r="Z39" i="27"/>
  <c r="F82" i="27"/>
  <c r="T12" i="27"/>
  <c r="N26" i="30"/>
  <c r="Z50" i="30"/>
  <c r="X108" i="30"/>
  <c r="Z112" i="27"/>
  <c r="Z108" i="30"/>
  <c r="L15" i="30"/>
  <c r="N15" i="30" s="1"/>
  <c r="D12" i="30"/>
  <c r="Z34" i="30"/>
  <c r="N49" i="30"/>
  <c r="L49" i="30"/>
  <c r="Z104" i="30"/>
  <c r="N125" i="30"/>
  <c r="Z19" i="33"/>
  <c r="N48" i="33"/>
  <c r="L104" i="27"/>
  <c r="N45" i="30"/>
  <c r="L45" i="30"/>
  <c r="L114" i="30"/>
  <c r="N114" i="30" s="1"/>
  <c r="Z127" i="30"/>
  <c r="L22" i="33"/>
  <c r="L26" i="33"/>
  <c r="Z14" i="36"/>
  <c r="H12" i="30"/>
  <c r="N13" i="30"/>
  <c r="L13" i="30"/>
  <c r="N17" i="30"/>
  <c r="L17" i="30"/>
  <c r="N21" i="30"/>
  <c r="L21" i="30"/>
  <c r="N25" i="30"/>
  <c r="L25" i="30"/>
  <c r="L14" i="33"/>
  <c r="N14" i="33" s="1"/>
  <c r="N22" i="33"/>
  <c r="X14" i="27"/>
  <c r="Z14" i="27" s="1"/>
  <c r="X18" i="27"/>
  <c r="Z18" i="27" s="1"/>
  <c r="X22" i="27"/>
  <c r="X26" i="27"/>
  <c r="Z26" i="27" s="1"/>
  <c r="X30" i="27"/>
  <c r="Z30" i="27" s="1"/>
  <c r="X34" i="27"/>
  <c r="X38" i="27"/>
  <c r="Z38" i="27" s="1"/>
  <c r="X110" i="27"/>
  <c r="Z110" i="27" s="1"/>
  <c r="P109" i="27"/>
  <c r="X109" i="27" s="1"/>
  <c r="P12" i="30"/>
  <c r="N29" i="30"/>
  <c r="L29" i="30"/>
  <c r="N37" i="30"/>
  <c r="L37" i="30"/>
  <c r="N41" i="30"/>
  <c r="L41" i="30"/>
  <c r="N137" i="30"/>
  <c r="L18" i="33"/>
  <c r="N18" i="33" s="1"/>
  <c r="X29" i="33"/>
  <c r="Z29" i="33" s="1"/>
  <c r="L90" i="27"/>
  <c r="N90" i="27" s="1"/>
  <c r="Z109" i="27"/>
  <c r="V148" i="30"/>
  <c r="V126" i="30"/>
  <c r="V110" i="30"/>
  <c r="V98" i="30"/>
  <c r="V86" i="30"/>
  <c r="V82" i="30"/>
  <c r="V133" i="30"/>
  <c r="V121" i="30"/>
  <c r="V109" i="30"/>
  <c r="V101" i="30"/>
  <c r="V73" i="30"/>
  <c r="V69" i="30"/>
  <c r="V65" i="30"/>
  <c r="V61" i="30"/>
  <c r="V57" i="30"/>
  <c r="V53" i="30"/>
  <c r="V132" i="30"/>
  <c r="V128" i="30"/>
  <c r="V120" i="30"/>
  <c r="V112" i="30"/>
  <c r="V100" i="30"/>
  <c r="V92" i="30"/>
  <c r="V135" i="30"/>
  <c r="V111" i="30"/>
  <c r="V87" i="30"/>
  <c r="V83" i="30"/>
  <c r="V134" i="30"/>
  <c r="V122" i="30"/>
  <c r="V114" i="30"/>
  <c r="V102" i="30"/>
  <c r="V74" i="30"/>
  <c r="V70" i="30"/>
  <c r="V66" i="30"/>
  <c r="V62" i="30"/>
  <c r="V58" i="30"/>
  <c r="V54" i="30"/>
  <c r="V137" i="30"/>
  <c r="V129" i="30"/>
  <c r="V113" i="30"/>
  <c r="V93" i="30"/>
  <c r="V89" i="30"/>
  <c r="V136" i="30"/>
  <c r="V116" i="30"/>
  <c r="V104" i="30"/>
  <c r="V88" i="30"/>
  <c r="V84" i="30"/>
  <c r="V80" i="30"/>
  <c r="V139" i="30"/>
  <c r="V123" i="30"/>
  <c r="V115" i="30"/>
  <c r="V103" i="30"/>
  <c r="V95" i="30"/>
  <c r="V79" i="30"/>
  <c r="V75" i="30"/>
  <c r="V71" i="30"/>
  <c r="V67" i="30"/>
  <c r="V63" i="30"/>
  <c r="V59" i="30"/>
  <c r="V55" i="30"/>
  <c r="V144" i="30"/>
  <c r="V138" i="30"/>
  <c r="V130" i="30"/>
  <c r="V118" i="30"/>
  <c r="V106" i="30"/>
  <c r="V94" i="30"/>
  <c r="V90" i="30"/>
  <c r="T77" i="30"/>
  <c r="V143" i="30"/>
  <c r="V125" i="30"/>
  <c r="V117" i="30"/>
  <c r="V105" i="30"/>
  <c r="V97" i="30"/>
  <c r="V85" i="30"/>
  <c r="V81" i="30"/>
  <c r="V142" i="30"/>
  <c r="V140" i="30"/>
  <c r="V124" i="30"/>
  <c r="V108" i="30"/>
  <c r="V96" i="30"/>
  <c r="V72" i="30"/>
  <c r="V68" i="30"/>
  <c r="V64" i="30"/>
  <c r="V60" i="30"/>
  <c r="V56" i="30"/>
  <c r="Z21" i="30"/>
  <c r="Z25" i="30"/>
  <c r="N33" i="30"/>
  <c r="L33" i="30"/>
  <c r="X20" i="24"/>
  <c r="Z20" i="24" s="1"/>
  <c r="X24" i="24"/>
  <c r="Z24" i="24" s="1"/>
  <c r="X28" i="24"/>
  <c r="Z28" i="24" s="1"/>
  <c r="L106" i="27"/>
  <c r="V91" i="30"/>
  <c r="N110" i="30"/>
  <c r="V119" i="30"/>
  <c r="Z33" i="30"/>
  <c r="V131" i="30"/>
  <c r="Z143" i="30"/>
  <c r="N92" i="27"/>
  <c r="N101" i="27"/>
  <c r="L112" i="27"/>
  <c r="N112" i="27" s="1"/>
  <c r="H12" i="33"/>
  <c r="D36" i="33"/>
  <c r="F36" i="33" s="1"/>
  <c r="F38" i="33"/>
  <c r="F54" i="33"/>
  <c r="Z64" i="33"/>
  <c r="Z66" i="33"/>
  <c r="T86" i="33"/>
  <c r="X88" i="33"/>
  <c r="Z88" i="33" s="1"/>
  <c r="P86" i="33"/>
  <c r="X86" i="33" s="1"/>
  <c r="X90" i="33"/>
  <c r="Z90" i="33" s="1"/>
  <c r="V35" i="36"/>
  <c r="N70" i="36"/>
  <c r="N118" i="36"/>
  <c r="H109" i="27"/>
  <c r="F31" i="33"/>
  <c r="N38" i="33"/>
  <c r="F61" i="33"/>
  <c r="N26" i="39"/>
  <c r="L26" i="39"/>
  <c r="X97" i="30"/>
  <c r="Z97" i="30" s="1"/>
  <c r="X39" i="33"/>
  <c r="Z39" i="33" s="1"/>
  <c r="N21" i="36"/>
  <c r="Z24" i="36"/>
  <c r="V59" i="36"/>
  <c r="Z70" i="36"/>
  <c r="Z84" i="36"/>
  <c r="N87" i="36"/>
  <c r="P12" i="39"/>
  <c r="Z16" i="39"/>
  <c r="Z22" i="39"/>
  <c r="D142" i="30"/>
  <c r="L142" i="30" s="1"/>
  <c r="F53" i="33"/>
  <c r="D12" i="36"/>
  <c r="Z30" i="36"/>
  <c r="V39" i="36"/>
  <c r="R44" i="36"/>
  <c r="R68" i="36"/>
  <c r="X116" i="36"/>
  <c r="Z20" i="39"/>
  <c r="X20" i="39"/>
  <c r="F65" i="33"/>
  <c r="F64" i="33"/>
  <c r="F49" i="33"/>
  <c r="F48" i="33"/>
  <c r="F80" i="33"/>
  <c r="F79" i="33"/>
  <c r="F56" i="33"/>
  <c r="F55" i="33"/>
  <c r="F75" i="33"/>
  <c r="F67" i="33"/>
  <c r="F66" i="33"/>
  <c r="F91" i="33"/>
  <c r="F82" i="33"/>
  <c r="F81" i="33"/>
  <c r="F95" i="33"/>
  <c r="F90" i="33"/>
  <c r="F69" i="33"/>
  <c r="F68" i="33"/>
  <c r="F45" i="33"/>
  <c r="F41" i="33"/>
  <c r="F89" i="33"/>
  <c r="F84" i="33"/>
  <c r="F83" i="33"/>
  <c r="F76" i="33"/>
  <c r="F60" i="33"/>
  <c r="F59" i="33"/>
  <c r="F88" i="33"/>
  <c r="F71" i="33"/>
  <c r="F70" i="33"/>
  <c r="F51" i="33"/>
  <c r="F87" i="33"/>
  <c r="F86" i="33"/>
  <c r="F77" i="33"/>
  <c r="F73" i="33"/>
  <c r="F72" i="33"/>
  <c r="F63" i="33"/>
  <c r="F47" i="33"/>
  <c r="F43" i="33"/>
  <c r="F29" i="33"/>
  <c r="F30" i="33"/>
  <c r="F34" i="33"/>
  <c r="J118" i="36"/>
  <c r="J114" i="36"/>
  <c r="J106" i="36"/>
  <c r="J90" i="36"/>
  <c r="J84" i="36"/>
  <c r="J76" i="36"/>
  <c r="J66" i="36"/>
  <c r="J38" i="36"/>
  <c r="J34" i="36"/>
  <c r="J24" i="36"/>
  <c r="J123" i="36"/>
  <c r="J117" i="36"/>
  <c r="J107" i="36"/>
  <c r="J101" i="36"/>
  <c r="J97" i="36"/>
  <c r="J85" i="36"/>
  <c r="J77" i="36"/>
  <c r="J67" i="36"/>
  <c r="J57" i="36"/>
  <c r="J25" i="36"/>
  <c r="J116" i="36"/>
  <c r="J108" i="36"/>
  <c r="J78" i="36"/>
  <c r="J68" i="36"/>
  <c r="J48" i="36"/>
  <c r="J44" i="36"/>
  <c r="J109" i="36"/>
  <c r="J91" i="36"/>
  <c r="J79" i="36"/>
  <c r="J49" i="36"/>
  <c r="J39" i="36"/>
  <c r="J35" i="36"/>
  <c r="J110" i="36"/>
  <c r="J102" i="36"/>
  <c r="J98" i="36"/>
  <c r="J86" i="36"/>
  <c r="J80" i="36"/>
  <c r="J58" i="36"/>
  <c r="J50" i="36"/>
  <c r="J26" i="36"/>
  <c r="J87" i="36"/>
  <c r="J81" i="36"/>
  <c r="J69" i="36"/>
  <c r="J59" i="36"/>
  <c r="J51" i="36"/>
  <c r="J45" i="36"/>
  <c r="J31" i="36"/>
  <c r="J92" i="36"/>
  <c r="J88" i="36"/>
  <c r="J70" i="36"/>
  <c r="J60" i="36"/>
  <c r="J52" i="36"/>
  <c r="J40" i="36"/>
  <c r="J36" i="36"/>
  <c r="J32" i="36"/>
  <c r="J30" i="36"/>
  <c r="J111" i="36"/>
  <c r="J103" i="36"/>
  <c r="J99" i="36"/>
  <c r="J93" i="36"/>
  <c r="J71" i="36"/>
  <c r="J61" i="36"/>
  <c r="J53" i="36"/>
  <c r="J41" i="36"/>
  <c r="H28" i="36"/>
  <c r="J94" i="36"/>
  <c r="J82" i="36"/>
  <c r="J72" i="36"/>
  <c r="J62" i="36"/>
  <c r="J54" i="36"/>
  <c r="J46" i="36"/>
  <c r="J42" i="36"/>
  <c r="J95" i="36"/>
  <c r="J89" i="36"/>
  <c r="J73" i="36"/>
  <c r="J63" i="36"/>
  <c r="J55" i="36"/>
  <c r="J37" i="36"/>
  <c r="J33" i="36"/>
  <c r="J112" i="36"/>
  <c r="J104" i="36"/>
  <c r="J100" i="36"/>
  <c r="J96" i="36"/>
  <c r="J74" i="36"/>
  <c r="J64" i="36"/>
  <c r="J56" i="36"/>
  <c r="J47" i="36"/>
  <c r="Z13" i="30"/>
  <c r="N72" i="33"/>
  <c r="Z17" i="36"/>
  <c r="Z51" i="36"/>
  <c r="J83" i="36"/>
  <c r="J105" i="36"/>
  <c r="X137" i="30"/>
  <c r="Z137" i="30" s="1"/>
  <c r="L12" i="33"/>
  <c r="Z38" i="33"/>
  <c r="F58" i="33"/>
  <c r="V110" i="36"/>
  <c r="V102" i="36"/>
  <c r="V98" i="36"/>
  <c r="V86" i="36"/>
  <c r="V70" i="36"/>
  <c r="V58" i="36"/>
  <c r="V50" i="36"/>
  <c r="V30" i="36"/>
  <c r="V26" i="36"/>
  <c r="V93" i="36"/>
  <c r="V81" i="36"/>
  <c r="V69" i="36"/>
  <c r="V61" i="36"/>
  <c r="V53" i="36"/>
  <c r="V45" i="36"/>
  <c r="V41" i="36"/>
  <c r="T28" i="36"/>
  <c r="V28" i="36" s="1"/>
  <c r="V92" i="36"/>
  <c r="V88" i="36"/>
  <c r="V72" i="36"/>
  <c r="V60" i="36"/>
  <c r="V52" i="36"/>
  <c r="V40" i="36"/>
  <c r="V36" i="36"/>
  <c r="V32" i="36"/>
  <c r="V111" i="36"/>
  <c r="V103" i="36"/>
  <c r="V99" i="36"/>
  <c r="V95" i="36"/>
  <c r="V71" i="36"/>
  <c r="V63" i="36"/>
  <c r="V55" i="36"/>
  <c r="V94" i="36"/>
  <c r="V82" i="36"/>
  <c r="V74" i="36"/>
  <c r="V62" i="36"/>
  <c r="V54" i="36"/>
  <c r="V46" i="36"/>
  <c r="V42" i="36"/>
  <c r="V119" i="36"/>
  <c r="V113" i="36"/>
  <c r="V105" i="36"/>
  <c r="V89" i="36"/>
  <c r="V73" i="36"/>
  <c r="V65" i="36"/>
  <c r="V37" i="36"/>
  <c r="V33" i="36"/>
  <c r="V118" i="36"/>
  <c r="V112" i="36"/>
  <c r="V104" i="36"/>
  <c r="V100" i="36"/>
  <c r="V96" i="36"/>
  <c r="V84" i="36"/>
  <c r="V76" i="36"/>
  <c r="V64" i="36"/>
  <c r="V56" i="36"/>
  <c r="V24" i="36"/>
  <c r="V117" i="36"/>
  <c r="V107" i="36"/>
  <c r="V83" i="36"/>
  <c r="V75" i="36"/>
  <c r="V67" i="36"/>
  <c r="V47" i="36"/>
  <c r="V43" i="36"/>
  <c r="V116" i="36"/>
  <c r="V114" i="36"/>
  <c r="V106" i="36"/>
  <c r="V90" i="36"/>
  <c r="V78" i="36"/>
  <c r="V66" i="36"/>
  <c r="V38" i="36"/>
  <c r="V34" i="36"/>
  <c r="V123" i="36"/>
  <c r="V109" i="36"/>
  <c r="V101" i="36"/>
  <c r="V97" i="36"/>
  <c r="V85" i="36"/>
  <c r="V77" i="36"/>
  <c r="V57" i="36"/>
  <c r="V49" i="36"/>
  <c r="V25" i="36"/>
  <c r="V108" i="36"/>
  <c r="V80" i="36"/>
  <c r="V68" i="36"/>
  <c r="V48" i="36"/>
  <c r="V44" i="36"/>
  <c r="Z12" i="36"/>
  <c r="V51" i="36"/>
  <c r="N76" i="36"/>
  <c r="Z80" i="36"/>
  <c r="N116" i="36"/>
  <c r="N119" i="36"/>
  <c r="X16" i="30"/>
  <c r="X20" i="30"/>
  <c r="Z20" i="30" s="1"/>
  <c r="X24" i="30"/>
  <c r="Z24" i="30" s="1"/>
  <c r="X28" i="30"/>
  <c r="X32" i="30"/>
  <c r="X36" i="30"/>
  <c r="Z36" i="30" s="1"/>
  <c r="X40" i="30"/>
  <c r="X44" i="30"/>
  <c r="X13" i="33"/>
  <c r="X17" i="33"/>
  <c r="Z17" i="33" s="1"/>
  <c r="X21" i="33"/>
  <c r="Z21" i="33" s="1"/>
  <c r="X25" i="33"/>
  <c r="F33" i="33"/>
  <c r="F40" i="33"/>
  <c r="Z105" i="36"/>
  <c r="J119" i="36"/>
  <c r="T12" i="39"/>
  <c r="H12" i="39"/>
  <c r="N15" i="39"/>
  <c r="L15" i="39"/>
  <c r="L19" i="39"/>
  <c r="N19" i="39" s="1"/>
  <c r="Z13" i="33"/>
  <c r="F42" i="33"/>
  <c r="N113" i="36"/>
  <c r="L14" i="30"/>
  <c r="N14" i="30" s="1"/>
  <c r="L18" i="30"/>
  <c r="L22" i="30"/>
  <c r="N22" i="30" s="1"/>
  <c r="L26" i="30"/>
  <c r="L30" i="30"/>
  <c r="L34" i="30"/>
  <c r="N34" i="30" s="1"/>
  <c r="L38" i="30"/>
  <c r="L42" i="30"/>
  <c r="N42" i="30" s="1"/>
  <c r="L46" i="30"/>
  <c r="N46" i="30" s="1"/>
  <c r="L50" i="30"/>
  <c r="L106" i="30"/>
  <c r="X112" i="30"/>
  <c r="Z112" i="30" s="1"/>
  <c r="F44" i="33"/>
  <c r="F62" i="33"/>
  <c r="N64" i="33"/>
  <c r="N66" i="33"/>
  <c r="X70" i="33"/>
  <c r="Z70" i="33" s="1"/>
  <c r="F78" i="33"/>
  <c r="J43" i="36"/>
  <c r="J65" i="36"/>
  <c r="V91" i="36"/>
  <c r="J113" i="36"/>
  <c r="Z117" i="36"/>
  <c r="Z15" i="39"/>
  <c r="Z21" i="39"/>
  <c r="F32" i="33"/>
  <c r="F39" i="33"/>
  <c r="F46" i="33"/>
  <c r="F52" i="33"/>
  <c r="F57" i="33"/>
  <c r="R91" i="36"/>
  <c r="R80" i="36"/>
  <c r="R79" i="36"/>
  <c r="R39" i="36"/>
  <c r="R35" i="36"/>
  <c r="R110" i="36"/>
  <c r="R102" i="36"/>
  <c r="R98" i="36"/>
  <c r="R87" i="36"/>
  <c r="R86" i="36"/>
  <c r="R59" i="36"/>
  <c r="R58" i="36"/>
  <c r="R51" i="36"/>
  <c r="R50" i="36"/>
  <c r="R31" i="36"/>
  <c r="R26" i="36"/>
  <c r="R81" i="36"/>
  <c r="R70" i="36"/>
  <c r="R69" i="36"/>
  <c r="R45" i="36"/>
  <c r="R30" i="36"/>
  <c r="R93" i="36"/>
  <c r="R92" i="36"/>
  <c r="R88" i="36"/>
  <c r="R61" i="36"/>
  <c r="R60" i="36"/>
  <c r="R53" i="36"/>
  <c r="R52" i="36"/>
  <c r="R41" i="36"/>
  <c r="R40" i="36"/>
  <c r="R36" i="36"/>
  <c r="R32" i="36"/>
  <c r="P28" i="36"/>
  <c r="R111" i="36"/>
  <c r="R103" i="36"/>
  <c r="R99" i="36"/>
  <c r="R72" i="36"/>
  <c r="R71" i="36"/>
  <c r="R95" i="36"/>
  <c r="R94" i="36"/>
  <c r="R82" i="36"/>
  <c r="R63" i="36"/>
  <c r="R62" i="36"/>
  <c r="R55" i="36"/>
  <c r="R54" i="36"/>
  <c r="R46" i="36"/>
  <c r="R42" i="36"/>
  <c r="R89" i="36"/>
  <c r="R74" i="36"/>
  <c r="R73" i="36"/>
  <c r="R37" i="36"/>
  <c r="R33" i="36"/>
  <c r="R119" i="36"/>
  <c r="R113" i="36"/>
  <c r="R112" i="36"/>
  <c r="R105" i="36"/>
  <c r="R104" i="36"/>
  <c r="R100" i="36"/>
  <c r="R96" i="36"/>
  <c r="R65" i="36"/>
  <c r="R64" i="36"/>
  <c r="R56" i="36"/>
  <c r="R118" i="36"/>
  <c r="R84" i="36"/>
  <c r="R83" i="36"/>
  <c r="R76" i="36"/>
  <c r="R75" i="36"/>
  <c r="R47" i="36"/>
  <c r="R43" i="36"/>
  <c r="R24" i="36"/>
  <c r="R117" i="36"/>
  <c r="R114" i="36"/>
  <c r="R107" i="36"/>
  <c r="R106" i="36"/>
  <c r="R90" i="36"/>
  <c r="R67" i="36"/>
  <c r="R66" i="36"/>
  <c r="R38" i="36"/>
  <c r="R34" i="36"/>
  <c r="R123" i="36"/>
  <c r="R116" i="36"/>
  <c r="R101" i="36"/>
  <c r="R97" i="36"/>
  <c r="R85" i="36"/>
  <c r="R78" i="36"/>
  <c r="R77" i="36"/>
  <c r="R57" i="36"/>
  <c r="R25" i="36"/>
  <c r="Z20" i="36"/>
  <c r="V31" i="36"/>
  <c r="Z80" i="39"/>
  <c r="R105" i="42"/>
  <c r="R97" i="42"/>
  <c r="R93" i="42"/>
  <c r="R82" i="42"/>
  <c r="R81" i="42"/>
  <c r="R65" i="42"/>
  <c r="R37" i="42"/>
  <c r="R33" i="42"/>
  <c r="R76" i="42"/>
  <c r="R56" i="42"/>
  <c r="R24" i="42"/>
  <c r="R88" i="42"/>
  <c r="R87" i="42"/>
  <c r="R83" i="42"/>
  <c r="R48" i="42"/>
  <c r="R47" i="42"/>
  <c r="R43" i="42"/>
  <c r="R106" i="42"/>
  <c r="R98" i="42"/>
  <c r="R94" i="42"/>
  <c r="R67" i="42"/>
  <c r="R66" i="42"/>
  <c r="R38" i="42"/>
  <c r="R34" i="42"/>
  <c r="R90" i="42"/>
  <c r="R89" i="42"/>
  <c r="R77" i="42"/>
  <c r="R58" i="42"/>
  <c r="R57" i="42"/>
  <c r="R50" i="42"/>
  <c r="R49" i="42"/>
  <c r="R30" i="42"/>
  <c r="R25" i="42"/>
  <c r="R84" i="42"/>
  <c r="R69" i="42"/>
  <c r="R68" i="42"/>
  <c r="R44" i="42"/>
  <c r="R29" i="42"/>
  <c r="R27" i="42"/>
  <c r="X12" i="42"/>
  <c r="R114" i="42"/>
  <c r="R108" i="42"/>
  <c r="R107" i="42"/>
  <c r="R100" i="42"/>
  <c r="R99" i="42"/>
  <c r="R95" i="42"/>
  <c r="R91" i="42"/>
  <c r="R60" i="42"/>
  <c r="R59" i="42"/>
  <c r="R52" i="42"/>
  <c r="R51" i="42"/>
  <c r="R40" i="42"/>
  <c r="R39" i="42"/>
  <c r="R35" i="42"/>
  <c r="R31" i="42"/>
  <c r="P27" i="42"/>
  <c r="R113" i="42"/>
  <c r="R79" i="42"/>
  <c r="R78" i="42"/>
  <c r="R71" i="42"/>
  <c r="R70" i="42"/>
  <c r="R112" i="42"/>
  <c r="R109" i="42"/>
  <c r="R102" i="42"/>
  <c r="R101" i="42"/>
  <c r="R85" i="42"/>
  <c r="R62" i="42"/>
  <c r="R61" i="42"/>
  <c r="R54" i="42"/>
  <c r="R53" i="42"/>
  <c r="R45" i="42"/>
  <c r="R41" i="42"/>
  <c r="R118" i="42"/>
  <c r="R111" i="42"/>
  <c r="R96" i="42"/>
  <c r="R92" i="42"/>
  <c r="R80" i="42"/>
  <c r="R73" i="42"/>
  <c r="R72" i="42"/>
  <c r="R36" i="42"/>
  <c r="R32" i="42"/>
  <c r="R104" i="42"/>
  <c r="R103" i="42"/>
  <c r="R64" i="42"/>
  <c r="R63" i="42"/>
  <c r="R55" i="42"/>
  <c r="T116" i="36"/>
  <c r="N22" i="39"/>
  <c r="L35" i="39"/>
  <c r="N35" i="39" s="1"/>
  <c r="N54" i="39"/>
  <c r="Z56" i="39"/>
  <c r="N64" i="39"/>
  <c r="Z66" i="39"/>
  <c r="N76" i="39"/>
  <c r="D120" i="39"/>
  <c r="L120" i="39" s="1"/>
  <c r="N120" i="39" s="1"/>
  <c r="L122" i="39"/>
  <c r="N122" i="39" s="1"/>
  <c r="Z13" i="42"/>
  <c r="Z17" i="42"/>
  <c r="Z21" i="42"/>
  <c r="Z60" i="42"/>
  <c r="L108" i="42"/>
  <c r="X19" i="39"/>
  <c r="Z19" i="39" s="1"/>
  <c r="N36" i="39"/>
  <c r="X76" i="39"/>
  <c r="Z78" i="39"/>
  <c r="R74" i="42"/>
  <c r="N108" i="42"/>
  <c r="Z76" i="39"/>
  <c r="Z112" i="42"/>
  <c r="X57" i="33"/>
  <c r="Z57" i="33" s="1"/>
  <c r="X81" i="33"/>
  <c r="Z81" i="33" s="1"/>
  <c r="X91" i="33"/>
  <c r="Z91" i="33" s="1"/>
  <c r="L13" i="36"/>
  <c r="L29" i="39"/>
  <c r="N29" i="39" s="1"/>
  <c r="N46" i="39"/>
  <c r="Z64" i="39"/>
  <c r="D12" i="42"/>
  <c r="N14" i="42"/>
  <c r="N16" i="42"/>
  <c r="N18" i="42"/>
  <c r="N20" i="42"/>
  <c r="N13" i="36"/>
  <c r="X14" i="36"/>
  <c r="X118" i="36"/>
  <c r="Z118" i="36" s="1"/>
  <c r="Z36" i="39"/>
  <c r="R23" i="42"/>
  <c r="R42" i="42"/>
  <c r="X105" i="36"/>
  <c r="X29" i="39"/>
  <c r="Z29" i="39" s="1"/>
  <c r="Z46" i="39"/>
  <c r="N60" i="39"/>
  <c r="L82" i="39"/>
  <c r="N82" i="39" s="1"/>
  <c r="Z16" i="42"/>
  <c r="Z20" i="42"/>
  <c r="N40" i="42"/>
  <c r="N52" i="42"/>
  <c r="Z82" i="42"/>
  <c r="D12" i="39"/>
  <c r="X13" i="36"/>
  <c r="X17" i="36"/>
  <c r="X21" i="36"/>
  <c r="Z21" i="36" s="1"/>
  <c r="N58" i="39"/>
  <c r="Z60" i="39"/>
  <c r="N68" i="39"/>
  <c r="Z29" i="42"/>
  <c r="N102" i="42"/>
  <c r="L68" i="33"/>
  <c r="N68" i="33" s="1"/>
  <c r="L90" i="33"/>
  <c r="N90" i="33" s="1"/>
  <c r="Z13" i="36"/>
  <c r="L16" i="39"/>
  <c r="N16" i="39" s="1"/>
  <c r="X35" i="39"/>
  <c r="Z35" i="39" s="1"/>
  <c r="R75" i="42"/>
  <c r="R86" i="42"/>
  <c r="Z113" i="42"/>
  <c r="X27" i="39"/>
  <c r="Z27" i="39" s="1"/>
  <c r="N56" i="39"/>
  <c r="Z58" i="39"/>
  <c r="Z68" i="39"/>
  <c r="Z48" i="42"/>
  <c r="L60" i="42"/>
  <c r="N60" i="42" s="1"/>
  <c r="L100" i="42"/>
  <c r="N100" i="42" s="1"/>
  <c r="H27" i="42"/>
  <c r="J40" i="42"/>
  <c r="V42" i="42"/>
  <c r="V46" i="42"/>
  <c r="J52" i="42"/>
  <c r="J60" i="42"/>
  <c r="J70" i="42"/>
  <c r="V74" i="42"/>
  <c r="J78" i="42"/>
  <c r="V82" i="42"/>
  <c r="V86" i="42"/>
  <c r="J100" i="42"/>
  <c r="J108" i="42"/>
  <c r="P111" i="42"/>
  <c r="N112" i="42"/>
  <c r="J114" i="42"/>
  <c r="X60" i="48"/>
  <c r="Z60" i="48" s="1"/>
  <c r="T59" i="48"/>
  <c r="T62" i="48" s="1"/>
  <c r="V23" i="42"/>
  <c r="J27" i="42"/>
  <c r="J29" i="42"/>
  <c r="J31" i="42"/>
  <c r="J35" i="42"/>
  <c r="J39" i="42"/>
  <c r="J51" i="42"/>
  <c r="V55" i="42"/>
  <c r="J59" i="42"/>
  <c r="V63" i="42"/>
  <c r="J69" i="42"/>
  <c r="V75" i="42"/>
  <c r="J91" i="42"/>
  <c r="J95" i="42"/>
  <c r="J99" i="42"/>
  <c r="V103" i="42"/>
  <c r="J107" i="42"/>
  <c r="L114" i="42"/>
  <c r="N114" i="42" s="1"/>
  <c r="N15" i="45"/>
  <c r="L15" i="45"/>
  <c r="Z25" i="45"/>
  <c r="N52" i="45"/>
  <c r="J57" i="45"/>
  <c r="V61" i="45"/>
  <c r="F81" i="45"/>
  <c r="X13" i="42"/>
  <c r="J30" i="42"/>
  <c r="V32" i="42"/>
  <c r="V36" i="42"/>
  <c r="J44" i="42"/>
  <c r="J50" i="42"/>
  <c r="J58" i="42"/>
  <c r="V64" i="42"/>
  <c r="J68" i="42"/>
  <c r="V72" i="42"/>
  <c r="V80" i="42"/>
  <c r="J84" i="42"/>
  <c r="J90" i="42"/>
  <c r="V92" i="42"/>
  <c r="V96" i="42"/>
  <c r="V104" i="42"/>
  <c r="T111" i="42"/>
  <c r="V118" i="42"/>
  <c r="X17" i="45"/>
  <c r="Z17" i="45" s="1"/>
  <c r="Z68" i="45"/>
  <c r="P120" i="39"/>
  <c r="J25" i="42"/>
  <c r="V41" i="42"/>
  <c r="V45" i="42"/>
  <c r="J49" i="42"/>
  <c r="V53" i="42"/>
  <c r="J57" i="42"/>
  <c r="V61" i="42"/>
  <c r="J67" i="42"/>
  <c r="V73" i="42"/>
  <c r="J77" i="42"/>
  <c r="V85" i="42"/>
  <c r="J89" i="42"/>
  <c r="V101" i="42"/>
  <c r="V109" i="42"/>
  <c r="X13" i="45"/>
  <c r="J83" i="45"/>
  <c r="L21" i="55"/>
  <c r="N21" i="55"/>
  <c r="J34" i="42"/>
  <c r="J38" i="42"/>
  <c r="J48" i="42"/>
  <c r="V54" i="42"/>
  <c r="V62" i="42"/>
  <c r="J66" i="42"/>
  <c r="V70" i="42"/>
  <c r="V78" i="42"/>
  <c r="J88" i="42"/>
  <c r="J94" i="42"/>
  <c r="J98" i="42"/>
  <c r="V102" i="42"/>
  <c r="J106" i="42"/>
  <c r="V112" i="42"/>
  <c r="V64" i="45"/>
  <c r="V52" i="45"/>
  <c r="V32" i="45"/>
  <c r="V28" i="45"/>
  <c r="V79" i="45"/>
  <c r="V75" i="45"/>
  <c r="V63" i="45"/>
  <c r="V51" i="45"/>
  <c r="V92" i="45"/>
  <c r="V70" i="45"/>
  <c r="V54" i="45"/>
  <c r="V42" i="45"/>
  <c r="V38" i="45"/>
  <c r="V81" i="45"/>
  <c r="V65" i="45"/>
  <c r="V53" i="45"/>
  <c r="V33" i="45"/>
  <c r="V29" i="45"/>
  <c r="V80" i="45"/>
  <c r="V76" i="45"/>
  <c r="V72" i="45"/>
  <c r="V56" i="45"/>
  <c r="V44" i="45"/>
  <c r="V20" i="45"/>
  <c r="V83" i="45"/>
  <c r="V71" i="45"/>
  <c r="V55" i="45"/>
  <c r="V43" i="45"/>
  <c r="V39" i="45"/>
  <c r="V82" i="45"/>
  <c r="V66" i="45"/>
  <c r="V58" i="45"/>
  <c r="V46" i="45"/>
  <c r="V34" i="45"/>
  <c r="V30" i="45"/>
  <c r="V26" i="45"/>
  <c r="V85" i="45"/>
  <c r="V77" i="45"/>
  <c r="V73" i="45"/>
  <c r="V57" i="45"/>
  <c r="V45" i="45"/>
  <c r="V25" i="45"/>
  <c r="V21" i="45"/>
  <c r="V84" i="45"/>
  <c r="V68" i="45"/>
  <c r="V60" i="45"/>
  <c r="V48" i="45"/>
  <c r="V40" i="45"/>
  <c r="V36" i="45"/>
  <c r="T23" i="45"/>
  <c r="V23" i="45" s="1"/>
  <c r="V67" i="45"/>
  <c r="V59" i="45"/>
  <c r="V47" i="45"/>
  <c r="V35" i="45"/>
  <c r="V31" i="45"/>
  <c r="V27" i="45"/>
  <c r="V88" i="45"/>
  <c r="V86" i="45"/>
  <c r="V78" i="45"/>
  <c r="V74" i="45"/>
  <c r="V62" i="45"/>
  <c r="V50" i="45"/>
  <c r="N44" i="45"/>
  <c r="T120" i="39"/>
  <c r="V31" i="42"/>
  <c r="V35" i="42"/>
  <c r="V39" i="42"/>
  <c r="J43" i="42"/>
  <c r="J47" i="42"/>
  <c r="V51" i="42"/>
  <c r="V59" i="42"/>
  <c r="V71" i="42"/>
  <c r="V79" i="42"/>
  <c r="J83" i="42"/>
  <c r="J87" i="42"/>
  <c r="V91" i="42"/>
  <c r="V95" i="42"/>
  <c r="V99" i="42"/>
  <c r="V107" i="42"/>
  <c r="V113" i="42"/>
  <c r="Z13" i="45"/>
  <c r="Z48" i="45"/>
  <c r="Z64" i="45"/>
  <c r="Z12" i="42"/>
  <c r="J24" i="42"/>
  <c r="T27" i="42"/>
  <c r="V40" i="42"/>
  <c r="V44" i="42"/>
  <c r="V52" i="42"/>
  <c r="J56" i="42"/>
  <c r="V60" i="42"/>
  <c r="V68" i="42"/>
  <c r="J76" i="42"/>
  <c r="J82" i="42"/>
  <c r="V84" i="42"/>
  <c r="V100" i="42"/>
  <c r="V108" i="42"/>
  <c r="X113" i="42"/>
  <c r="V114" i="42"/>
  <c r="V69" i="45"/>
  <c r="X54" i="39"/>
  <c r="Z54" i="39" s="1"/>
  <c r="L60" i="39"/>
  <c r="L14" i="42"/>
  <c r="J23" i="42"/>
  <c r="V25" i="42"/>
  <c r="V29" i="42"/>
  <c r="J33" i="42"/>
  <c r="J37" i="42"/>
  <c r="V49" i="42"/>
  <c r="V57" i="42"/>
  <c r="J65" i="42"/>
  <c r="V69" i="42"/>
  <c r="J75" i="42"/>
  <c r="V77" i="42"/>
  <c r="J81" i="42"/>
  <c r="V89" i="42"/>
  <c r="J93" i="42"/>
  <c r="J97" i="42"/>
  <c r="J105" i="42"/>
  <c r="F77" i="45"/>
  <c r="F73" i="45"/>
  <c r="F72" i="45"/>
  <c r="F57" i="45"/>
  <c r="F56" i="45"/>
  <c r="F45" i="45"/>
  <c r="F44" i="45"/>
  <c r="F21" i="45"/>
  <c r="F84" i="45"/>
  <c r="F83" i="45"/>
  <c r="F40" i="45"/>
  <c r="F67" i="45"/>
  <c r="F59" i="45"/>
  <c r="F58" i="45"/>
  <c r="F47" i="45"/>
  <c r="F46" i="45"/>
  <c r="F35" i="45"/>
  <c r="F31" i="45"/>
  <c r="F27" i="45"/>
  <c r="F26" i="45"/>
  <c r="F86" i="45"/>
  <c r="F85" i="45"/>
  <c r="F78" i="45"/>
  <c r="F74" i="45"/>
  <c r="F25" i="45"/>
  <c r="F69" i="45"/>
  <c r="F68" i="45"/>
  <c r="F61" i="45"/>
  <c r="F60" i="45"/>
  <c r="F49" i="45"/>
  <c r="F48" i="45"/>
  <c r="F41" i="45"/>
  <c r="F37" i="45"/>
  <c r="F36" i="45"/>
  <c r="D23" i="45"/>
  <c r="F23" i="45" s="1"/>
  <c r="F32" i="45"/>
  <c r="F28" i="45"/>
  <c r="F88" i="45"/>
  <c r="F79" i="45"/>
  <c r="F75" i="45"/>
  <c r="F63" i="45"/>
  <c r="F62" i="45"/>
  <c r="F51" i="45"/>
  <c r="F50" i="45"/>
  <c r="F92" i="45"/>
  <c r="F70" i="45"/>
  <c r="F42" i="45"/>
  <c r="F38" i="45"/>
  <c r="F65" i="45"/>
  <c r="F64" i="45"/>
  <c r="F53" i="45"/>
  <c r="F52" i="45"/>
  <c r="F33" i="45"/>
  <c r="F29" i="45"/>
  <c r="F80" i="45"/>
  <c r="F76" i="45"/>
  <c r="F20" i="45"/>
  <c r="F19" i="45"/>
  <c r="F71" i="45"/>
  <c r="F55" i="45"/>
  <c r="F54" i="45"/>
  <c r="F43" i="45"/>
  <c r="F39" i="45"/>
  <c r="Z26" i="45"/>
  <c r="N58" i="45"/>
  <c r="X62" i="45"/>
  <c r="Z62" i="45" s="1"/>
  <c r="N72" i="45"/>
  <c r="V30" i="42"/>
  <c r="V34" i="42"/>
  <c r="V38" i="42"/>
  <c r="J42" i="42"/>
  <c r="J46" i="42"/>
  <c r="V50" i="42"/>
  <c r="V58" i="42"/>
  <c r="J64" i="42"/>
  <c r="V66" i="42"/>
  <c r="J74" i="42"/>
  <c r="J86" i="42"/>
  <c r="V90" i="42"/>
  <c r="V94" i="42"/>
  <c r="V98" i="42"/>
  <c r="J104" i="42"/>
  <c r="V106" i="42"/>
  <c r="J84" i="45"/>
  <c r="J58" i="45"/>
  <c r="J46" i="45"/>
  <c r="J40" i="45"/>
  <c r="J26" i="45"/>
  <c r="N12" i="45"/>
  <c r="J85" i="45"/>
  <c r="J67" i="45"/>
  <c r="J59" i="45"/>
  <c r="J47" i="45"/>
  <c r="J35" i="45"/>
  <c r="J31" i="45"/>
  <c r="J27" i="45"/>
  <c r="J25" i="45"/>
  <c r="J86" i="45"/>
  <c r="J78" i="45"/>
  <c r="J74" i="45"/>
  <c r="J68" i="45"/>
  <c r="J60" i="45"/>
  <c r="J48" i="45"/>
  <c r="J36" i="45"/>
  <c r="H23" i="45"/>
  <c r="J23" i="45" s="1"/>
  <c r="J69" i="45"/>
  <c r="J61" i="45"/>
  <c r="J49" i="45"/>
  <c r="J41" i="45"/>
  <c r="J37" i="45"/>
  <c r="J88" i="45"/>
  <c r="J62" i="45"/>
  <c r="J50" i="45"/>
  <c r="J32" i="45"/>
  <c r="J28" i="45"/>
  <c r="J79" i="45"/>
  <c r="J75" i="45"/>
  <c r="J63" i="45"/>
  <c r="J51" i="45"/>
  <c r="J92" i="45"/>
  <c r="J70" i="45"/>
  <c r="J64" i="45"/>
  <c r="J52" i="45"/>
  <c r="J42" i="45"/>
  <c r="J38" i="45"/>
  <c r="J65" i="45"/>
  <c r="J53" i="45"/>
  <c r="J33" i="45"/>
  <c r="J29" i="45"/>
  <c r="J19" i="45"/>
  <c r="J80" i="45"/>
  <c r="J76" i="45"/>
  <c r="J54" i="45"/>
  <c r="J20" i="45"/>
  <c r="J81" i="45"/>
  <c r="J71" i="45"/>
  <c r="J55" i="45"/>
  <c r="J43" i="45"/>
  <c r="J39" i="45"/>
  <c r="J82" i="45"/>
  <c r="J72" i="45"/>
  <c r="J66" i="45"/>
  <c r="J56" i="45"/>
  <c r="J44" i="45"/>
  <c r="J34" i="45"/>
  <c r="J30" i="45"/>
  <c r="N14" i="45"/>
  <c r="J45" i="45"/>
  <c r="L56" i="45"/>
  <c r="N56" i="45" s="1"/>
  <c r="F82" i="45"/>
  <c r="V43" i="42"/>
  <c r="V47" i="42"/>
  <c r="J55" i="42"/>
  <c r="J63" i="42"/>
  <c r="V67" i="42"/>
  <c r="J73" i="42"/>
  <c r="V83" i="42"/>
  <c r="V87" i="42"/>
  <c r="J103" i="42"/>
  <c r="J111" i="42"/>
  <c r="V49" i="45"/>
  <c r="N40" i="48"/>
  <c r="V24" i="42"/>
  <c r="J32" i="42"/>
  <c r="J36" i="42"/>
  <c r="V48" i="42"/>
  <c r="J54" i="42"/>
  <c r="V56" i="42"/>
  <c r="J62" i="42"/>
  <c r="J72" i="42"/>
  <c r="V76" i="42"/>
  <c r="J80" i="42"/>
  <c r="J92" i="42"/>
  <c r="J96" i="42"/>
  <c r="J102" i="42"/>
  <c r="J112" i="42"/>
  <c r="P12" i="45"/>
  <c r="V37" i="45"/>
  <c r="Z58" i="45"/>
  <c r="N36" i="48"/>
  <c r="L36" i="48"/>
  <c r="N38" i="48"/>
  <c r="V77" i="51"/>
  <c r="V69" i="51"/>
  <c r="V88" i="51"/>
  <c r="V64" i="51"/>
  <c r="V60" i="51"/>
  <c r="V56" i="51"/>
  <c r="V79" i="51"/>
  <c r="V55" i="51"/>
  <c r="V51" i="51"/>
  <c r="V47" i="51"/>
  <c r="V43" i="51"/>
  <c r="V39" i="51"/>
  <c r="V70" i="51"/>
  <c r="V66" i="51"/>
  <c r="T53" i="51"/>
  <c r="V53" i="51" s="1"/>
  <c r="V89" i="51"/>
  <c r="V81" i="51"/>
  <c r="V65" i="51"/>
  <c r="V61" i="51"/>
  <c r="V57" i="51"/>
  <c r="V80" i="51"/>
  <c r="V72" i="51"/>
  <c r="V48" i="51"/>
  <c r="V44" i="51"/>
  <c r="V40" i="51"/>
  <c r="V97" i="51"/>
  <c r="V91" i="51"/>
  <c r="V83" i="51"/>
  <c r="V71" i="51"/>
  <c r="V67" i="51"/>
  <c r="V96" i="51"/>
  <c r="V90" i="51"/>
  <c r="V82" i="51"/>
  <c r="V74" i="51"/>
  <c r="V62" i="51"/>
  <c r="V58" i="51"/>
  <c r="V95" i="51"/>
  <c r="V85" i="51"/>
  <c r="V73" i="51"/>
  <c r="V49" i="51"/>
  <c r="V45" i="51"/>
  <c r="V41" i="51"/>
  <c r="V92" i="51"/>
  <c r="V84" i="51"/>
  <c r="V76" i="51"/>
  <c r="V68" i="51"/>
  <c r="V101" i="51"/>
  <c r="V87" i="51"/>
  <c r="V75" i="51"/>
  <c r="V63" i="51"/>
  <c r="V59" i="51"/>
  <c r="V38" i="51"/>
  <c r="V46" i="51"/>
  <c r="V78" i="51"/>
  <c r="V86" i="51"/>
  <c r="V50" i="51"/>
  <c r="V42" i="51"/>
  <c r="F17" i="48"/>
  <c r="R34" i="48"/>
  <c r="R50" i="48"/>
  <c r="X16" i="51"/>
  <c r="Z16" i="51" s="1"/>
  <c r="P22" i="54"/>
  <c r="X18" i="54"/>
  <c r="X28" i="54"/>
  <c r="Z28" i="54" s="1"/>
  <c r="F57" i="48"/>
  <c r="F56" i="48"/>
  <c r="F41" i="48"/>
  <c r="F40" i="48"/>
  <c r="F33" i="48"/>
  <c r="F28" i="48"/>
  <c r="F24" i="48"/>
  <c r="F60" i="48"/>
  <c r="F51" i="48"/>
  <c r="F43" i="48"/>
  <c r="F42" i="48"/>
  <c r="F64" i="48"/>
  <c r="F59" i="48"/>
  <c r="F34" i="48"/>
  <c r="F53" i="48"/>
  <c r="F52" i="48"/>
  <c r="F29" i="48"/>
  <c r="F25" i="48"/>
  <c r="F21" i="48"/>
  <c r="F20" i="48"/>
  <c r="F44" i="48"/>
  <c r="F35" i="48"/>
  <c r="F31" i="48"/>
  <c r="F30" i="48"/>
  <c r="D17" i="48"/>
  <c r="F37" i="48"/>
  <c r="F36" i="48"/>
  <c r="F48" i="48"/>
  <c r="F47" i="48"/>
  <c r="F32" i="48"/>
  <c r="L12" i="48"/>
  <c r="N12" i="48" s="1"/>
  <c r="F55" i="48"/>
  <c r="F39" i="48"/>
  <c r="F38" i="48"/>
  <c r="F27" i="48"/>
  <c r="F23" i="48"/>
  <c r="F49" i="48"/>
  <c r="F90" i="51"/>
  <c r="F82" i="51"/>
  <c r="F81" i="51"/>
  <c r="F62" i="51"/>
  <c r="F58" i="51"/>
  <c r="F73" i="51"/>
  <c r="F72" i="51"/>
  <c r="F49" i="51"/>
  <c r="F45" i="51"/>
  <c r="F41" i="51"/>
  <c r="F97" i="51"/>
  <c r="F92" i="51"/>
  <c r="F91" i="51"/>
  <c r="F84" i="51"/>
  <c r="F83" i="51"/>
  <c r="F68" i="51"/>
  <c r="L12" i="51"/>
  <c r="F101" i="51"/>
  <c r="F96" i="51"/>
  <c r="F75" i="51"/>
  <c r="F74" i="51"/>
  <c r="F63" i="51"/>
  <c r="F59" i="51"/>
  <c r="F95" i="51"/>
  <c r="F86" i="51"/>
  <c r="F85" i="51"/>
  <c r="F50" i="51"/>
  <c r="F46" i="51"/>
  <c r="F42" i="51"/>
  <c r="F94" i="51"/>
  <c r="F77" i="51"/>
  <c r="F76" i="51"/>
  <c r="F69" i="51"/>
  <c r="F88" i="51"/>
  <c r="F87" i="51"/>
  <c r="F64" i="51"/>
  <c r="F60" i="51"/>
  <c r="F79" i="51"/>
  <c r="F78" i="51"/>
  <c r="F51" i="51"/>
  <c r="F47" i="51"/>
  <c r="F43" i="51"/>
  <c r="F39" i="51"/>
  <c r="F38" i="51"/>
  <c r="F70" i="51"/>
  <c r="F89" i="51"/>
  <c r="F65" i="51"/>
  <c r="F61" i="51"/>
  <c r="F57" i="51"/>
  <c r="F56" i="51"/>
  <c r="F80" i="51"/>
  <c r="F55" i="51"/>
  <c r="F48" i="51"/>
  <c r="F44" i="51"/>
  <c r="F40" i="51"/>
  <c r="P94" i="51"/>
  <c r="X95" i="51"/>
  <c r="Z95" i="51" s="1"/>
  <c r="N30" i="48"/>
  <c r="Z38" i="48"/>
  <c r="Z42" i="48"/>
  <c r="X42" i="48"/>
  <c r="Z36" i="51"/>
  <c r="Z91" i="51"/>
  <c r="Z12" i="55"/>
  <c r="V21" i="55"/>
  <c r="T16" i="55"/>
  <c r="V20" i="55"/>
  <c r="V22" i="55"/>
  <c r="V24" i="55"/>
  <c r="V33" i="55"/>
  <c r="V23" i="55"/>
  <c r="V14" i="55"/>
  <c r="V26" i="55"/>
  <c r="V35" i="55"/>
  <c r="V31" i="55"/>
  <c r="V16" i="55"/>
  <c r="V18" i="55"/>
  <c r="V27" i="55"/>
  <c r="V38" i="55"/>
  <c r="V25" i="55"/>
  <c r="V19" i="55"/>
  <c r="X12" i="55"/>
  <c r="Z19" i="55"/>
  <c r="V29" i="55"/>
  <c r="L14" i="45"/>
  <c r="Z20" i="48"/>
  <c r="F45" i="48"/>
  <c r="L56" i="48"/>
  <c r="Z20" i="51"/>
  <c r="X20" i="51"/>
  <c r="Z30" i="51"/>
  <c r="Z32" i="51"/>
  <c r="X85" i="45"/>
  <c r="Z85" i="45" s="1"/>
  <c r="R53" i="48"/>
  <c r="R30" i="48"/>
  <c r="R29" i="48"/>
  <c r="R25" i="48"/>
  <c r="R21" i="48"/>
  <c r="P17" i="48"/>
  <c r="R45" i="48"/>
  <c r="R44" i="48"/>
  <c r="R36" i="48"/>
  <c r="R35" i="48"/>
  <c r="R31" i="48"/>
  <c r="R54" i="48"/>
  <c r="R47" i="48"/>
  <c r="R46" i="48"/>
  <c r="R26" i="48"/>
  <c r="R22" i="48"/>
  <c r="R38" i="48"/>
  <c r="R37" i="48"/>
  <c r="R49" i="48"/>
  <c r="R48" i="48"/>
  <c r="R56" i="48"/>
  <c r="R55" i="48"/>
  <c r="R40" i="48"/>
  <c r="R39" i="48"/>
  <c r="R27" i="48"/>
  <c r="R23" i="48"/>
  <c r="R60" i="48"/>
  <c r="R57" i="48"/>
  <c r="R42" i="48"/>
  <c r="R41" i="48"/>
  <c r="R33" i="48"/>
  <c r="R59" i="48"/>
  <c r="R28" i="48"/>
  <c r="R24" i="48"/>
  <c r="R52" i="48"/>
  <c r="R51" i="48"/>
  <c r="R43" i="48"/>
  <c r="R20" i="48"/>
  <c r="F19" i="48"/>
  <c r="Z30" i="48"/>
  <c r="N56" i="48"/>
  <c r="X59" i="48"/>
  <c r="R87" i="51"/>
  <c r="R86" i="51"/>
  <c r="R50" i="51"/>
  <c r="R46" i="51"/>
  <c r="R42" i="51"/>
  <c r="R78" i="51"/>
  <c r="R77" i="51"/>
  <c r="R69" i="51"/>
  <c r="R38" i="51"/>
  <c r="R88" i="51"/>
  <c r="R64" i="51"/>
  <c r="R60" i="51"/>
  <c r="R79" i="51"/>
  <c r="R56" i="51"/>
  <c r="R51" i="51"/>
  <c r="R47" i="51"/>
  <c r="R43" i="51"/>
  <c r="R39" i="51"/>
  <c r="R70" i="51"/>
  <c r="R55" i="51"/>
  <c r="R89" i="51"/>
  <c r="R66" i="51"/>
  <c r="R65" i="51"/>
  <c r="R61" i="51"/>
  <c r="R57" i="51"/>
  <c r="P53" i="51"/>
  <c r="R53" i="51" s="1"/>
  <c r="R81" i="51"/>
  <c r="R80" i="51"/>
  <c r="R48" i="51"/>
  <c r="R44" i="51"/>
  <c r="R40" i="51"/>
  <c r="R72" i="51"/>
  <c r="R71" i="51"/>
  <c r="R67" i="51"/>
  <c r="R97" i="51"/>
  <c r="R91" i="51"/>
  <c r="R90" i="51"/>
  <c r="R83" i="51"/>
  <c r="R82" i="51"/>
  <c r="R62" i="51"/>
  <c r="R58" i="51"/>
  <c r="R96" i="51"/>
  <c r="R74" i="51"/>
  <c r="R73" i="51"/>
  <c r="R49" i="51"/>
  <c r="R45" i="51"/>
  <c r="R41" i="51"/>
  <c r="R95" i="51"/>
  <c r="R92" i="51"/>
  <c r="R85" i="51"/>
  <c r="R84" i="51"/>
  <c r="R68" i="51"/>
  <c r="X12" i="51"/>
  <c r="Z12" i="51" s="1"/>
  <c r="Z24" i="51"/>
  <c r="X24" i="51"/>
  <c r="X28" i="51"/>
  <c r="Z28" i="51" s="1"/>
  <c r="F15" i="48"/>
  <c r="N19" i="48"/>
  <c r="F26" i="48"/>
  <c r="F67" i="51"/>
  <c r="R76" i="51"/>
  <c r="N81" i="51"/>
  <c r="L81" i="51"/>
  <c r="Z29" i="54"/>
  <c r="R19" i="48"/>
  <c r="F54" i="48"/>
  <c r="Z17" i="51"/>
  <c r="N27" i="51"/>
  <c r="X87" i="51"/>
  <c r="Z87" i="51" s="1"/>
  <c r="R101" i="51"/>
  <c r="N60" i="48"/>
  <c r="D53" i="51"/>
  <c r="R59" i="51"/>
  <c r="H16" i="56"/>
  <c r="N14" i="56"/>
  <c r="Z32" i="56"/>
  <c r="R94" i="51"/>
  <c r="L40" i="48"/>
  <c r="F46" i="48"/>
  <c r="Z29" i="51"/>
  <c r="N55" i="51"/>
  <c r="F71" i="51"/>
  <c r="D31" i="55"/>
  <c r="Z49" i="57"/>
  <c r="V30" i="48"/>
  <c r="V34" i="48"/>
  <c r="J40" i="48"/>
  <c r="J50" i="48"/>
  <c r="J56" i="48"/>
  <c r="V64" i="48"/>
  <c r="J67" i="51"/>
  <c r="J71" i="51"/>
  <c r="J81" i="51"/>
  <c r="T94" i="51"/>
  <c r="V94" i="51" s="1"/>
  <c r="L12" i="54"/>
  <c r="F16" i="55"/>
  <c r="J14" i="56"/>
  <c r="V28" i="56"/>
  <c r="J39" i="56"/>
  <c r="V43" i="56"/>
  <c r="J55" i="56"/>
  <c r="J61" i="56"/>
  <c r="L63" i="56"/>
  <c r="N63" i="56" s="1"/>
  <c r="J53" i="57"/>
  <c r="J45" i="57"/>
  <c r="J35" i="57"/>
  <c r="J29" i="57"/>
  <c r="J19" i="57"/>
  <c r="J37" i="57"/>
  <c r="H16" i="57"/>
  <c r="J71" i="57"/>
  <c r="J68" i="57"/>
  <c r="J54" i="57"/>
  <c r="J46" i="57"/>
  <c r="J38" i="57"/>
  <c r="J30" i="57"/>
  <c r="J55" i="57"/>
  <c r="J47" i="57"/>
  <c r="J25" i="57"/>
  <c r="J21" i="57"/>
  <c r="J56" i="57"/>
  <c r="J57" i="57"/>
  <c r="J49" i="57"/>
  <c r="J39" i="57"/>
  <c r="J31" i="57"/>
  <c r="J58" i="57"/>
  <c r="J50" i="57"/>
  <c r="J40" i="57"/>
  <c r="J26" i="57"/>
  <c r="J22" i="57"/>
  <c r="J59" i="57"/>
  <c r="J51" i="57"/>
  <c r="J41" i="57"/>
  <c r="J60" i="57"/>
  <c r="J52" i="57"/>
  <c r="J42" i="57"/>
  <c r="J32" i="57"/>
  <c r="N12" i="57"/>
  <c r="V18" i="57"/>
  <c r="J27" i="57"/>
  <c r="L47" i="57"/>
  <c r="J62" i="57"/>
  <c r="X19" i="58"/>
  <c r="Z35" i="58"/>
  <c r="L57" i="58"/>
  <c r="T101" i="63"/>
  <c r="V15" i="48"/>
  <c r="V17" i="48"/>
  <c r="V19" i="48"/>
  <c r="J23" i="48"/>
  <c r="J27" i="48"/>
  <c r="J39" i="48"/>
  <c r="V43" i="48"/>
  <c r="J49" i="48"/>
  <c r="V51" i="48"/>
  <c r="J55" i="48"/>
  <c r="J40" i="51"/>
  <c r="J44" i="51"/>
  <c r="J48" i="51"/>
  <c r="H53" i="51"/>
  <c r="J66" i="51"/>
  <c r="J80" i="51"/>
  <c r="D16" i="54"/>
  <c r="F24" i="55"/>
  <c r="L18" i="56"/>
  <c r="N18" i="56" s="1"/>
  <c r="V51" i="56"/>
  <c r="V68" i="56"/>
  <c r="Z28" i="57"/>
  <c r="N47" i="57"/>
  <c r="V54" i="57"/>
  <c r="V56" i="57"/>
  <c r="P75" i="58"/>
  <c r="N18" i="58"/>
  <c r="Z19" i="58"/>
  <c r="N57" i="58"/>
  <c r="V24" i="48"/>
  <c r="V28" i="48"/>
  <c r="J32" i="48"/>
  <c r="J38" i="48"/>
  <c r="J48" i="48"/>
  <c r="V52" i="48"/>
  <c r="J53" i="51"/>
  <c r="J55" i="51"/>
  <c r="J57" i="51"/>
  <c r="J61" i="51"/>
  <c r="J65" i="51"/>
  <c r="J89" i="51"/>
  <c r="F14" i="55"/>
  <c r="Z18" i="55"/>
  <c r="V31" i="56"/>
  <c r="V72" i="56"/>
  <c r="V28" i="57"/>
  <c r="N33" i="57"/>
  <c r="V38" i="57"/>
  <c r="X47" i="57"/>
  <c r="V19" i="58"/>
  <c r="D58" i="59"/>
  <c r="Z18" i="61"/>
  <c r="Z49" i="63"/>
  <c r="P35" i="55"/>
  <c r="V57" i="57"/>
  <c r="V49" i="57"/>
  <c r="V25" i="57"/>
  <c r="V21" i="57"/>
  <c r="V59" i="57"/>
  <c r="V51" i="57"/>
  <c r="V39" i="57"/>
  <c r="V31" i="57"/>
  <c r="V58" i="57"/>
  <c r="V50" i="57"/>
  <c r="V42" i="57"/>
  <c r="V26" i="57"/>
  <c r="V22" i="57"/>
  <c r="V41" i="57"/>
  <c r="V33" i="57"/>
  <c r="V64" i="57"/>
  <c r="V62" i="57"/>
  <c r="V60" i="57"/>
  <c r="V43" i="57"/>
  <c r="V35" i="57"/>
  <c r="V27" i="57"/>
  <c r="V23" i="57"/>
  <c r="V19" i="57"/>
  <c r="X12" i="57"/>
  <c r="V34" i="57"/>
  <c r="V53" i="57"/>
  <c r="V45" i="57"/>
  <c r="V37" i="57"/>
  <c r="V29" i="57"/>
  <c r="T16" i="57"/>
  <c r="V71" i="57"/>
  <c r="V68" i="57"/>
  <c r="V66" i="57"/>
  <c r="V36" i="57"/>
  <c r="V24" i="57"/>
  <c r="V20" i="57"/>
  <c r="P64" i="57"/>
  <c r="V40" i="57"/>
  <c r="Z47" i="57"/>
  <c r="X47" i="59"/>
  <c r="Z47" i="59" s="1"/>
  <c r="J22" i="48"/>
  <c r="J26" i="48"/>
  <c r="J36" i="48"/>
  <c r="V42" i="48"/>
  <c r="J46" i="48"/>
  <c r="V50" i="48"/>
  <c r="J54" i="48"/>
  <c r="V60" i="48"/>
  <c r="J39" i="51"/>
  <c r="J43" i="51"/>
  <c r="J47" i="51"/>
  <c r="J51" i="51"/>
  <c r="J79" i="51"/>
  <c r="X96" i="51"/>
  <c r="Z96" i="51" s="1"/>
  <c r="L29" i="54"/>
  <c r="N29" i="54" s="1"/>
  <c r="J53" i="56"/>
  <c r="J37" i="56"/>
  <c r="J29" i="56"/>
  <c r="J19" i="56"/>
  <c r="J62" i="56"/>
  <c r="J56" i="56"/>
  <c r="J40" i="56"/>
  <c r="J30" i="56"/>
  <c r="J63" i="56"/>
  <c r="J57" i="56"/>
  <c r="J49" i="56"/>
  <c r="J41" i="56"/>
  <c r="J25" i="56"/>
  <c r="J21" i="56"/>
  <c r="J51" i="56"/>
  <c r="J43" i="56"/>
  <c r="J31" i="56"/>
  <c r="J45" i="56"/>
  <c r="J33" i="56"/>
  <c r="J70" i="56"/>
  <c r="J52" i="56"/>
  <c r="J46" i="56"/>
  <c r="J34" i="56"/>
  <c r="N12" i="56"/>
  <c r="V14" i="56"/>
  <c r="J18" i="56"/>
  <c r="J47" i="56"/>
  <c r="J50" i="56"/>
  <c r="V55" i="56"/>
  <c r="Z56" i="56"/>
  <c r="Z63" i="56"/>
  <c r="Z12" i="57"/>
  <c r="V16" i="57"/>
  <c r="J24" i="57"/>
  <c r="V47" i="57"/>
  <c r="V14" i="58"/>
  <c r="V27" i="58"/>
  <c r="Z57" i="58"/>
  <c r="Z45" i="59"/>
  <c r="H22" i="62"/>
  <c r="N16" i="62"/>
  <c r="L13" i="69"/>
  <c r="N13" i="69" s="1"/>
  <c r="D12" i="69"/>
  <c r="J45" i="48"/>
  <c r="V55" i="48"/>
  <c r="L13" i="51"/>
  <c r="J38" i="51"/>
  <c r="J60" i="51"/>
  <c r="J64" i="51"/>
  <c r="J78" i="51"/>
  <c r="J88" i="51"/>
  <c r="L12" i="56"/>
  <c r="Z19" i="56"/>
  <c r="J38" i="56"/>
  <c r="J44" i="56"/>
  <c r="J54" i="56"/>
  <c r="V63" i="56"/>
  <c r="X66" i="56"/>
  <c r="J75" i="56"/>
  <c r="Z33" i="57"/>
  <c r="N44" i="57"/>
  <c r="N55" i="57"/>
  <c r="Z18" i="58"/>
  <c r="Z43" i="58"/>
  <c r="Z12" i="48"/>
  <c r="H17" i="48"/>
  <c r="J17" i="48" s="1"/>
  <c r="J30" i="48"/>
  <c r="V32" i="48"/>
  <c r="V40" i="48"/>
  <c r="J44" i="48"/>
  <c r="V48" i="48"/>
  <c r="V56" i="48"/>
  <c r="X14" i="51"/>
  <c r="Z14" i="51" s="1"/>
  <c r="X18" i="51"/>
  <c r="Z18" i="51" s="1"/>
  <c r="X22" i="51"/>
  <c r="Z22" i="51" s="1"/>
  <c r="X26" i="51"/>
  <c r="Z26" i="51" s="1"/>
  <c r="X30" i="51"/>
  <c r="J69" i="51"/>
  <c r="J77" i="51"/>
  <c r="J87" i="51"/>
  <c r="F26" i="55"/>
  <c r="F25" i="55"/>
  <c r="F27" i="55"/>
  <c r="F31" i="55"/>
  <c r="F29" i="55"/>
  <c r="F20" i="55"/>
  <c r="F19" i="55"/>
  <c r="J35" i="56"/>
  <c r="Z35" i="57"/>
  <c r="J44" i="57"/>
  <c r="J48" i="57"/>
  <c r="X55" i="57"/>
  <c r="J64" i="57"/>
  <c r="V18" i="58"/>
  <c r="V43" i="58"/>
  <c r="X28" i="60"/>
  <c r="Z28" i="60" s="1"/>
  <c r="X37" i="63"/>
  <c r="X28" i="68"/>
  <c r="P12" i="68"/>
  <c r="J15" i="48"/>
  <c r="J19" i="48"/>
  <c r="J21" i="48"/>
  <c r="J25" i="48"/>
  <c r="J29" i="48"/>
  <c r="V37" i="48"/>
  <c r="V49" i="48"/>
  <c r="J53" i="48"/>
  <c r="J42" i="51"/>
  <c r="J46" i="51"/>
  <c r="J50" i="51"/>
  <c r="J76" i="51"/>
  <c r="J86" i="51"/>
  <c r="J94" i="51"/>
  <c r="N28" i="54"/>
  <c r="F22" i="55"/>
  <c r="F33" i="55"/>
  <c r="V57" i="56"/>
  <c r="V49" i="56"/>
  <c r="V41" i="56"/>
  <c r="V25" i="56"/>
  <c r="V21" i="56"/>
  <c r="V58" i="56"/>
  <c r="V46" i="56"/>
  <c r="V34" i="56"/>
  <c r="V26" i="56"/>
  <c r="V22" i="56"/>
  <c r="V45" i="56"/>
  <c r="V33" i="56"/>
  <c r="V59" i="56"/>
  <c r="V47" i="56"/>
  <c r="V35" i="56"/>
  <c r="V27" i="56"/>
  <c r="V23" i="56"/>
  <c r="V19" i="56"/>
  <c r="V61" i="56"/>
  <c r="V53" i="56"/>
  <c r="V37" i="56"/>
  <c r="V29" i="56"/>
  <c r="T16" i="56"/>
  <c r="V60" i="56"/>
  <c r="V56" i="56"/>
  <c r="V48" i="56"/>
  <c r="V40" i="56"/>
  <c r="V24" i="56"/>
  <c r="V20" i="56"/>
  <c r="J32" i="56"/>
  <c r="V42" i="56"/>
  <c r="V52" i="56"/>
  <c r="J64" i="56"/>
  <c r="V66" i="56"/>
  <c r="Z55" i="57"/>
  <c r="V53" i="58"/>
  <c r="V45" i="58"/>
  <c r="V33" i="58"/>
  <c r="T16" i="58"/>
  <c r="X16" i="58" s="1"/>
  <c r="V60" i="58"/>
  <c r="V44" i="58"/>
  <c r="V78" i="58"/>
  <c r="V75" i="58"/>
  <c r="V73" i="58"/>
  <c r="V55" i="58"/>
  <c r="V47" i="58"/>
  <c r="V35" i="58"/>
  <c r="V62" i="58"/>
  <c r="V54" i="58"/>
  <c r="V46" i="58"/>
  <c r="V34" i="58"/>
  <c r="V30" i="58"/>
  <c r="V61" i="58"/>
  <c r="V57" i="58"/>
  <c r="V49" i="58"/>
  <c r="V37" i="58"/>
  <c r="V29" i="58"/>
  <c r="V25" i="58"/>
  <c r="V21" i="58"/>
  <c r="V64" i="58"/>
  <c r="V56" i="58"/>
  <c r="V48" i="58"/>
  <c r="V36" i="58"/>
  <c r="V63" i="58"/>
  <c r="V39" i="58"/>
  <c r="V31" i="58"/>
  <c r="V66" i="58"/>
  <c r="V58" i="58"/>
  <c r="V50" i="58"/>
  <c r="V38" i="58"/>
  <c r="V26" i="58"/>
  <c r="V22" i="58"/>
  <c r="V65" i="58"/>
  <c r="V41" i="58"/>
  <c r="V52" i="58"/>
  <c r="V40" i="58"/>
  <c r="V32" i="58"/>
  <c r="Z12" i="58"/>
  <c r="H16" i="59"/>
  <c r="L16" i="59" s="1"/>
  <c r="Z37" i="63"/>
  <c r="N93" i="63"/>
  <c r="J20" i="48"/>
  <c r="V22" i="48"/>
  <c r="V26" i="48"/>
  <c r="J34" i="48"/>
  <c r="V38" i="48"/>
  <c r="V46" i="48"/>
  <c r="J52" i="48"/>
  <c r="V54" i="48"/>
  <c r="J64" i="48"/>
  <c r="J59" i="51"/>
  <c r="J63" i="51"/>
  <c r="J75" i="51"/>
  <c r="J85" i="51"/>
  <c r="J95" i="51"/>
  <c r="J101" i="51"/>
  <c r="L28" i="54"/>
  <c r="X29" i="54"/>
  <c r="L12" i="55"/>
  <c r="F18" i="55"/>
  <c r="F38" i="55"/>
  <c r="Z12" i="56"/>
  <c r="J16" i="56"/>
  <c r="V18" i="56"/>
  <c r="V36" i="56"/>
  <c r="N46" i="56"/>
  <c r="V50" i="56"/>
  <c r="J59" i="56"/>
  <c r="V75" i="56"/>
  <c r="X49" i="57"/>
  <c r="V55" i="57"/>
  <c r="X12" i="58"/>
  <c r="N47" i="58"/>
  <c r="N49" i="58"/>
  <c r="X52" i="58"/>
  <c r="Z52" i="58" s="1"/>
  <c r="V71" i="58"/>
  <c r="P49" i="60"/>
  <c r="X16" i="60"/>
  <c r="V31" i="48"/>
  <c r="V35" i="48"/>
  <c r="J43" i="48"/>
  <c r="V47" i="48"/>
  <c r="J51" i="48"/>
  <c r="J59" i="48"/>
  <c r="N12" i="51"/>
  <c r="X13" i="51"/>
  <c r="X55" i="51"/>
  <c r="Z55" i="51" s="1"/>
  <c r="J68" i="51"/>
  <c r="J74" i="51"/>
  <c r="J84" i="51"/>
  <c r="J92" i="51"/>
  <c r="J96" i="51"/>
  <c r="N18" i="55"/>
  <c r="X29" i="55"/>
  <c r="L14" i="56"/>
  <c r="J20" i="56"/>
  <c r="V30" i="56"/>
  <c r="X32" i="56"/>
  <c r="V38" i="56"/>
  <c r="V44" i="56"/>
  <c r="V54" i="56"/>
  <c r="V62" i="56"/>
  <c r="Z19" i="57"/>
  <c r="J23" i="57"/>
  <c r="J28" i="57"/>
  <c r="V32" i="57"/>
  <c r="J43" i="57"/>
  <c r="V46" i="57"/>
  <c r="V16" i="58"/>
  <c r="V20" i="58"/>
  <c r="L37" i="58"/>
  <c r="V51" i="58"/>
  <c r="N62" i="58"/>
  <c r="L62" i="58"/>
  <c r="N19" i="60"/>
  <c r="Z32" i="61"/>
  <c r="X32" i="61"/>
  <c r="J24" i="48"/>
  <c r="J28" i="48"/>
  <c r="V36" i="48"/>
  <c r="J42" i="48"/>
  <c r="J60" i="48"/>
  <c r="J41" i="51"/>
  <c r="J45" i="51"/>
  <c r="J49" i="51"/>
  <c r="J73" i="51"/>
  <c r="J83" i="51"/>
  <c r="J91" i="51"/>
  <c r="J97" i="51"/>
  <c r="F22" i="54"/>
  <c r="F20" i="54"/>
  <c r="F18" i="54"/>
  <c r="F16" i="54"/>
  <c r="F14" i="54"/>
  <c r="F31" i="54"/>
  <c r="F29" i="54"/>
  <c r="F28" i="54"/>
  <c r="F26" i="54"/>
  <c r="X19" i="55"/>
  <c r="F21" i="55"/>
  <c r="P68" i="56"/>
  <c r="X16" i="56"/>
  <c r="V64" i="56"/>
  <c r="J68" i="56"/>
  <c r="J36" i="57"/>
  <c r="V48" i="57"/>
  <c r="J66" i="57"/>
  <c r="N30" i="58"/>
  <c r="L30" i="58"/>
  <c r="N37" i="58"/>
  <c r="F100" i="68"/>
  <c r="F99" i="68"/>
  <c r="F84" i="68"/>
  <c r="F76" i="68"/>
  <c r="F71" i="68"/>
  <c r="F67" i="68"/>
  <c r="F94" i="68"/>
  <c r="F86" i="68"/>
  <c r="F85" i="68"/>
  <c r="F58" i="68"/>
  <c r="F54" i="68"/>
  <c r="F50" i="68"/>
  <c r="F46" i="68"/>
  <c r="F102" i="68"/>
  <c r="F77" i="68"/>
  <c r="F106" i="68"/>
  <c r="F96" i="68"/>
  <c r="F95" i="68"/>
  <c r="F88" i="68"/>
  <c r="F87" i="68"/>
  <c r="F72" i="68"/>
  <c r="F68" i="68"/>
  <c r="F79" i="68"/>
  <c r="F78" i="68"/>
  <c r="F59" i="68"/>
  <c r="F55" i="68"/>
  <c r="F51" i="68"/>
  <c r="F47" i="68"/>
  <c r="F43" i="68"/>
  <c r="F42" i="68"/>
  <c r="F97" i="68"/>
  <c r="F81" i="68"/>
  <c r="F80" i="68"/>
  <c r="F69" i="68"/>
  <c r="F65" i="68"/>
  <c r="F64" i="68"/>
  <c r="F90" i="68"/>
  <c r="F82" i="68"/>
  <c r="F73" i="68"/>
  <c r="F45" i="68"/>
  <c r="F93" i="68"/>
  <c r="F49" i="68"/>
  <c r="F74" i="68"/>
  <c r="F53" i="68"/>
  <c r="F63" i="68"/>
  <c r="F57" i="68"/>
  <c r="F98" i="68"/>
  <c r="F91" i="68"/>
  <c r="F83" i="68"/>
  <c r="F44" i="68"/>
  <c r="F66" i="68"/>
  <c r="F52" i="68"/>
  <c r="F70" i="68"/>
  <c r="F56" i="68"/>
  <c r="F92" i="68"/>
  <c r="F75" i="68"/>
  <c r="F61" i="68"/>
  <c r="D61" i="68"/>
  <c r="F48" i="68"/>
  <c r="F89" i="68"/>
  <c r="T16" i="54"/>
  <c r="H16" i="55"/>
  <c r="J21" i="55"/>
  <c r="R24" i="55"/>
  <c r="R25" i="55"/>
  <c r="J33" i="55"/>
  <c r="R14" i="56"/>
  <c r="R16" i="56"/>
  <c r="R18" i="56"/>
  <c r="R29" i="56"/>
  <c r="F32" i="56"/>
  <c r="F33" i="56"/>
  <c r="R37" i="56"/>
  <c r="R38" i="56"/>
  <c r="F44" i="56"/>
  <c r="F45" i="56"/>
  <c r="R53" i="56"/>
  <c r="R54" i="56"/>
  <c r="F66" i="56"/>
  <c r="F68" i="56"/>
  <c r="R14" i="57"/>
  <c r="R16" i="57"/>
  <c r="R18" i="57"/>
  <c r="R29" i="57"/>
  <c r="F40" i="57"/>
  <c r="F41" i="57"/>
  <c r="R45" i="57"/>
  <c r="R53" i="57"/>
  <c r="F25" i="58"/>
  <c r="F29" i="58"/>
  <c r="J30" i="58"/>
  <c r="J36" i="58"/>
  <c r="J48" i="58"/>
  <c r="J56" i="58"/>
  <c r="F61" i="58"/>
  <c r="J62" i="58"/>
  <c r="R65" i="58"/>
  <c r="R66" i="58"/>
  <c r="F34" i="59"/>
  <c r="F53" i="59"/>
  <c r="F52" i="59"/>
  <c r="F25" i="59"/>
  <c r="F21" i="59"/>
  <c r="F44" i="59"/>
  <c r="F36" i="59"/>
  <c r="F35" i="59"/>
  <c r="L14" i="59"/>
  <c r="F22" i="59"/>
  <c r="F29" i="59"/>
  <c r="J30" i="59"/>
  <c r="J39" i="59"/>
  <c r="F42" i="59"/>
  <c r="V43" i="59"/>
  <c r="F45" i="59"/>
  <c r="V46" i="59"/>
  <c r="V49" i="59"/>
  <c r="N37" i="60"/>
  <c r="J40" i="60"/>
  <c r="J47" i="60"/>
  <c r="J51" i="60"/>
  <c r="N16" i="61"/>
  <c r="H48" i="61"/>
  <c r="Z27" i="61"/>
  <c r="V31" i="61"/>
  <c r="R19" i="63"/>
  <c r="Z41" i="63"/>
  <c r="F66" i="63"/>
  <c r="R74" i="63"/>
  <c r="N40" i="67"/>
  <c r="H12" i="69"/>
  <c r="V14" i="54"/>
  <c r="V16" i="54"/>
  <c r="V18" i="54"/>
  <c r="V20" i="54"/>
  <c r="V22" i="54"/>
  <c r="R19" i="56"/>
  <c r="F22" i="56"/>
  <c r="F26" i="56"/>
  <c r="F58" i="56"/>
  <c r="R19" i="57"/>
  <c r="F22" i="57"/>
  <c r="F26" i="57"/>
  <c r="R34" i="57"/>
  <c r="R35" i="57"/>
  <c r="F49" i="57"/>
  <c r="F50" i="57"/>
  <c r="F57" i="57"/>
  <c r="F58" i="57"/>
  <c r="D16" i="58"/>
  <c r="J21" i="58"/>
  <c r="R22" i="58"/>
  <c r="J25" i="58"/>
  <c r="R26" i="58"/>
  <c r="J29" i="58"/>
  <c r="F34" i="58"/>
  <c r="J35" i="58"/>
  <c r="R38" i="58"/>
  <c r="R39" i="58"/>
  <c r="F45" i="58"/>
  <c r="F46" i="58"/>
  <c r="J47" i="58"/>
  <c r="R50" i="58"/>
  <c r="F54" i="58"/>
  <c r="J55" i="58"/>
  <c r="R58" i="58"/>
  <c r="J61" i="58"/>
  <c r="J75" i="58"/>
  <c r="J78" i="58"/>
  <c r="J53" i="59"/>
  <c r="J35" i="59"/>
  <c r="J44" i="59"/>
  <c r="J36" i="59"/>
  <c r="J45" i="59"/>
  <c r="J37" i="59"/>
  <c r="J31" i="59"/>
  <c r="J58" i="59"/>
  <c r="J56" i="59"/>
  <c r="J48" i="59"/>
  <c r="J40" i="59"/>
  <c r="J32" i="59"/>
  <c r="J22" i="59"/>
  <c r="R23" i="59"/>
  <c r="J42" i="59"/>
  <c r="N45" i="59"/>
  <c r="F51" i="59"/>
  <c r="F33" i="60"/>
  <c r="J37" i="60"/>
  <c r="V37" i="61"/>
  <c r="V29" i="61"/>
  <c r="T16" i="61"/>
  <c r="V55" i="61"/>
  <c r="V52" i="61"/>
  <c r="V50" i="61"/>
  <c r="V24" i="61"/>
  <c r="V30" i="61"/>
  <c r="V41" i="61"/>
  <c r="V25" i="61"/>
  <c r="V21" i="61"/>
  <c r="V40" i="61"/>
  <c r="V32" i="61"/>
  <c r="V43" i="61"/>
  <c r="V33" i="61"/>
  <c r="V48" i="61"/>
  <c r="V46" i="61"/>
  <c r="V44" i="61"/>
  <c r="V36" i="61"/>
  <c r="V28" i="61"/>
  <c r="Z12" i="61"/>
  <c r="P48" i="61"/>
  <c r="V20" i="61"/>
  <c r="V27" i="61"/>
  <c r="Z34" i="61"/>
  <c r="R39" i="63"/>
  <c r="F81" i="63"/>
  <c r="L83" i="63"/>
  <c r="F89" i="63"/>
  <c r="F97" i="63"/>
  <c r="P16" i="59"/>
  <c r="R18" i="59"/>
  <c r="R19" i="59"/>
  <c r="R26" i="59"/>
  <c r="L41" i="59"/>
  <c r="N41" i="59" s="1"/>
  <c r="F40" i="60"/>
  <c r="F39" i="60"/>
  <c r="F24" i="60"/>
  <c r="F20" i="60"/>
  <c r="F19" i="60"/>
  <c r="F31" i="60"/>
  <c r="F30" i="60"/>
  <c r="F18" i="60"/>
  <c r="F16" i="60"/>
  <c r="F14" i="60"/>
  <c r="F56" i="60"/>
  <c r="F53" i="60"/>
  <c r="D16" i="60"/>
  <c r="F43" i="60"/>
  <c r="F42" i="60"/>
  <c r="F35" i="60"/>
  <c r="F34" i="60"/>
  <c r="F26" i="60"/>
  <c r="F22" i="60"/>
  <c r="F29" i="60"/>
  <c r="X47" i="60"/>
  <c r="X36" i="61"/>
  <c r="Z36" i="61" s="1"/>
  <c r="D22" i="62"/>
  <c r="L16" i="62"/>
  <c r="L18" i="62"/>
  <c r="X18" i="63"/>
  <c r="Z18" i="63" s="1"/>
  <c r="N83" i="63"/>
  <c r="L21" i="70"/>
  <c r="N21" i="70" s="1"/>
  <c r="Z12" i="54"/>
  <c r="J26" i="54"/>
  <c r="J28" i="54"/>
  <c r="J29" i="54"/>
  <c r="R33" i="55"/>
  <c r="X12" i="56"/>
  <c r="R52" i="56"/>
  <c r="F63" i="56"/>
  <c r="F64" i="56"/>
  <c r="R70" i="56"/>
  <c r="R32" i="57"/>
  <c r="R33" i="57"/>
  <c r="F47" i="57"/>
  <c r="F48" i="57"/>
  <c r="R52" i="57"/>
  <c r="F55" i="57"/>
  <c r="F56" i="57"/>
  <c r="R60" i="57"/>
  <c r="H16" i="58"/>
  <c r="F28" i="58"/>
  <c r="R36" i="58"/>
  <c r="R37" i="58"/>
  <c r="F43" i="58"/>
  <c r="F44" i="58"/>
  <c r="J45" i="58"/>
  <c r="R48" i="58"/>
  <c r="R49" i="58"/>
  <c r="R56" i="58"/>
  <c r="R57" i="58"/>
  <c r="F60" i="58"/>
  <c r="F69" i="58"/>
  <c r="F71" i="58"/>
  <c r="J73" i="58"/>
  <c r="N12" i="59"/>
  <c r="R14" i="59"/>
  <c r="R16" i="59"/>
  <c r="F28" i="59"/>
  <c r="R30" i="59"/>
  <c r="F32" i="59"/>
  <c r="J38" i="59"/>
  <c r="F41" i="59"/>
  <c r="R42" i="59"/>
  <c r="R45" i="59"/>
  <c r="F48" i="59"/>
  <c r="J54" i="59"/>
  <c r="J60" i="59"/>
  <c r="J56" i="60"/>
  <c r="J53" i="60"/>
  <c r="J31" i="60"/>
  <c r="H16" i="60"/>
  <c r="J32" i="60"/>
  <c r="J41" i="60"/>
  <c r="J33" i="60"/>
  <c r="J25" i="60"/>
  <c r="J21" i="60"/>
  <c r="J44" i="60"/>
  <c r="J26" i="60"/>
  <c r="J22" i="60"/>
  <c r="J45" i="60"/>
  <c r="J29" i="60"/>
  <c r="L42" i="60"/>
  <c r="N42" i="60" s="1"/>
  <c r="V16" i="61"/>
  <c r="X14" i="63"/>
  <c r="R18" i="63"/>
  <c r="Z29" i="63"/>
  <c r="T48" i="67"/>
  <c r="Z16" i="67"/>
  <c r="X38" i="67"/>
  <c r="N35" i="68"/>
  <c r="N17" i="70"/>
  <c r="L17" i="70"/>
  <c r="R54" i="59"/>
  <c r="R47" i="59"/>
  <c r="R46" i="59"/>
  <c r="R39" i="59"/>
  <c r="R38" i="59"/>
  <c r="R58" i="59"/>
  <c r="R56" i="59"/>
  <c r="R48" i="59"/>
  <c r="R41" i="59"/>
  <c r="R40" i="59"/>
  <c r="R32" i="59"/>
  <c r="R65" i="59"/>
  <c r="R62" i="59"/>
  <c r="R50" i="59"/>
  <c r="R49" i="59"/>
  <c r="R33" i="59"/>
  <c r="T16" i="59"/>
  <c r="R22" i="59"/>
  <c r="R35" i="59"/>
  <c r="Z38" i="61"/>
  <c r="L93" i="63"/>
  <c r="Z38" i="67"/>
  <c r="N27" i="68"/>
  <c r="L27" i="68"/>
  <c r="N39" i="68"/>
  <c r="L39" i="68"/>
  <c r="R103" i="70"/>
  <c r="R102" i="70"/>
  <c r="R97" i="70"/>
  <c r="R111" i="70"/>
  <c r="R105" i="70"/>
  <c r="R104" i="70"/>
  <c r="R110" i="70"/>
  <c r="R109" i="70"/>
  <c r="R106" i="70"/>
  <c r="R98" i="70"/>
  <c r="R91" i="70"/>
  <c r="R90" i="70"/>
  <c r="R100" i="70"/>
  <c r="R99" i="70"/>
  <c r="R101" i="70"/>
  <c r="R80" i="70"/>
  <c r="R79" i="70"/>
  <c r="R68" i="70"/>
  <c r="R67" i="70"/>
  <c r="R63" i="70"/>
  <c r="R59" i="70"/>
  <c r="P55" i="70"/>
  <c r="R55" i="70" s="1"/>
  <c r="R50" i="70"/>
  <c r="R46" i="70"/>
  <c r="R42" i="70"/>
  <c r="R93" i="70"/>
  <c r="R82" i="70"/>
  <c r="R81" i="70"/>
  <c r="R73" i="70"/>
  <c r="R69" i="70"/>
  <c r="R64" i="70"/>
  <c r="R60" i="70"/>
  <c r="R94" i="70"/>
  <c r="R84" i="70"/>
  <c r="R83" i="70"/>
  <c r="R51" i="70"/>
  <c r="R47" i="70"/>
  <c r="R43" i="70"/>
  <c r="R75" i="70"/>
  <c r="R74" i="70"/>
  <c r="R70" i="70"/>
  <c r="R85" i="70"/>
  <c r="R65" i="70"/>
  <c r="R61" i="70"/>
  <c r="R95" i="70"/>
  <c r="R71" i="70"/>
  <c r="R40" i="70"/>
  <c r="R115" i="70"/>
  <c r="R87" i="70"/>
  <c r="R86" i="70"/>
  <c r="R78" i="70"/>
  <c r="R66" i="70"/>
  <c r="R62" i="70"/>
  <c r="R92" i="70"/>
  <c r="R57" i="70"/>
  <c r="R41" i="70"/>
  <c r="R96" i="70"/>
  <c r="R77" i="70"/>
  <c r="R52" i="70"/>
  <c r="R89" i="70"/>
  <c r="R45" i="70"/>
  <c r="X12" i="70"/>
  <c r="R58" i="70"/>
  <c r="R49" i="70"/>
  <c r="R108" i="70"/>
  <c r="R72" i="70"/>
  <c r="R53" i="70"/>
  <c r="R44" i="70"/>
  <c r="D16" i="56"/>
  <c r="R22" i="56"/>
  <c r="R26" i="56"/>
  <c r="F30" i="56"/>
  <c r="R58" i="56"/>
  <c r="F61" i="56"/>
  <c r="F62" i="56"/>
  <c r="D16" i="57"/>
  <c r="R22" i="57"/>
  <c r="R26" i="57"/>
  <c r="F30" i="57"/>
  <c r="F37" i="57"/>
  <c r="F38" i="57"/>
  <c r="F46" i="57"/>
  <c r="R50" i="57"/>
  <c r="R51" i="57"/>
  <c r="F54" i="57"/>
  <c r="R58" i="57"/>
  <c r="R59" i="57"/>
  <c r="J19" i="58"/>
  <c r="J33" i="58"/>
  <c r="R34" i="58"/>
  <c r="R35" i="58"/>
  <c r="F41" i="58"/>
  <c r="F42" i="58"/>
  <c r="J43" i="58"/>
  <c r="R46" i="58"/>
  <c r="R47" i="58"/>
  <c r="J53" i="58"/>
  <c r="R54" i="58"/>
  <c r="R55" i="58"/>
  <c r="J69" i="58"/>
  <c r="J71" i="58"/>
  <c r="R75" i="58"/>
  <c r="R78" i="58"/>
  <c r="V41" i="59"/>
  <c r="V48" i="59"/>
  <c r="V40" i="59"/>
  <c r="V32" i="59"/>
  <c r="V27" i="59"/>
  <c r="V23" i="59"/>
  <c r="V19" i="59"/>
  <c r="V52" i="59"/>
  <c r="V28" i="59"/>
  <c r="V51" i="59"/>
  <c r="V14" i="59"/>
  <c r="V16" i="59"/>
  <c r="V22" i="59"/>
  <c r="F24" i="59"/>
  <c r="R25" i="59"/>
  <c r="F37" i="59"/>
  <c r="V38" i="59"/>
  <c r="X39" i="59"/>
  <c r="Z39" i="59" s="1"/>
  <c r="J41" i="59"/>
  <c r="V45" i="59"/>
  <c r="F47" i="59"/>
  <c r="R51" i="59"/>
  <c r="F65" i="59"/>
  <c r="N12" i="60"/>
  <c r="J18" i="60"/>
  <c r="L19" i="60"/>
  <c r="F28" i="60"/>
  <c r="F32" i="60"/>
  <c r="Z37" i="60"/>
  <c r="L39" i="60"/>
  <c r="N39" i="60" s="1"/>
  <c r="J42" i="60"/>
  <c r="L18" i="61"/>
  <c r="V38" i="61"/>
  <c r="F93" i="63"/>
  <c r="F84" i="63"/>
  <c r="F83" i="63"/>
  <c r="F72" i="63"/>
  <c r="F56" i="63"/>
  <c r="F55" i="63"/>
  <c r="F36" i="63"/>
  <c r="F32" i="63"/>
  <c r="L12" i="63"/>
  <c r="F79" i="63"/>
  <c r="F67" i="63"/>
  <c r="F47" i="63"/>
  <c r="F46" i="63"/>
  <c r="F27" i="63"/>
  <c r="F23" i="63"/>
  <c r="F104" i="63"/>
  <c r="F101" i="63"/>
  <c r="F86" i="63"/>
  <c r="F85" i="63"/>
  <c r="F58" i="63"/>
  <c r="F57" i="63"/>
  <c r="F38" i="63"/>
  <c r="F37" i="63"/>
  <c r="F73" i="63"/>
  <c r="F33" i="63"/>
  <c r="F88" i="63"/>
  <c r="F87" i="63"/>
  <c r="F80" i="63"/>
  <c r="F68" i="63"/>
  <c r="F60" i="63"/>
  <c r="F59" i="63"/>
  <c r="F48" i="63"/>
  <c r="F40" i="63"/>
  <c r="F39" i="63"/>
  <c r="F28" i="63"/>
  <c r="F24" i="63"/>
  <c r="F20" i="63"/>
  <c r="F19" i="63"/>
  <c r="F75" i="63"/>
  <c r="F74" i="63"/>
  <c r="F18" i="63"/>
  <c r="F16" i="63"/>
  <c r="F14" i="63"/>
  <c r="F62" i="63"/>
  <c r="F61" i="63"/>
  <c r="F50" i="63"/>
  <c r="F49" i="63"/>
  <c r="F42" i="63"/>
  <c r="F41" i="63"/>
  <c r="F34" i="63"/>
  <c r="F30" i="63"/>
  <c r="F29" i="63"/>
  <c r="D16" i="63"/>
  <c r="F64" i="63"/>
  <c r="F63" i="63"/>
  <c r="F52" i="63"/>
  <c r="F51" i="63"/>
  <c r="F44" i="63"/>
  <c r="F43" i="63"/>
  <c r="F91" i="63"/>
  <c r="F90" i="63"/>
  <c r="F71" i="63"/>
  <c r="F70" i="63"/>
  <c r="F35" i="63"/>
  <c r="F31" i="63"/>
  <c r="F54" i="63"/>
  <c r="N63" i="63"/>
  <c r="F77" i="63"/>
  <c r="Z85" i="63"/>
  <c r="R87" i="63"/>
  <c r="F95" i="63"/>
  <c r="V79" i="68"/>
  <c r="V63" i="68"/>
  <c r="V59" i="68"/>
  <c r="V55" i="68"/>
  <c r="V51" i="68"/>
  <c r="V47" i="68"/>
  <c r="V43" i="68"/>
  <c r="V90" i="68"/>
  <c r="V82" i="68"/>
  <c r="V74" i="68"/>
  <c r="T61" i="68"/>
  <c r="V97" i="68"/>
  <c r="V81" i="68"/>
  <c r="V69" i="68"/>
  <c r="V65" i="68"/>
  <c r="V92" i="68"/>
  <c r="V56" i="68"/>
  <c r="V52" i="68"/>
  <c r="V48" i="68"/>
  <c r="V44" i="68"/>
  <c r="V99" i="68"/>
  <c r="V91" i="68"/>
  <c r="V83" i="68"/>
  <c r="V75" i="68"/>
  <c r="V98" i="68"/>
  <c r="V70" i="68"/>
  <c r="V66" i="68"/>
  <c r="V102" i="68"/>
  <c r="V100" i="68"/>
  <c r="V84" i="68"/>
  <c r="V76" i="68"/>
  <c r="V71" i="68"/>
  <c r="V53" i="68"/>
  <c r="V57" i="68"/>
  <c r="V42" i="68"/>
  <c r="V96" i="68"/>
  <c r="V88" i="68"/>
  <c r="V46" i="68"/>
  <c r="V94" i="68"/>
  <c r="V89" i="68"/>
  <c r="V86" i="68"/>
  <c r="V50" i="68"/>
  <c r="V106" i="68"/>
  <c r="V64" i="68"/>
  <c r="V54" i="68"/>
  <c r="V68" i="68"/>
  <c r="V58" i="68"/>
  <c r="V95" i="68"/>
  <c r="V87" i="68"/>
  <c r="V77" i="68"/>
  <c r="V73" i="68"/>
  <c r="V85" i="68"/>
  <c r="V72" i="68"/>
  <c r="V102" i="70"/>
  <c r="V111" i="70"/>
  <c r="V105" i="70"/>
  <c r="V110" i="70"/>
  <c r="V104" i="70"/>
  <c r="V109" i="70"/>
  <c r="V106" i="70"/>
  <c r="V98" i="70"/>
  <c r="V115" i="70"/>
  <c r="V94" i="70"/>
  <c r="V101" i="70"/>
  <c r="V96" i="70"/>
  <c r="V103" i="70"/>
  <c r="V95" i="70"/>
  <c r="V82" i="70"/>
  <c r="V50" i="70"/>
  <c r="V46" i="70"/>
  <c r="V42" i="70"/>
  <c r="V93" i="70"/>
  <c r="V81" i="70"/>
  <c r="V73" i="70"/>
  <c r="V69" i="70"/>
  <c r="V90" i="70"/>
  <c r="V84" i="70"/>
  <c r="V64" i="70"/>
  <c r="V60" i="70"/>
  <c r="V83" i="70"/>
  <c r="V75" i="70"/>
  <c r="V51" i="70"/>
  <c r="V47" i="70"/>
  <c r="V43" i="70"/>
  <c r="V97" i="70"/>
  <c r="V91" i="70"/>
  <c r="V74" i="70"/>
  <c r="V70" i="70"/>
  <c r="V85" i="70"/>
  <c r="V77" i="70"/>
  <c r="V65" i="70"/>
  <c r="V61" i="70"/>
  <c r="V99" i="70"/>
  <c r="V76" i="70"/>
  <c r="V52" i="70"/>
  <c r="V48" i="70"/>
  <c r="V44" i="70"/>
  <c r="V40" i="70"/>
  <c r="V86" i="70"/>
  <c r="V78" i="70"/>
  <c r="V66" i="70"/>
  <c r="V62" i="70"/>
  <c r="V58" i="70"/>
  <c r="V92" i="70"/>
  <c r="V89" i="70"/>
  <c r="V57" i="70"/>
  <c r="V53" i="70"/>
  <c r="V49" i="70"/>
  <c r="V45" i="70"/>
  <c r="V41" i="70"/>
  <c r="V59" i="70"/>
  <c r="V87" i="70"/>
  <c r="V71" i="70"/>
  <c r="V68" i="70"/>
  <c r="Z12" i="70"/>
  <c r="V79" i="70"/>
  <c r="V100" i="70"/>
  <c r="V63" i="70"/>
  <c r="T55" i="70"/>
  <c r="V72" i="70"/>
  <c r="V80" i="70"/>
  <c r="H16" i="54"/>
  <c r="R19" i="55"/>
  <c r="R29" i="55"/>
  <c r="R31" i="56"/>
  <c r="R32" i="56"/>
  <c r="F38" i="56"/>
  <c r="F39" i="56"/>
  <c r="R43" i="56"/>
  <c r="R44" i="56"/>
  <c r="R51" i="56"/>
  <c r="F54" i="56"/>
  <c r="R66" i="56"/>
  <c r="R68" i="56"/>
  <c r="F14" i="57"/>
  <c r="F16" i="57"/>
  <c r="F18" i="57"/>
  <c r="R31" i="57"/>
  <c r="R39" i="57"/>
  <c r="R40" i="57"/>
  <c r="F23" i="58"/>
  <c r="F27" i="58"/>
  <c r="J42" i="58"/>
  <c r="F51" i="58"/>
  <c r="J52" i="58"/>
  <c r="F59" i="58"/>
  <c r="F66" i="58"/>
  <c r="F67" i="58"/>
  <c r="R73" i="58"/>
  <c r="X12" i="59"/>
  <c r="J24" i="59"/>
  <c r="R29" i="59"/>
  <c r="V35" i="59"/>
  <c r="N37" i="59"/>
  <c r="R44" i="59"/>
  <c r="N47" i="59"/>
  <c r="J50" i="59"/>
  <c r="V54" i="59"/>
  <c r="R60" i="59"/>
  <c r="F49" i="60"/>
  <c r="X19" i="61"/>
  <c r="Z19" i="61" s="1"/>
  <c r="N32" i="61"/>
  <c r="X43" i="61"/>
  <c r="Z14" i="63"/>
  <c r="Z57" i="63"/>
  <c r="X61" i="63"/>
  <c r="N46" i="67"/>
  <c r="L46" i="67"/>
  <c r="Z35" i="68"/>
  <c r="Z47" i="69"/>
  <c r="Z80" i="70"/>
  <c r="X80" i="70"/>
  <c r="R21" i="59"/>
  <c r="R28" i="59"/>
  <c r="Z29" i="59"/>
  <c r="R34" i="59"/>
  <c r="F21" i="60"/>
  <c r="F38" i="60"/>
  <c r="F41" i="60"/>
  <c r="F44" i="60"/>
  <c r="N18" i="61"/>
  <c r="Z43" i="61"/>
  <c r="Z16" i="62"/>
  <c r="T22" i="62"/>
  <c r="L51" i="63"/>
  <c r="Z61" i="63"/>
  <c r="L95" i="63"/>
  <c r="N95" i="63" s="1"/>
  <c r="V67" i="70"/>
  <c r="R37" i="59"/>
  <c r="Z19" i="60"/>
  <c r="X32" i="60"/>
  <c r="Z32" i="60" s="1"/>
  <c r="Z39" i="60"/>
  <c r="X46" i="61"/>
  <c r="R88" i="63"/>
  <c r="R80" i="63"/>
  <c r="R68" i="63"/>
  <c r="R61" i="63"/>
  <c r="R60" i="63"/>
  <c r="R49" i="63"/>
  <c r="R48" i="63"/>
  <c r="R41" i="63"/>
  <c r="R40" i="63"/>
  <c r="R29" i="63"/>
  <c r="R28" i="63"/>
  <c r="R24" i="63"/>
  <c r="R20" i="63"/>
  <c r="P16" i="63"/>
  <c r="R76" i="63"/>
  <c r="R75" i="63"/>
  <c r="R63" i="63"/>
  <c r="R62" i="63"/>
  <c r="R51" i="63"/>
  <c r="R50" i="63"/>
  <c r="R43" i="63"/>
  <c r="R42" i="63"/>
  <c r="R34" i="63"/>
  <c r="R30" i="63"/>
  <c r="R90" i="63"/>
  <c r="R89" i="63"/>
  <c r="R81" i="63"/>
  <c r="R77" i="63"/>
  <c r="R70" i="63"/>
  <c r="R69" i="63"/>
  <c r="R25" i="63"/>
  <c r="R21" i="63"/>
  <c r="R97" i="63"/>
  <c r="R95" i="63"/>
  <c r="R65" i="63"/>
  <c r="R64" i="63"/>
  <c r="R53" i="63"/>
  <c r="R52" i="63"/>
  <c r="R44" i="63"/>
  <c r="R94" i="63"/>
  <c r="R91" i="63"/>
  <c r="R71" i="63"/>
  <c r="R35" i="63"/>
  <c r="R31" i="63"/>
  <c r="R93" i="63"/>
  <c r="R83" i="63"/>
  <c r="R82" i="63"/>
  <c r="R78" i="63"/>
  <c r="R66" i="63"/>
  <c r="R55" i="63"/>
  <c r="R54" i="63"/>
  <c r="R26" i="63"/>
  <c r="R22" i="63"/>
  <c r="R104" i="63"/>
  <c r="R101" i="63"/>
  <c r="R85" i="63"/>
  <c r="R84" i="63"/>
  <c r="R72" i="63"/>
  <c r="R57" i="63"/>
  <c r="R56" i="63"/>
  <c r="R37" i="63"/>
  <c r="R36" i="63"/>
  <c r="R32" i="63"/>
  <c r="X12" i="63"/>
  <c r="R79" i="63"/>
  <c r="R67" i="63"/>
  <c r="R47" i="63"/>
  <c r="R27" i="63"/>
  <c r="R23" i="63"/>
  <c r="R16" i="63"/>
  <c r="R46" i="63"/>
  <c r="N51" i="63"/>
  <c r="L94" i="63"/>
  <c r="N94" i="63" s="1"/>
  <c r="R99" i="63"/>
  <c r="N14" i="67"/>
  <c r="H16" i="67"/>
  <c r="L14" i="67"/>
  <c r="V24" i="54"/>
  <c r="V26" i="54"/>
  <c r="V28" i="54"/>
  <c r="V29" i="54"/>
  <c r="R30" i="56"/>
  <c r="R62" i="56"/>
  <c r="R30" i="57"/>
  <c r="F33" i="57"/>
  <c r="R38" i="57"/>
  <c r="R46" i="57"/>
  <c r="R47" i="57"/>
  <c r="R54" i="57"/>
  <c r="R19" i="58"/>
  <c r="F22" i="58"/>
  <c r="F26" i="58"/>
  <c r="F37" i="58"/>
  <c r="F38" i="58"/>
  <c r="J39" i="58"/>
  <c r="R42" i="58"/>
  <c r="R43" i="58"/>
  <c r="F49" i="58"/>
  <c r="F50" i="58"/>
  <c r="F57" i="58"/>
  <c r="R69" i="58"/>
  <c r="F14" i="59"/>
  <c r="F16" i="59"/>
  <c r="F23" i="59"/>
  <c r="R24" i="59"/>
  <c r="F33" i="59"/>
  <c r="F46" i="59"/>
  <c r="F49" i="59"/>
  <c r="X50" i="59"/>
  <c r="Z50" i="59" s="1"/>
  <c r="J23" i="60"/>
  <c r="F25" i="60"/>
  <c r="L34" i="60"/>
  <c r="V14" i="61"/>
  <c r="L41" i="61"/>
  <c r="N41" i="61" s="1"/>
  <c r="V42" i="61"/>
  <c r="J29" i="62"/>
  <c r="J26" i="62"/>
  <c r="N12" i="62"/>
  <c r="L12" i="62"/>
  <c r="J22" i="62"/>
  <c r="J20" i="62"/>
  <c r="J18" i="62"/>
  <c r="J16" i="62"/>
  <c r="J14" i="62"/>
  <c r="L43" i="63"/>
  <c r="N43" i="63" s="1"/>
  <c r="Z46" i="63"/>
  <c r="X49" i="63"/>
  <c r="R86" i="63"/>
  <c r="F94" i="63"/>
  <c r="Z93" i="63"/>
  <c r="N30" i="68"/>
  <c r="V49" i="68"/>
  <c r="R19" i="60"/>
  <c r="R38" i="60"/>
  <c r="R39" i="60"/>
  <c r="V51" i="60"/>
  <c r="V53" i="60"/>
  <c r="V56" i="60"/>
  <c r="R33" i="61"/>
  <c r="R34" i="61"/>
  <c r="J40" i="61"/>
  <c r="F52" i="61"/>
  <c r="F55" i="61"/>
  <c r="V14" i="63"/>
  <c r="V16" i="63"/>
  <c r="V18" i="63"/>
  <c r="J22" i="63"/>
  <c r="J26" i="63"/>
  <c r="V38" i="63"/>
  <c r="J54" i="63"/>
  <c r="V58" i="63"/>
  <c r="J66" i="63"/>
  <c r="V74" i="63"/>
  <c r="J78" i="63"/>
  <c r="J82" i="63"/>
  <c r="V86" i="63"/>
  <c r="J94" i="63"/>
  <c r="V16" i="67"/>
  <c r="L19" i="67"/>
  <c r="N19" i="67" s="1"/>
  <c r="F22" i="67"/>
  <c r="F36" i="67"/>
  <c r="V41" i="67"/>
  <c r="F43" i="67"/>
  <c r="Z28" i="68"/>
  <c r="Z40" i="68"/>
  <c r="N92" i="68"/>
  <c r="R26" i="69"/>
  <c r="R42" i="69"/>
  <c r="V45" i="69"/>
  <c r="Z57" i="69"/>
  <c r="Z17" i="70"/>
  <c r="L25" i="70"/>
  <c r="N25" i="70" s="1"/>
  <c r="L75" i="70"/>
  <c r="N75" i="70" s="1"/>
  <c r="V14" i="60"/>
  <c r="V16" i="60"/>
  <c r="V18" i="60"/>
  <c r="R23" i="60"/>
  <c r="R27" i="60"/>
  <c r="R28" i="60"/>
  <c r="V30" i="60"/>
  <c r="V38" i="60"/>
  <c r="D16" i="61"/>
  <c r="J21" i="61"/>
  <c r="R22" i="61"/>
  <c r="J25" i="61"/>
  <c r="R26" i="61"/>
  <c r="R27" i="61"/>
  <c r="F30" i="61"/>
  <c r="R42" i="61"/>
  <c r="R43" i="61"/>
  <c r="L14" i="62"/>
  <c r="R24" i="62"/>
  <c r="V19" i="63"/>
  <c r="V23" i="63"/>
  <c r="V27" i="63"/>
  <c r="J31" i="63"/>
  <c r="J35" i="63"/>
  <c r="V39" i="63"/>
  <c r="V47" i="63"/>
  <c r="J53" i="63"/>
  <c r="V59" i="63"/>
  <c r="J65" i="63"/>
  <c r="V67" i="63"/>
  <c r="J71" i="63"/>
  <c r="V79" i="63"/>
  <c r="V87" i="63"/>
  <c r="J91" i="63"/>
  <c r="J95" i="63"/>
  <c r="J97" i="63"/>
  <c r="F19" i="67"/>
  <c r="V20" i="67"/>
  <c r="V25" i="67"/>
  <c r="V31" i="67"/>
  <c r="V37" i="67"/>
  <c r="Z15" i="68"/>
  <c r="Z20" i="68"/>
  <c r="Z23" i="68"/>
  <c r="X35" i="68"/>
  <c r="N64" i="68"/>
  <c r="D12" i="70"/>
  <c r="L14" i="70"/>
  <c r="Z21" i="70"/>
  <c r="L29" i="70"/>
  <c r="N29" i="70" s="1"/>
  <c r="V55" i="69"/>
  <c r="V39" i="69"/>
  <c r="V31" i="69"/>
  <c r="V27" i="69"/>
  <c r="V23" i="69"/>
  <c r="V50" i="69"/>
  <c r="V38" i="69"/>
  <c r="V22" i="69"/>
  <c r="V20" i="69"/>
  <c r="V18" i="69"/>
  <c r="V57" i="69"/>
  <c r="V49" i="69"/>
  <c r="V41" i="69"/>
  <c r="V33" i="69"/>
  <c r="T20" i="69"/>
  <c r="V56" i="69"/>
  <c r="V40" i="69"/>
  <c r="V28" i="69"/>
  <c r="V24" i="69"/>
  <c r="V51" i="69"/>
  <c r="V43" i="69"/>
  <c r="V60" i="69"/>
  <c r="V58" i="69"/>
  <c r="V42" i="69"/>
  <c r="V34" i="69"/>
  <c r="V52" i="69"/>
  <c r="V44" i="69"/>
  <c r="V16" i="69"/>
  <c r="V47" i="69"/>
  <c r="V35" i="69"/>
  <c r="N14" i="70"/>
  <c r="L33" i="70"/>
  <c r="N33" i="70" s="1"/>
  <c r="J21" i="63"/>
  <c r="J25" i="63"/>
  <c r="J43" i="63"/>
  <c r="J51" i="63"/>
  <c r="J63" i="63"/>
  <c r="J69" i="63"/>
  <c r="J77" i="63"/>
  <c r="J81" i="63"/>
  <c r="V85" i="63"/>
  <c r="J89" i="63"/>
  <c r="V99" i="63"/>
  <c r="V101" i="63"/>
  <c r="V104" i="63"/>
  <c r="F50" i="67"/>
  <c r="F32" i="67"/>
  <c r="L12" i="67"/>
  <c r="F39" i="67"/>
  <c r="F38" i="67"/>
  <c r="F27" i="67"/>
  <c r="F23" i="67"/>
  <c r="F55" i="67"/>
  <c r="F52" i="67"/>
  <c r="F18" i="67"/>
  <c r="F16" i="67"/>
  <c r="F14" i="67"/>
  <c r="F25" i="67"/>
  <c r="F21" i="67"/>
  <c r="N18" i="67"/>
  <c r="V27" i="67"/>
  <c r="F29" i="67"/>
  <c r="F35" i="67"/>
  <c r="N34" i="68"/>
  <c r="N42" i="68"/>
  <c r="V29" i="69"/>
  <c r="R35" i="69"/>
  <c r="V53" i="69"/>
  <c r="N16" i="70"/>
  <c r="N18" i="70"/>
  <c r="Z29" i="70"/>
  <c r="N37" i="70"/>
  <c r="N68" i="70"/>
  <c r="R22" i="60"/>
  <c r="R26" i="60"/>
  <c r="V37" i="60"/>
  <c r="V45" i="60"/>
  <c r="V47" i="60"/>
  <c r="V49" i="60"/>
  <c r="J14" i="61"/>
  <c r="J16" i="61"/>
  <c r="J18" i="61"/>
  <c r="J20" i="61"/>
  <c r="R21" i="61"/>
  <c r="J24" i="61"/>
  <c r="R25" i="61"/>
  <c r="F29" i="61"/>
  <c r="F36" i="61"/>
  <c r="F37" i="61"/>
  <c r="J38" i="61"/>
  <c r="F46" i="61"/>
  <c r="F48" i="61"/>
  <c r="J50" i="61"/>
  <c r="R14" i="62"/>
  <c r="R16" i="62"/>
  <c r="R18" i="62"/>
  <c r="R20" i="62"/>
  <c r="V22" i="63"/>
  <c r="V26" i="63"/>
  <c r="J30" i="63"/>
  <c r="J34" i="63"/>
  <c r="J42" i="63"/>
  <c r="V46" i="63"/>
  <c r="J50" i="63"/>
  <c r="V54" i="63"/>
  <c r="J62" i="63"/>
  <c r="V66" i="63"/>
  <c r="J76" i="63"/>
  <c r="V78" i="63"/>
  <c r="V82" i="63"/>
  <c r="V14" i="67"/>
  <c r="X19" i="67"/>
  <c r="Z19" i="67" s="1"/>
  <c r="V33" i="67"/>
  <c r="Z40" i="67"/>
  <c r="F42" i="67"/>
  <c r="R43" i="67"/>
  <c r="Z32" i="68"/>
  <c r="Z92" i="68"/>
  <c r="Z16" i="69"/>
  <c r="N43" i="69"/>
  <c r="R46" i="69"/>
  <c r="N50" i="69"/>
  <c r="N20" i="70"/>
  <c r="N22" i="70"/>
  <c r="Z33" i="70"/>
  <c r="Z40" i="70"/>
  <c r="T12" i="72"/>
  <c r="X14" i="72"/>
  <c r="Z14" i="72" s="1"/>
  <c r="N39" i="74"/>
  <c r="L39" i="74"/>
  <c r="R72" i="76"/>
  <c r="R71" i="76"/>
  <c r="R67" i="76"/>
  <c r="R97" i="76"/>
  <c r="R91" i="76"/>
  <c r="R90" i="76"/>
  <c r="R83" i="76"/>
  <c r="R82" i="76"/>
  <c r="R62" i="76"/>
  <c r="R58" i="76"/>
  <c r="R96" i="76"/>
  <c r="R74" i="76"/>
  <c r="R73" i="76"/>
  <c r="R49" i="76"/>
  <c r="R45" i="76"/>
  <c r="R41" i="76"/>
  <c r="R95" i="76"/>
  <c r="R92" i="76"/>
  <c r="R85" i="76"/>
  <c r="R84" i="76"/>
  <c r="R68" i="76"/>
  <c r="R101" i="76"/>
  <c r="R76" i="76"/>
  <c r="R75" i="76"/>
  <c r="R63" i="76"/>
  <c r="R59" i="76"/>
  <c r="R87" i="76"/>
  <c r="R86" i="76"/>
  <c r="R50" i="76"/>
  <c r="R46" i="76"/>
  <c r="R42" i="76"/>
  <c r="R79" i="76"/>
  <c r="R56" i="76"/>
  <c r="R51" i="76"/>
  <c r="R47" i="76"/>
  <c r="R43" i="76"/>
  <c r="R39" i="76"/>
  <c r="R70" i="76"/>
  <c r="R55" i="76"/>
  <c r="R53" i="76"/>
  <c r="R89" i="76"/>
  <c r="R66" i="76"/>
  <c r="R65" i="76"/>
  <c r="R61" i="76"/>
  <c r="R57" i="76"/>
  <c r="P53" i="76"/>
  <c r="R81" i="76"/>
  <c r="R80" i="76"/>
  <c r="R48" i="76"/>
  <c r="R44" i="76"/>
  <c r="R40" i="76"/>
  <c r="R77" i="76"/>
  <c r="R64" i="76"/>
  <c r="R78" i="76"/>
  <c r="R69" i="76"/>
  <c r="R38" i="76"/>
  <c r="R60" i="76"/>
  <c r="R88" i="76"/>
  <c r="V22" i="60"/>
  <c r="V26" i="60"/>
  <c r="R35" i="60"/>
  <c r="R43" i="60"/>
  <c r="J19" i="61"/>
  <c r="J29" i="61"/>
  <c r="R30" i="61"/>
  <c r="J37" i="61"/>
  <c r="L38" i="61"/>
  <c r="N38" i="61" s="1"/>
  <c r="H16" i="63"/>
  <c r="J29" i="63"/>
  <c r="V31" i="63"/>
  <c r="V35" i="63"/>
  <c r="J41" i="63"/>
  <c r="J49" i="63"/>
  <c r="V55" i="63"/>
  <c r="J61" i="63"/>
  <c r="V71" i="63"/>
  <c r="J75" i="63"/>
  <c r="V83" i="63"/>
  <c r="V91" i="63"/>
  <c r="V93" i="63"/>
  <c r="X14" i="67"/>
  <c r="R19" i="67"/>
  <c r="V24" i="67"/>
  <c r="F26" i="67"/>
  <c r="R30" i="67"/>
  <c r="Z36" i="67"/>
  <c r="R39" i="67"/>
  <c r="R50" i="67"/>
  <c r="H12" i="68"/>
  <c r="L12" i="68" s="1"/>
  <c r="Z14" i="68"/>
  <c r="Z22" i="68"/>
  <c r="X27" i="68"/>
  <c r="X39" i="68"/>
  <c r="V46" i="69"/>
  <c r="V48" i="69"/>
  <c r="R58" i="69"/>
  <c r="N24" i="70"/>
  <c r="N26" i="70"/>
  <c r="L30" i="70"/>
  <c r="Z37" i="70"/>
  <c r="Z58" i="70"/>
  <c r="X68" i="70"/>
  <c r="Z68" i="70" s="1"/>
  <c r="V35" i="60"/>
  <c r="F23" i="61"/>
  <c r="F34" i="61"/>
  <c r="J36" i="61"/>
  <c r="R39" i="61"/>
  <c r="J46" i="61"/>
  <c r="R52" i="61"/>
  <c r="R55" i="61"/>
  <c r="V14" i="62"/>
  <c r="V16" i="62"/>
  <c r="V18" i="62"/>
  <c r="V20" i="62"/>
  <c r="F26" i="62"/>
  <c r="J14" i="63"/>
  <c r="J16" i="63"/>
  <c r="J18" i="63"/>
  <c r="J20" i="63"/>
  <c r="J24" i="63"/>
  <c r="J28" i="63"/>
  <c r="J40" i="63"/>
  <c r="V44" i="63"/>
  <c r="J48" i="63"/>
  <c r="V52" i="63"/>
  <c r="J60" i="63"/>
  <c r="V64" i="63"/>
  <c r="J68" i="63"/>
  <c r="J74" i="63"/>
  <c r="J80" i="63"/>
  <c r="J88" i="63"/>
  <c r="V94" i="63"/>
  <c r="R29" i="67"/>
  <c r="R28" i="67"/>
  <c r="R24" i="67"/>
  <c r="R20" i="67"/>
  <c r="P16" i="67"/>
  <c r="R44" i="67"/>
  <c r="R48" i="67"/>
  <c r="R46" i="67"/>
  <c r="R36" i="67"/>
  <c r="R35" i="67"/>
  <c r="R31" i="67"/>
  <c r="R38" i="67"/>
  <c r="R37" i="67"/>
  <c r="D16" i="67"/>
  <c r="V36" i="67"/>
  <c r="X19" i="68"/>
  <c r="Z27" i="68"/>
  <c r="Z39" i="68"/>
  <c r="Z42" i="68"/>
  <c r="L80" i="68"/>
  <c r="V25" i="69"/>
  <c r="L32" i="69"/>
  <c r="Z37" i="69"/>
  <c r="N30" i="70"/>
  <c r="L34" i="70"/>
  <c r="Z89" i="70"/>
  <c r="J43" i="72"/>
  <c r="N31" i="74"/>
  <c r="L31" i="74"/>
  <c r="J59" i="63"/>
  <c r="J73" i="63"/>
  <c r="J87" i="63"/>
  <c r="V43" i="67"/>
  <c r="V42" i="67"/>
  <c r="V34" i="67"/>
  <c r="V30" i="67"/>
  <c r="V48" i="67"/>
  <c r="V46" i="67"/>
  <c r="V44" i="67"/>
  <c r="V38" i="67"/>
  <c r="V26" i="67"/>
  <c r="V22" i="67"/>
  <c r="V55" i="67"/>
  <c r="V52" i="67"/>
  <c r="V50" i="67"/>
  <c r="V40" i="67"/>
  <c r="V32" i="67"/>
  <c r="Z12" i="67"/>
  <c r="V19" i="67"/>
  <c r="V35" i="67"/>
  <c r="Z19" i="68"/>
  <c r="Z24" i="68"/>
  <c r="N80" i="68"/>
  <c r="N32" i="69"/>
  <c r="V37" i="69"/>
  <c r="V64" i="69"/>
  <c r="N34" i="70"/>
  <c r="R29" i="61"/>
  <c r="R37" i="61"/>
  <c r="R38" i="61"/>
  <c r="J38" i="63"/>
  <c r="J58" i="63"/>
  <c r="J86" i="63"/>
  <c r="V90" i="63"/>
  <c r="X12" i="67"/>
  <c r="Z18" i="67"/>
  <c r="F34" i="67"/>
  <c r="F48" i="67"/>
  <c r="X16" i="68"/>
  <c r="Z16" i="68" s="1"/>
  <c r="N18" i="68"/>
  <c r="X24" i="68"/>
  <c r="Z36" i="68"/>
  <c r="R69" i="69"/>
  <c r="R66" i="69"/>
  <c r="R48" i="69"/>
  <c r="R37" i="69"/>
  <c r="R36" i="69"/>
  <c r="X12" i="69"/>
  <c r="Z12" i="69" s="1"/>
  <c r="R55" i="69"/>
  <c r="R32" i="69"/>
  <c r="R31" i="69"/>
  <c r="R27" i="69"/>
  <c r="R39" i="69"/>
  <c r="R38" i="69"/>
  <c r="R23" i="69"/>
  <c r="R18" i="69"/>
  <c r="R50" i="69"/>
  <c r="R49" i="69"/>
  <c r="R33" i="69"/>
  <c r="R22" i="69"/>
  <c r="R20" i="69"/>
  <c r="R57" i="69"/>
  <c r="R56" i="69"/>
  <c r="R41" i="69"/>
  <c r="R40" i="69"/>
  <c r="R28" i="69"/>
  <c r="R24" i="69"/>
  <c r="P20" i="69"/>
  <c r="R51" i="69"/>
  <c r="R62" i="69"/>
  <c r="R60" i="69"/>
  <c r="R29" i="69"/>
  <c r="R25" i="69"/>
  <c r="R53" i="69"/>
  <c r="R52" i="69"/>
  <c r="R45" i="69"/>
  <c r="R44" i="69"/>
  <c r="R17" i="69"/>
  <c r="V36" i="69"/>
  <c r="R43" i="69"/>
  <c r="V54" i="69"/>
  <c r="N36" i="70"/>
  <c r="N38" i="70"/>
  <c r="X57" i="70"/>
  <c r="Z57" i="70" s="1"/>
  <c r="N82" i="70"/>
  <c r="Z94" i="70"/>
  <c r="J23" i="63"/>
  <c r="J27" i="63"/>
  <c r="J37" i="63"/>
  <c r="V43" i="63"/>
  <c r="J47" i="63"/>
  <c r="V51" i="63"/>
  <c r="J57" i="63"/>
  <c r="V63" i="63"/>
  <c r="J67" i="63"/>
  <c r="J79" i="63"/>
  <c r="J85" i="63"/>
  <c r="J101" i="63"/>
  <c r="V18" i="67"/>
  <c r="V21" i="67"/>
  <c r="F31" i="67"/>
  <c r="F37" i="67"/>
  <c r="F44" i="67"/>
  <c r="X31" i="68"/>
  <c r="Z31" i="68" s="1"/>
  <c r="Z78" i="68"/>
  <c r="N82" i="68"/>
  <c r="N95" i="68"/>
  <c r="X102" i="68"/>
  <c r="V17" i="69"/>
  <c r="R30" i="69"/>
  <c r="N47" i="69"/>
  <c r="H12" i="70"/>
  <c r="N13" i="70"/>
  <c r="L13" i="70"/>
  <c r="N84" i="70"/>
  <c r="N67" i="72"/>
  <c r="N47" i="74"/>
  <c r="L47" i="74"/>
  <c r="Z103" i="70"/>
  <c r="F74" i="72"/>
  <c r="F56" i="72"/>
  <c r="F48" i="72"/>
  <c r="F47" i="72"/>
  <c r="F20" i="72"/>
  <c r="F19" i="72"/>
  <c r="F63" i="72"/>
  <c r="F39" i="72"/>
  <c r="F58" i="72"/>
  <c r="F57" i="72"/>
  <c r="F50" i="72"/>
  <c r="F49" i="72"/>
  <c r="F34" i="72"/>
  <c r="F30" i="72"/>
  <c r="F79" i="72"/>
  <c r="F76" i="72"/>
  <c r="F21" i="72"/>
  <c r="F64" i="72"/>
  <c r="F60" i="72"/>
  <c r="F59" i="72"/>
  <c r="F52" i="72"/>
  <c r="F51" i="72"/>
  <c r="F40" i="72"/>
  <c r="F36" i="72"/>
  <c r="F35" i="72"/>
  <c r="L12" i="72"/>
  <c r="N12" i="72" s="1"/>
  <c r="F31" i="72"/>
  <c r="F27" i="72"/>
  <c r="F26" i="72"/>
  <c r="F66" i="72"/>
  <c r="F65" i="72"/>
  <c r="F54" i="72"/>
  <c r="F53" i="72"/>
  <c r="F42" i="72"/>
  <c r="F41" i="72"/>
  <c r="F25" i="72"/>
  <c r="F23" i="72"/>
  <c r="F68" i="72"/>
  <c r="F67" i="72"/>
  <c r="F44" i="72"/>
  <c r="F43" i="72"/>
  <c r="F32" i="72"/>
  <c r="F28" i="72"/>
  <c r="F55" i="72"/>
  <c r="F62" i="72"/>
  <c r="F46" i="72"/>
  <c r="F45" i="72"/>
  <c r="F38" i="72"/>
  <c r="F72" i="72"/>
  <c r="F70" i="72"/>
  <c r="F33" i="72"/>
  <c r="F29" i="72"/>
  <c r="Z57" i="72"/>
  <c r="N15" i="74"/>
  <c r="L15" i="74"/>
  <c r="H12" i="74"/>
  <c r="L23" i="74"/>
  <c r="N23" i="74" s="1"/>
  <c r="Z50" i="74"/>
  <c r="X50" i="74"/>
  <c r="J44" i="67"/>
  <c r="D23" i="72"/>
  <c r="X15" i="73"/>
  <c r="Z15" i="73" s="1"/>
  <c r="P12" i="73"/>
  <c r="N19" i="74"/>
  <c r="L19" i="74"/>
  <c r="N27" i="74"/>
  <c r="L27" i="74"/>
  <c r="N35" i="74"/>
  <c r="L35" i="74"/>
  <c r="L43" i="74"/>
  <c r="N43" i="74" s="1"/>
  <c r="Z47" i="74"/>
  <c r="N71" i="74"/>
  <c r="N113" i="74"/>
  <c r="L113" i="74"/>
  <c r="J30" i="67"/>
  <c r="J34" i="67"/>
  <c r="J42" i="67"/>
  <c r="X91" i="70"/>
  <c r="Z91" i="70" s="1"/>
  <c r="Z19" i="72"/>
  <c r="N25" i="72"/>
  <c r="V73" i="73"/>
  <c r="V71" i="73"/>
  <c r="V63" i="73"/>
  <c r="V51" i="73"/>
  <c r="V47" i="73"/>
  <c r="V43" i="73"/>
  <c r="V39" i="73"/>
  <c r="V35" i="73"/>
  <c r="V62" i="73"/>
  <c r="T49" i="73"/>
  <c r="V65" i="73"/>
  <c r="V57" i="73"/>
  <c r="V53" i="73"/>
  <c r="V64" i="73"/>
  <c r="V44" i="73"/>
  <c r="V40" i="73"/>
  <c r="V36" i="73"/>
  <c r="V77" i="73"/>
  <c r="V66" i="73"/>
  <c r="V58" i="73"/>
  <c r="V54" i="73"/>
  <c r="V45" i="73"/>
  <c r="V41" i="73"/>
  <c r="V37" i="73"/>
  <c r="V33" i="73"/>
  <c r="V67" i="73"/>
  <c r="V59" i="73"/>
  <c r="V55" i="73"/>
  <c r="V70" i="73"/>
  <c r="V46" i="73"/>
  <c r="V42" i="73"/>
  <c r="V38" i="73"/>
  <c r="V34" i="73"/>
  <c r="V69" i="73"/>
  <c r="V61" i="73"/>
  <c r="V56" i="73"/>
  <c r="V52" i="73"/>
  <c r="L51" i="73"/>
  <c r="Z43" i="74"/>
  <c r="Z98" i="74"/>
  <c r="D12" i="75"/>
  <c r="L13" i="75"/>
  <c r="N51" i="73"/>
  <c r="X103" i="74"/>
  <c r="Z103" i="74" s="1"/>
  <c r="X13" i="69"/>
  <c r="Z13" i="69" s="1"/>
  <c r="F61" i="72"/>
  <c r="X33" i="73"/>
  <c r="N63" i="73"/>
  <c r="P12" i="74"/>
  <c r="N24" i="74"/>
  <c r="X108" i="74"/>
  <c r="Z108" i="74" s="1"/>
  <c r="H12" i="73"/>
  <c r="N14" i="73"/>
  <c r="L14" i="73"/>
  <c r="L18" i="73"/>
  <c r="N18" i="73" s="1"/>
  <c r="N22" i="73"/>
  <c r="L22" i="73"/>
  <c r="N26" i="73"/>
  <c r="L26" i="73"/>
  <c r="N30" i="73"/>
  <c r="L30" i="73"/>
  <c r="Z33" i="73"/>
  <c r="N20" i="74"/>
  <c r="Z94" i="74"/>
  <c r="X94" i="74"/>
  <c r="N74" i="76"/>
  <c r="J40" i="67"/>
  <c r="J52" i="67"/>
  <c r="J55" i="67"/>
  <c r="X13" i="70"/>
  <c r="L57" i="70"/>
  <c r="N57" i="70" s="1"/>
  <c r="L89" i="70"/>
  <c r="N89" i="70" s="1"/>
  <c r="X94" i="70"/>
  <c r="N100" i="70"/>
  <c r="R65" i="72"/>
  <c r="R64" i="72"/>
  <c r="R60" i="72"/>
  <c r="R53" i="72"/>
  <c r="R52" i="72"/>
  <c r="R41" i="72"/>
  <c r="R40" i="72"/>
  <c r="R36" i="72"/>
  <c r="R25" i="72"/>
  <c r="R23" i="72"/>
  <c r="X12" i="72"/>
  <c r="R31" i="72"/>
  <c r="R27" i="72"/>
  <c r="P23" i="72"/>
  <c r="R67" i="72"/>
  <c r="R66" i="72"/>
  <c r="R54" i="72"/>
  <c r="R43" i="72"/>
  <c r="R42" i="72"/>
  <c r="R61" i="72"/>
  <c r="R37" i="72"/>
  <c r="R68" i="72"/>
  <c r="R45" i="72"/>
  <c r="R44" i="72"/>
  <c r="R32" i="72"/>
  <c r="R28" i="72"/>
  <c r="R72" i="72"/>
  <c r="R70" i="72"/>
  <c r="R55" i="72"/>
  <c r="R62" i="72"/>
  <c r="R47" i="72"/>
  <c r="R46" i="72"/>
  <c r="R38" i="72"/>
  <c r="R19" i="72"/>
  <c r="R74" i="72"/>
  <c r="R57" i="72"/>
  <c r="R56" i="72"/>
  <c r="R49" i="72"/>
  <c r="R48" i="72"/>
  <c r="R20" i="72"/>
  <c r="R79" i="72"/>
  <c r="R76" i="72"/>
  <c r="R63" i="72"/>
  <c r="R39" i="72"/>
  <c r="R59" i="72"/>
  <c r="R58" i="72"/>
  <c r="R51" i="72"/>
  <c r="R50" i="72"/>
  <c r="R35" i="72"/>
  <c r="R34" i="72"/>
  <c r="R30" i="72"/>
  <c r="R26" i="72"/>
  <c r="R21" i="72"/>
  <c r="R33" i="72"/>
  <c r="Z24" i="74"/>
  <c r="N32" i="74"/>
  <c r="N40" i="74"/>
  <c r="J23" i="67"/>
  <c r="J27" i="67"/>
  <c r="X100" i="70"/>
  <c r="L103" i="70"/>
  <c r="L108" i="70"/>
  <c r="N108" i="70" s="1"/>
  <c r="Z49" i="72"/>
  <c r="Z18" i="73"/>
  <c r="Z26" i="73"/>
  <c r="Z20" i="74"/>
  <c r="Z36" i="74"/>
  <c r="Z44" i="74"/>
  <c r="L72" i="76"/>
  <c r="N72" i="76" s="1"/>
  <c r="F72" i="76"/>
  <c r="Z100" i="70"/>
  <c r="L43" i="72"/>
  <c r="N43" i="72" s="1"/>
  <c r="X20" i="75"/>
  <c r="Z20" i="75" s="1"/>
  <c r="J20" i="72"/>
  <c r="J48" i="72"/>
  <c r="J56" i="72"/>
  <c r="J74" i="72"/>
  <c r="X13" i="73"/>
  <c r="X17" i="73"/>
  <c r="Z17" i="73" s="1"/>
  <c r="X21" i="73"/>
  <c r="Z21" i="73" s="1"/>
  <c r="X25" i="73"/>
  <c r="Z25" i="73" s="1"/>
  <c r="X29" i="73"/>
  <c r="Z29" i="73" s="1"/>
  <c r="F37" i="73"/>
  <c r="F41" i="73"/>
  <c r="F45" i="73"/>
  <c r="F119" i="74"/>
  <c r="F114" i="74"/>
  <c r="X14" i="74"/>
  <c r="X18" i="74"/>
  <c r="X22" i="74"/>
  <c r="Z22" i="74" s="1"/>
  <c r="X26" i="74"/>
  <c r="X30" i="74"/>
  <c r="F54" i="74"/>
  <c r="F58" i="74"/>
  <c r="F62" i="74"/>
  <c r="F66" i="74"/>
  <c r="V73" i="74"/>
  <c r="V77" i="74"/>
  <c r="V89" i="74"/>
  <c r="V97" i="74"/>
  <c r="F101" i="74"/>
  <c r="F102" i="74"/>
  <c r="J48" i="75"/>
  <c r="N56" i="78"/>
  <c r="J28" i="79"/>
  <c r="X103" i="70"/>
  <c r="J19" i="72"/>
  <c r="J29" i="72"/>
  <c r="J33" i="72"/>
  <c r="J47" i="72"/>
  <c r="Z13" i="73"/>
  <c r="X52" i="73"/>
  <c r="Z52" i="73" s="1"/>
  <c r="F54" i="73"/>
  <c r="F58" i="73"/>
  <c r="F65" i="73"/>
  <c r="F66" i="73"/>
  <c r="T69" i="74"/>
  <c r="F75" i="74"/>
  <c r="F79" i="74"/>
  <c r="V82" i="74"/>
  <c r="V86" i="74"/>
  <c r="F91" i="74"/>
  <c r="V98" i="74"/>
  <c r="V109" i="74"/>
  <c r="V110" i="74"/>
  <c r="T12" i="75"/>
  <c r="X18" i="75"/>
  <c r="Z18" i="75" s="1"/>
  <c r="L72" i="75"/>
  <c r="N72" i="75" s="1"/>
  <c r="D71" i="75"/>
  <c r="L71" i="75" s="1"/>
  <c r="N71" i="75" s="1"/>
  <c r="F79" i="76"/>
  <c r="F78" i="76"/>
  <c r="F51" i="76"/>
  <c r="F47" i="76"/>
  <c r="F43" i="76"/>
  <c r="F39" i="76"/>
  <c r="F38" i="76"/>
  <c r="F70" i="76"/>
  <c r="F89" i="76"/>
  <c r="F65" i="76"/>
  <c r="F61" i="76"/>
  <c r="F57" i="76"/>
  <c r="F56" i="76"/>
  <c r="F80" i="76"/>
  <c r="F55" i="76"/>
  <c r="F53" i="76"/>
  <c r="F48" i="76"/>
  <c r="F44" i="76"/>
  <c r="F40" i="76"/>
  <c r="F71" i="76"/>
  <c r="F67" i="76"/>
  <c r="F66" i="76"/>
  <c r="D53" i="76"/>
  <c r="F90" i="76"/>
  <c r="F82" i="76"/>
  <c r="F81" i="76"/>
  <c r="F62" i="76"/>
  <c r="F58" i="76"/>
  <c r="F101" i="76"/>
  <c r="F96" i="76"/>
  <c r="F75" i="76"/>
  <c r="F74" i="76"/>
  <c r="F63" i="76"/>
  <c r="F59" i="76"/>
  <c r="F95" i="76"/>
  <c r="F86" i="76"/>
  <c r="F85" i="76"/>
  <c r="F50" i="76"/>
  <c r="F46" i="76"/>
  <c r="F42" i="76"/>
  <c r="F94" i="76"/>
  <c r="F77" i="76"/>
  <c r="F76" i="76"/>
  <c r="F69" i="76"/>
  <c r="F88" i="76"/>
  <c r="F87" i="76"/>
  <c r="F64" i="76"/>
  <c r="F60" i="76"/>
  <c r="Z97" i="76"/>
  <c r="N22" i="79"/>
  <c r="L22" i="80"/>
  <c r="N22" i="80" s="1"/>
  <c r="P12" i="82"/>
  <c r="X13" i="82"/>
  <c r="J38" i="72"/>
  <c r="J46" i="72"/>
  <c r="J62" i="72"/>
  <c r="J70" i="72"/>
  <c r="D49" i="73"/>
  <c r="F77" i="73"/>
  <c r="L16" i="74"/>
  <c r="L20" i="74"/>
  <c r="V51" i="74"/>
  <c r="V55" i="74"/>
  <c r="V59" i="74"/>
  <c r="V63" i="74"/>
  <c r="V67" i="74"/>
  <c r="V69" i="74"/>
  <c r="V71" i="74"/>
  <c r="F84" i="74"/>
  <c r="V87" i="74"/>
  <c r="V95" i="74"/>
  <c r="F100" i="74"/>
  <c r="V104" i="74"/>
  <c r="F106" i="74"/>
  <c r="F113" i="74"/>
  <c r="F115" i="74"/>
  <c r="J44" i="75"/>
  <c r="N53" i="75"/>
  <c r="L57" i="75"/>
  <c r="N57" i="75" s="1"/>
  <c r="N96" i="76"/>
  <c r="L96" i="76"/>
  <c r="Z60" i="78"/>
  <c r="J22" i="79"/>
  <c r="Z13" i="82"/>
  <c r="D12" i="83"/>
  <c r="L13" i="83"/>
  <c r="J45" i="72"/>
  <c r="J55" i="72"/>
  <c r="F36" i="73"/>
  <c r="F40" i="73"/>
  <c r="F44" i="73"/>
  <c r="F49" i="73"/>
  <c r="F51" i="73"/>
  <c r="F63" i="73"/>
  <c r="F64" i="73"/>
  <c r="F73" i="73"/>
  <c r="F75" i="73"/>
  <c r="F53" i="74"/>
  <c r="F57" i="74"/>
  <c r="F61" i="74"/>
  <c r="F65" i="74"/>
  <c r="V72" i="74"/>
  <c r="V76" i="74"/>
  <c r="V80" i="74"/>
  <c r="X15" i="75"/>
  <c r="Z15" i="75" s="1"/>
  <c r="Z30" i="75"/>
  <c r="J32" i="75"/>
  <c r="J34" i="75"/>
  <c r="J41" i="75"/>
  <c r="N55" i="75"/>
  <c r="L74" i="76"/>
  <c r="L57" i="78"/>
  <c r="D56" i="78"/>
  <c r="L56" i="78" s="1"/>
  <c r="F70" i="79"/>
  <c r="F66" i="79"/>
  <c r="F57" i="79"/>
  <c r="F61" i="79"/>
  <c r="F51" i="79"/>
  <c r="F50" i="79"/>
  <c r="F43" i="79"/>
  <c r="F42" i="79"/>
  <c r="F35" i="79"/>
  <c r="F62" i="79"/>
  <c r="F30" i="79"/>
  <c r="F26" i="79"/>
  <c r="F53" i="79"/>
  <c r="F52" i="79"/>
  <c r="F45" i="79"/>
  <c r="F44" i="79"/>
  <c r="F17" i="79"/>
  <c r="F16" i="79"/>
  <c r="F58" i="79"/>
  <c r="F36" i="79"/>
  <c r="L12" i="79"/>
  <c r="F63" i="79"/>
  <c r="F47" i="79"/>
  <c r="F46" i="79"/>
  <c r="F31" i="79"/>
  <c r="F27" i="79"/>
  <c r="F48" i="79"/>
  <c r="F28" i="79"/>
  <c r="F24" i="79"/>
  <c r="F23" i="79"/>
  <c r="F55" i="79"/>
  <c r="F39" i="79"/>
  <c r="F38" i="79"/>
  <c r="F22" i="79"/>
  <c r="F60" i="79"/>
  <c r="F34" i="79"/>
  <c r="D20" i="79"/>
  <c r="F56" i="79"/>
  <c r="F49" i="79"/>
  <c r="F41" i="79"/>
  <c r="F40" i="79"/>
  <c r="F29" i="79"/>
  <c r="F25" i="79"/>
  <c r="J24" i="79"/>
  <c r="F33" i="79"/>
  <c r="J48" i="79"/>
  <c r="F54" i="79"/>
  <c r="F60" i="80"/>
  <c r="F48" i="80"/>
  <c r="F47" i="80"/>
  <c r="F36" i="80"/>
  <c r="L12" i="80"/>
  <c r="F76" i="80"/>
  <c r="F73" i="80"/>
  <c r="F61" i="80"/>
  <c r="F57" i="80"/>
  <c r="F56" i="80"/>
  <c r="F33" i="80"/>
  <c r="F32" i="80"/>
  <c r="F63" i="80"/>
  <c r="F62" i="80"/>
  <c r="F51" i="80"/>
  <c r="F22" i="80"/>
  <c r="F20" i="80"/>
  <c r="F59" i="80"/>
  <c r="F35" i="80"/>
  <c r="F69" i="80"/>
  <c r="F67" i="80"/>
  <c r="F54" i="80"/>
  <c r="F46" i="80"/>
  <c r="F45" i="80"/>
  <c r="F71" i="80"/>
  <c r="F17" i="80"/>
  <c r="F16" i="80"/>
  <c r="F64" i="80"/>
  <c r="F41" i="80"/>
  <c r="F58" i="80"/>
  <c r="F38" i="80"/>
  <c r="F52" i="80"/>
  <c r="F42" i="80"/>
  <c r="D20" i="80"/>
  <c r="F31" i="80"/>
  <c r="F50" i="80"/>
  <c r="F39" i="80"/>
  <c r="F29" i="80"/>
  <c r="F27" i="80"/>
  <c r="F55" i="80"/>
  <c r="F53" i="80"/>
  <c r="F30" i="80"/>
  <c r="F28" i="80"/>
  <c r="F23" i="80"/>
  <c r="F18" i="80"/>
  <c r="F49" i="80"/>
  <c r="F44" i="80"/>
  <c r="F37" i="80"/>
  <c r="F26" i="80"/>
  <c r="F24" i="80"/>
  <c r="F34" i="80"/>
  <c r="F40" i="80"/>
  <c r="H12" i="83"/>
  <c r="N13" i="83"/>
  <c r="J61" i="72"/>
  <c r="J67" i="72"/>
  <c r="V119" i="74"/>
  <c r="V105" i="74"/>
  <c r="V50" i="74"/>
  <c r="V54" i="74"/>
  <c r="V58" i="74"/>
  <c r="V62" i="74"/>
  <c r="V66" i="74"/>
  <c r="D69" i="74"/>
  <c r="F69" i="74" s="1"/>
  <c r="F83" i="74"/>
  <c r="V94" i="74"/>
  <c r="F98" i="74"/>
  <c r="F99" i="74"/>
  <c r="V102" i="74"/>
  <c r="V103" i="74"/>
  <c r="V108" i="74"/>
  <c r="F111" i="74"/>
  <c r="Z71" i="75"/>
  <c r="T12" i="76"/>
  <c r="X12" i="76" s="1"/>
  <c r="Z13" i="76"/>
  <c r="Z17" i="76"/>
  <c r="Z31" i="76"/>
  <c r="P12" i="78"/>
  <c r="X14" i="78"/>
  <c r="Z35" i="78"/>
  <c r="X35" i="78"/>
  <c r="X43" i="78"/>
  <c r="Z43" i="78" s="1"/>
  <c r="N59" i="78"/>
  <c r="Z22" i="79"/>
  <c r="N46" i="79"/>
  <c r="N52" i="79"/>
  <c r="X14" i="80"/>
  <c r="Z14" i="80" s="1"/>
  <c r="P12" i="80"/>
  <c r="T108" i="70"/>
  <c r="H23" i="72"/>
  <c r="J42" i="72"/>
  <c r="J54" i="72"/>
  <c r="J66" i="72"/>
  <c r="F35" i="73"/>
  <c r="F39" i="73"/>
  <c r="F43" i="73"/>
  <c r="F47" i="73"/>
  <c r="F70" i="73"/>
  <c r="F71" i="73"/>
  <c r="F52" i="74"/>
  <c r="F56" i="74"/>
  <c r="F60" i="74"/>
  <c r="F64" i="74"/>
  <c r="F71" i="74"/>
  <c r="V75" i="74"/>
  <c r="V79" i="74"/>
  <c r="F87" i="74"/>
  <c r="F88" i="74"/>
  <c r="V91" i="74"/>
  <c r="F105" i="74"/>
  <c r="F110" i="74"/>
  <c r="X14" i="75"/>
  <c r="Z14" i="75" s="1"/>
  <c r="X13" i="76"/>
  <c r="X17" i="76"/>
  <c r="X21" i="76"/>
  <c r="Z21" i="76" s="1"/>
  <c r="X25" i="76"/>
  <c r="Z25" i="76" s="1"/>
  <c r="X29" i="76"/>
  <c r="Z29" i="76" s="1"/>
  <c r="Z35" i="76"/>
  <c r="N91" i="76"/>
  <c r="Z14" i="78"/>
  <c r="X14" i="79"/>
  <c r="Z14" i="79" s="1"/>
  <c r="J38" i="79"/>
  <c r="T31" i="82"/>
  <c r="J23" i="72"/>
  <c r="J25" i="72"/>
  <c r="J27" i="72"/>
  <c r="J31" i="72"/>
  <c r="J41" i="72"/>
  <c r="J53" i="72"/>
  <c r="J65" i="72"/>
  <c r="L52" i="73"/>
  <c r="N52" i="73" s="1"/>
  <c r="F56" i="73"/>
  <c r="F72" i="74"/>
  <c r="F73" i="74"/>
  <c r="F77" i="74"/>
  <c r="V84" i="74"/>
  <c r="V92" i="74"/>
  <c r="F96" i="74"/>
  <c r="F97" i="74"/>
  <c r="V100" i="74"/>
  <c r="V106" i="74"/>
  <c r="J40" i="75"/>
  <c r="Z55" i="75"/>
  <c r="J62" i="75"/>
  <c r="X33" i="76"/>
  <c r="Z33" i="76" s="1"/>
  <c r="Z56" i="76"/>
  <c r="N95" i="76"/>
  <c r="J60" i="79"/>
  <c r="J70" i="79"/>
  <c r="J51" i="79"/>
  <c r="J43" i="79"/>
  <c r="J35" i="79"/>
  <c r="J62" i="79"/>
  <c r="J52" i="79"/>
  <c r="J44" i="79"/>
  <c r="J30" i="79"/>
  <c r="J26" i="79"/>
  <c r="J16" i="79"/>
  <c r="J53" i="79"/>
  <c r="J45" i="79"/>
  <c r="J17" i="79"/>
  <c r="J63" i="79"/>
  <c r="J58" i="79"/>
  <c r="J46" i="79"/>
  <c r="J36" i="79"/>
  <c r="N12" i="79"/>
  <c r="J47" i="79"/>
  <c r="J31" i="79"/>
  <c r="J27" i="79"/>
  <c r="J54" i="79"/>
  <c r="J32" i="79"/>
  <c r="J18" i="79"/>
  <c r="J55" i="79"/>
  <c r="J39" i="79"/>
  <c r="H20" i="79"/>
  <c r="J56" i="79"/>
  <c r="J40" i="79"/>
  <c r="J34" i="79"/>
  <c r="J49" i="79"/>
  <c r="J41" i="79"/>
  <c r="J29" i="79"/>
  <c r="J25" i="79"/>
  <c r="J66" i="79"/>
  <c r="J61" i="79"/>
  <c r="J57" i="79"/>
  <c r="J50" i="79"/>
  <c r="J42" i="79"/>
  <c r="J36" i="72"/>
  <c r="J40" i="72"/>
  <c r="J52" i="72"/>
  <c r="J60" i="72"/>
  <c r="J64" i="72"/>
  <c r="F60" i="73"/>
  <c r="F61" i="73"/>
  <c r="F68" i="73"/>
  <c r="F69" i="73"/>
  <c r="L46" i="74"/>
  <c r="N46" i="74" s="1"/>
  <c r="V53" i="74"/>
  <c r="V57" i="74"/>
  <c r="V61" i="74"/>
  <c r="V65" i="74"/>
  <c r="F81" i="74"/>
  <c r="F82" i="74"/>
  <c r="F86" i="74"/>
  <c r="V101" i="74"/>
  <c r="P12" i="75"/>
  <c r="N31" i="75"/>
  <c r="J42" i="75"/>
  <c r="J46" i="75"/>
  <c r="J49" i="75"/>
  <c r="J54" i="75"/>
  <c r="J64" i="75"/>
  <c r="N55" i="76"/>
  <c r="F68" i="76"/>
  <c r="Z91" i="76"/>
  <c r="L46" i="78"/>
  <c r="N46" i="78" s="1"/>
  <c r="N48" i="78"/>
  <c r="X56" i="78"/>
  <c r="Z56" i="78" s="1"/>
  <c r="N16" i="79"/>
  <c r="N23" i="79"/>
  <c r="L23" i="79"/>
  <c r="Z40" i="79"/>
  <c r="J21" i="72"/>
  <c r="J35" i="72"/>
  <c r="J51" i="72"/>
  <c r="J59" i="72"/>
  <c r="X14" i="73"/>
  <c r="Z14" i="73" s="1"/>
  <c r="X18" i="73"/>
  <c r="X22" i="73"/>
  <c r="Z22" i="73" s="1"/>
  <c r="X26" i="73"/>
  <c r="X30" i="73"/>
  <c r="Z30" i="73" s="1"/>
  <c r="F33" i="73"/>
  <c r="F34" i="73"/>
  <c r="F38" i="73"/>
  <c r="F42" i="73"/>
  <c r="F46" i="73"/>
  <c r="X15" i="74"/>
  <c r="X19" i="74"/>
  <c r="Z19" i="74" s="1"/>
  <c r="X23" i="74"/>
  <c r="Z23" i="74" s="1"/>
  <c r="X27" i="74"/>
  <c r="X31" i="74"/>
  <c r="F50" i="74"/>
  <c r="F51" i="74"/>
  <c r="F55" i="74"/>
  <c r="F59" i="74"/>
  <c r="F63" i="74"/>
  <c r="F67" i="74"/>
  <c r="V74" i="74"/>
  <c r="V78" i="74"/>
  <c r="V90" i="74"/>
  <c r="F94" i="74"/>
  <c r="F95" i="74"/>
  <c r="F104" i="74"/>
  <c r="F108" i="74"/>
  <c r="F109" i="74"/>
  <c r="V113" i="74"/>
  <c r="V114" i="74"/>
  <c r="V115" i="74"/>
  <c r="J31" i="75"/>
  <c r="X66" i="75"/>
  <c r="Z66" i="75" s="1"/>
  <c r="D12" i="78"/>
  <c r="L13" i="78"/>
  <c r="N13" i="78" s="1"/>
  <c r="X42" i="79"/>
  <c r="Z42" i="79" s="1"/>
  <c r="Z50" i="79"/>
  <c r="X50" i="79"/>
  <c r="X110" i="70"/>
  <c r="Z110" i="70" s="1"/>
  <c r="J30" i="72"/>
  <c r="J34" i="72"/>
  <c r="L35" i="72"/>
  <c r="N35" i="72" s="1"/>
  <c r="X45" i="72"/>
  <c r="Z45" i="72" s="1"/>
  <c r="J50" i="72"/>
  <c r="J58" i="72"/>
  <c r="F55" i="73"/>
  <c r="F59" i="73"/>
  <c r="F67" i="73"/>
  <c r="F76" i="74"/>
  <c r="F80" i="74"/>
  <c r="V83" i="74"/>
  <c r="V99" i="74"/>
  <c r="F103" i="74"/>
  <c r="V111" i="74"/>
  <c r="X16" i="75"/>
  <c r="Z16" i="75" s="1"/>
  <c r="J30" i="75"/>
  <c r="Z55" i="76"/>
  <c r="F73" i="76"/>
  <c r="F84" i="76"/>
  <c r="Z85" i="76"/>
  <c r="F92" i="76"/>
  <c r="F97" i="76"/>
  <c r="H12" i="78"/>
  <c r="L26" i="78"/>
  <c r="N26" i="78" s="1"/>
  <c r="Z16" i="79"/>
  <c r="J20" i="79"/>
  <c r="F32" i="79"/>
  <c r="F37" i="79"/>
  <c r="Z61" i="79"/>
  <c r="X61" i="79"/>
  <c r="F64" i="79"/>
  <c r="F43" i="80"/>
  <c r="J39" i="72"/>
  <c r="J49" i="72"/>
  <c r="J57" i="72"/>
  <c r="F79" i="73"/>
  <c r="V52" i="74"/>
  <c r="V56" i="74"/>
  <c r="V60" i="74"/>
  <c r="V64" i="74"/>
  <c r="F85" i="74"/>
  <c r="V88" i="74"/>
  <c r="F92" i="74"/>
  <c r="F93" i="74"/>
  <c r="F107" i="74"/>
  <c r="J66" i="75"/>
  <c r="J60" i="75"/>
  <c r="J52" i="75"/>
  <c r="J67" i="75"/>
  <c r="J53" i="75"/>
  <c r="J43" i="75"/>
  <c r="J68" i="75"/>
  <c r="J69" i="75"/>
  <c r="J61" i="75"/>
  <c r="J55" i="75"/>
  <c r="J45" i="75"/>
  <c r="J72" i="75"/>
  <c r="J56" i="75"/>
  <c r="J71" i="75"/>
  <c r="J57" i="75"/>
  <c r="J47" i="75"/>
  <c r="J39" i="75"/>
  <c r="J35" i="75"/>
  <c r="J63" i="75"/>
  <c r="J59" i="75"/>
  <c r="J51" i="75"/>
  <c r="H28" i="75"/>
  <c r="J28" i="75" s="1"/>
  <c r="J65" i="75"/>
  <c r="J37" i="75"/>
  <c r="J33" i="75"/>
  <c r="Z24" i="75"/>
  <c r="X31" i="75"/>
  <c r="Z31" i="75" s="1"/>
  <c r="X71" i="75"/>
  <c r="J76" i="75"/>
  <c r="Z14" i="76"/>
  <c r="Z18" i="76"/>
  <c r="Z22" i="76"/>
  <c r="Z26" i="76"/>
  <c r="Z30" i="76"/>
  <c r="N97" i="76"/>
  <c r="T12" i="79"/>
  <c r="N32" i="79"/>
  <c r="L32" i="79"/>
  <c r="J37" i="79"/>
  <c r="J64" i="79"/>
  <c r="Z37" i="80"/>
  <c r="V37" i="80"/>
  <c r="Z95" i="76"/>
  <c r="T12" i="78"/>
  <c r="R17" i="79"/>
  <c r="R45" i="79"/>
  <c r="R46" i="79"/>
  <c r="R53" i="79"/>
  <c r="R62" i="79"/>
  <c r="J55" i="80"/>
  <c r="J49" i="80"/>
  <c r="J37" i="80"/>
  <c r="J31" i="80"/>
  <c r="J27" i="80"/>
  <c r="J62" i="80"/>
  <c r="J40" i="80"/>
  <c r="J28" i="80"/>
  <c r="J24" i="80"/>
  <c r="J22" i="80"/>
  <c r="J20" i="80"/>
  <c r="J63" i="80"/>
  <c r="J51" i="80"/>
  <c r="J64" i="80"/>
  <c r="J58" i="80"/>
  <c r="J52" i="80"/>
  <c r="J42" i="80"/>
  <c r="J34" i="80"/>
  <c r="J67" i="80"/>
  <c r="J59" i="80"/>
  <c r="J54" i="80"/>
  <c r="J46" i="80"/>
  <c r="J30" i="80"/>
  <c r="J26" i="80"/>
  <c r="J16" i="80"/>
  <c r="J71" i="80"/>
  <c r="J47" i="80"/>
  <c r="J60" i="80"/>
  <c r="J48" i="80"/>
  <c r="J36" i="80"/>
  <c r="N12" i="80"/>
  <c r="T20" i="80"/>
  <c r="X52" i="87"/>
  <c r="R26" i="79"/>
  <c r="R30" i="79"/>
  <c r="N56" i="79"/>
  <c r="L49" i="80"/>
  <c r="N49" i="80" s="1"/>
  <c r="P12" i="83"/>
  <c r="X14" i="83"/>
  <c r="N77" i="84"/>
  <c r="L77" i="84"/>
  <c r="D22" i="86"/>
  <c r="Z52" i="87"/>
  <c r="H94" i="76"/>
  <c r="R16" i="79"/>
  <c r="R35" i="79"/>
  <c r="R43" i="79"/>
  <c r="R44" i="79"/>
  <c r="R51" i="79"/>
  <c r="R52" i="79"/>
  <c r="Z63" i="79"/>
  <c r="J18" i="80"/>
  <c r="N23" i="80"/>
  <c r="L32" i="80"/>
  <c r="N37" i="80"/>
  <c r="Z45" i="80"/>
  <c r="X49" i="80"/>
  <c r="J61" i="80"/>
  <c r="Z25" i="82"/>
  <c r="X25" i="82"/>
  <c r="Z14" i="83"/>
  <c r="H12" i="76"/>
  <c r="L56" i="79"/>
  <c r="R61" i="79"/>
  <c r="L14" i="80"/>
  <c r="N14" i="80" s="1"/>
  <c r="J23" i="80"/>
  <c r="N32" i="80"/>
  <c r="X37" i="80"/>
  <c r="L43" i="80"/>
  <c r="N43" i="80" s="1"/>
  <c r="Z49" i="80"/>
  <c r="J53" i="80"/>
  <c r="P94" i="76"/>
  <c r="X94" i="76" s="1"/>
  <c r="Z94" i="76" s="1"/>
  <c r="R39" i="79"/>
  <c r="R40" i="79"/>
  <c r="R55" i="79"/>
  <c r="L13" i="80"/>
  <c r="N13" i="80" s="1"/>
  <c r="J25" i="80"/>
  <c r="Z32" i="80"/>
  <c r="J43" i="80"/>
  <c r="J65" i="80"/>
  <c r="X41" i="87"/>
  <c r="Z41" i="87" s="1"/>
  <c r="P20" i="79"/>
  <c r="R24" i="79"/>
  <c r="R28" i="79"/>
  <c r="R48" i="79"/>
  <c r="R64" i="79"/>
  <c r="J29" i="80"/>
  <c r="N39" i="80"/>
  <c r="J50" i="80"/>
  <c r="X16" i="83"/>
  <c r="Z16" i="83" s="1"/>
  <c r="N38" i="83"/>
  <c r="L38" i="83"/>
  <c r="J100" i="84"/>
  <c r="J84" i="84"/>
  <c r="J72" i="84"/>
  <c r="H53" i="84"/>
  <c r="J48" i="84"/>
  <c r="J44" i="84"/>
  <c r="J40" i="84"/>
  <c r="J101" i="84"/>
  <c r="J85" i="84"/>
  <c r="J73" i="84"/>
  <c r="J67" i="84"/>
  <c r="J102" i="84"/>
  <c r="J94" i="84"/>
  <c r="J86" i="84"/>
  <c r="J74" i="84"/>
  <c r="J62" i="84"/>
  <c r="J58" i="84"/>
  <c r="J103" i="84"/>
  <c r="J95" i="84"/>
  <c r="J87" i="84"/>
  <c r="J75" i="84"/>
  <c r="J49" i="84"/>
  <c r="J45" i="84"/>
  <c r="J41" i="84"/>
  <c r="J104" i="84"/>
  <c r="J96" i="84"/>
  <c r="J88" i="84"/>
  <c r="J76" i="84"/>
  <c r="J105" i="84"/>
  <c r="J97" i="84"/>
  <c r="J89" i="84"/>
  <c r="J77" i="84"/>
  <c r="J63" i="84"/>
  <c r="J59" i="84"/>
  <c r="J108" i="84"/>
  <c r="J92" i="84"/>
  <c r="J80" i="84"/>
  <c r="J64" i="84"/>
  <c r="J60" i="84"/>
  <c r="J38" i="84"/>
  <c r="J99" i="84"/>
  <c r="J81" i="84"/>
  <c r="J65" i="84"/>
  <c r="J51" i="84"/>
  <c r="J47" i="84"/>
  <c r="J43" i="84"/>
  <c r="J39" i="84"/>
  <c r="J112" i="84"/>
  <c r="J82" i="84"/>
  <c r="J70" i="84"/>
  <c r="J66" i="84"/>
  <c r="J56" i="84"/>
  <c r="J93" i="84"/>
  <c r="J83" i="84"/>
  <c r="J71" i="84"/>
  <c r="J61" i="84"/>
  <c r="J57" i="84"/>
  <c r="J55" i="84"/>
  <c r="J53" i="84"/>
  <c r="J106" i="84"/>
  <c r="J50" i="84"/>
  <c r="J90" i="84"/>
  <c r="J78" i="84"/>
  <c r="J68" i="84"/>
  <c r="J91" i="84"/>
  <c r="J46" i="84"/>
  <c r="X55" i="84"/>
  <c r="Z55" i="84" s="1"/>
  <c r="J78" i="87"/>
  <c r="J58" i="87"/>
  <c r="J82" i="87"/>
  <c r="J59" i="87"/>
  <c r="J52" i="87"/>
  <c r="J42" i="87"/>
  <c r="J34" i="87"/>
  <c r="J76" i="87"/>
  <c r="J71" i="87"/>
  <c r="J67" i="87"/>
  <c r="J64" i="87"/>
  <c r="J53" i="87"/>
  <c r="J43" i="87"/>
  <c r="J29" i="87"/>
  <c r="J25" i="87"/>
  <c r="J72" i="87"/>
  <c r="J44" i="87"/>
  <c r="J35" i="87"/>
  <c r="J68" i="87"/>
  <c r="J60" i="87"/>
  <c r="J54" i="87"/>
  <c r="J30" i="87"/>
  <c r="J26" i="87"/>
  <c r="J16" i="87"/>
  <c r="J73" i="87"/>
  <c r="J65" i="87"/>
  <c r="J55" i="87"/>
  <c r="J45" i="87"/>
  <c r="J17" i="87"/>
  <c r="J74" i="87"/>
  <c r="J69" i="87"/>
  <c r="J66" i="87"/>
  <c r="J48" i="87"/>
  <c r="J38" i="87"/>
  <c r="J32" i="87"/>
  <c r="J18" i="87"/>
  <c r="J62" i="87"/>
  <c r="J49" i="87"/>
  <c r="J39" i="87"/>
  <c r="J33" i="87"/>
  <c r="J23" i="87"/>
  <c r="J75" i="87"/>
  <c r="J50" i="87"/>
  <c r="J40" i="87"/>
  <c r="J28" i="87"/>
  <c r="J24" i="87"/>
  <c r="J22" i="87"/>
  <c r="J70" i="87"/>
  <c r="J63" i="87"/>
  <c r="J51" i="87"/>
  <c r="J41" i="87"/>
  <c r="H20" i="87"/>
  <c r="J47" i="87"/>
  <c r="J31" i="87"/>
  <c r="J57" i="87"/>
  <c r="J56" i="87"/>
  <c r="J37" i="87"/>
  <c r="J27" i="87"/>
  <c r="L12" i="87"/>
  <c r="N12" i="87" s="1"/>
  <c r="P80" i="87"/>
  <c r="R20" i="79"/>
  <c r="R22" i="79"/>
  <c r="R33" i="79"/>
  <c r="R37" i="79"/>
  <c r="R38" i="79"/>
  <c r="J39" i="80"/>
  <c r="L56" i="80"/>
  <c r="Z23" i="82"/>
  <c r="X23" i="82"/>
  <c r="J42" i="84"/>
  <c r="J69" i="84"/>
  <c r="R57" i="79"/>
  <c r="R66" i="79"/>
  <c r="R18" i="79"/>
  <c r="R23" i="79"/>
  <c r="R54" i="79"/>
  <c r="H20" i="80"/>
  <c r="J45" i="80"/>
  <c r="L52" i="80"/>
  <c r="N52" i="80" s="1"/>
  <c r="N56" i="80"/>
  <c r="F25" i="82"/>
  <c r="F23" i="82"/>
  <c r="F21" i="82"/>
  <c r="F29" i="82"/>
  <c r="D21" i="82"/>
  <c r="L12" i="82"/>
  <c r="F19" i="82"/>
  <c r="N22" i="83"/>
  <c r="L22" i="83"/>
  <c r="Z47" i="83"/>
  <c r="X47" i="83"/>
  <c r="L105" i="84"/>
  <c r="N105" i="84" s="1"/>
  <c r="J61" i="87"/>
  <c r="L14" i="76"/>
  <c r="N14" i="76" s="1"/>
  <c r="L18" i="76"/>
  <c r="L22" i="76"/>
  <c r="N22" i="76" s="1"/>
  <c r="L26" i="76"/>
  <c r="N26" i="76" s="1"/>
  <c r="L30" i="76"/>
  <c r="N30" i="76" s="1"/>
  <c r="L34" i="76"/>
  <c r="N34" i="76" s="1"/>
  <c r="X13" i="78"/>
  <c r="Z13" i="78" s="1"/>
  <c r="R27" i="79"/>
  <c r="R31" i="79"/>
  <c r="R32" i="79"/>
  <c r="R47" i="79"/>
  <c r="L16" i="80"/>
  <c r="N16" i="80" s="1"/>
  <c r="J33" i="80"/>
  <c r="J38" i="80"/>
  <c r="X43" i="80"/>
  <c r="Z43" i="80" s="1"/>
  <c r="J56" i="80"/>
  <c r="L64" i="80"/>
  <c r="N64" i="80" s="1"/>
  <c r="H21" i="82"/>
  <c r="J29" i="82"/>
  <c r="N12" i="82"/>
  <c r="J17" i="82"/>
  <c r="J19" i="82"/>
  <c r="J25" i="82"/>
  <c r="J23" i="82"/>
  <c r="F17" i="82"/>
  <c r="F26" i="85"/>
  <c r="F24" i="85"/>
  <c r="F28" i="85"/>
  <c r="F33" i="85"/>
  <c r="F30" i="85"/>
  <c r="F22" i="85"/>
  <c r="F21" i="85"/>
  <c r="F20" i="85"/>
  <c r="F18" i="85"/>
  <c r="D18" i="85"/>
  <c r="L12" i="85"/>
  <c r="N12" i="85" s="1"/>
  <c r="F15" i="85"/>
  <c r="J36" i="87"/>
  <c r="X12" i="79"/>
  <c r="R36" i="79"/>
  <c r="R58" i="79"/>
  <c r="R63" i="79"/>
  <c r="J35" i="80"/>
  <c r="N17" i="82"/>
  <c r="L17" i="82"/>
  <c r="Z33" i="84"/>
  <c r="V24" i="80"/>
  <c r="V28" i="80"/>
  <c r="V40" i="80"/>
  <c r="V52" i="80"/>
  <c r="V64" i="80"/>
  <c r="V17" i="82"/>
  <c r="T12" i="83"/>
  <c r="N47" i="83"/>
  <c r="N59" i="83"/>
  <c r="Z63" i="83"/>
  <c r="Z71" i="83"/>
  <c r="T12" i="84"/>
  <c r="Z15" i="84"/>
  <c r="X15" i="84"/>
  <c r="Z17" i="84"/>
  <c r="R43" i="84"/>
  <c r="R66" i="84"/>
  <c r="R70" i="84"/>
  <c r="R87" i="87"/>
  <c r="R84" i="87"/>
  <c r="R59" i="87"/>
  <c r="R73" i="87"/>
  <c r="R82" i="87"/>
  <c r="R35" i="87"/>
  <c r="R16" i="87"/>
  <c r="R78" i="87"/>
  <c r="R68" i="87"/>
  <c r="R60" i="87"/>
  <c r="R55" i="87"/>
  <c r="R54" i="87"/>
  <c r="R30" i="87"/>
  <c r="R26" i="87"/>
  <c r="R65" i="87"/>
  <c r="R46" i="87"/>
  <c r="R45" i="87"/>
  <c r="R17" i="87"/>
  <c r="R61" i="87"/>
  <c r="R57" i="87"/>
  <c r="R56" i="87"/>
  <c r="R37" i="87"/>
  <c r="R36" i="87"/>
  <c r="X12" i="87"/>
  <c r="R48" i="87"/>
  <c r="R47" i="87"/>
  <c r="R32" i="87"/>
  <c r="R31" i="87"/>
  <c r="R27" i="87"/>
  <c r="R80" i="87"/>
  <c r="R74" i="87"/>
  <c r="R69" i="87"/>
  <c r="R39" i="87"/>
  <c r="R38" i="87"/>
  <c r="R23" i="87"/>
  <c r="R18" i="87"/>
  <c r="R70" i="87"/>
  <c r="R52" i="87"/>
  <c r="R51" i="87"/>
  <c r="R71" i="87"/>
  <c r="R43" i="87"/>
  <c r="R42" i="87"/>
  <c r="R34" i="87"/>
  <c r="R76" i="87"/>
  <c r="R67" i="87"/>
  <c r="R64" i="87"/>
  <c r="R53" i="87"/>
  <c r="R29" i="87"/>
  <c r="R25" i="87"/>
  <c r="R72" i="87"/>
  <c r="R44" i="87"/>
  <c r="R49" i="87"/>
  <c r="R62" i="87"/>
  <c r="V57" i="80"/>
  <c r="V61" i="80"/>
  <c r="N73" i="83"/>
  <c r="R99" i="84"/>
  <c r="R112" i="84"/>
  <c r="X16" i="88"/>
  <c r="Z16" i="88" s="1"/>
  <c r="L22" i="88"/>
  <c r="N22" i="88" s="1"/>
  <c r="V18" i="80"/>
  <c r="V20" i="80"/>
  <c r="V22" i="80"/>
  <c r="V38" i="80"/>
  <c r="V50" i="80"/>
  <c r="V62" i="80"/>
  <c r="V29" i="82"/>
  <c r="V31" i="82"/>
  <c r="X42" i="83"/>
  <c r="Z42" i="83" s="1"/>
  <c r="X44" i="83"/>
  <c r="Z44" i="83" s="1"/>
  <c r="L65" i="83"/>
  <c r="N65" i="83" s="1"/>
  <c r="D12" i="84"/>
  <c r="D20" i="87"/>
  <c r="L16" i="87"/>
  <c r="N16" i="87" s="1"/>
  <c r="R33" i="87"/>
  <c r="V55" i="80"/>
  <c r="Z53" i="83"/>
  <c r="X65" i="83"/>
  <c r="Z65" i="83" s="1"/>
  <c r="Z19" i="84"/>
  <c r="X19" i="84"/>
  <c r="R39" i="84"/>
  <c r="R55" i="84"/>
  <c r="N89" i="84"/>
  <c r="L89" i="84"/>
  <c r="P26" i="85"/>
  <c r="Z39" i="87"/>
  <c r="N46" i="87"/>
  <c r="R58" i="87"/>
  <c r="N14" i="88"/>
  <c r="L14" i="88"/>
  <c r="V26" i="80"/>
  <c r="V30" i="80"/>
  <c r="V46" i="80"/>
  <c r="V54" i="80"/>
  <c r="V19" i="82"/>
  <c r="V21" i="82"/>
  <c r="V23" i="82"/>
  <c r="V25" i="82"/>
  <c r="V27" i="82"/>
  <c r="Z55" i="83"/>
  <c r="Z73" i="83"/>
  <c r="R51" i="84"/>
  <c r="R69" i="84"/>
  <c r="T12" i="87"/>
  <c r="Z13" i="87"/>
  <c r="Z16" i="87"/>
  <c r="Z23" i="87"/>
  <c r="R50" i="87"/>
  <c r="V59" i="80"/>
  <c r="X23" i="84"/>
  <c r="Z23" i="84" s="1"/>
  <c r="V21" i="85"/>
  <c r="V20" i="85"/>
  <c r="V16" i="85"/>
  <c r="T18" i="85"/>
  <c r="V24" i="85"/>
  <c r="V22" i="85"/>
  <c r="V28" i="85"/>
  <c r="V15" i="85"/>
  <c r="R28" i="87"/>
  <c r="R40" i="87"/>
  <c r="Z50" i="87"/>
  <c r="L55" i="87"/>
  <c r="N55" i="87" s="1"/>
  <c r="R63" i="87"/>
  <c r="Z72" i="91"/>
  <c r="Z74" i="91"/>
  <c r="V16" i="80"/>
  <c r="V44" i="80"/>
  <c r="N63" i="83"/>
  <c r="Z25" i="84"/>
  <c r="N56" i="84"/>
  <c r="Z65" i="84"/>
  <c r="Z81" i="84"/>
  <c r="N22" i="87"/>
  <c r="Z63" i="87"/>
  <c r="V18" i="82"/>
  <c r="R49" i="84"/>
  <c r="R45" i="84"/>
  <c r="R41" i="84"/>
  <c r="R105" i="84"/>
  <c r="R104" i="84"/>
  <c r="R97" i="84"/>
  <c r="R96" i="84"/>
  <c r="R89" i="84"/>
  <c r="R88" i="84"/>
  <c r="R77" i="84"/>
  <c r="R76" i="84"/>
  <c r="R68" i="84"/>
  <c r="X12" i="84"/>
  <c r="R63" i="84"/>
  <c r="R59" i="84"/>
  <c r="R106" i="84"/>
  <c r="R98" i="84"/>
  <c r="R91" i="84"/>
  <c r="R90" i="84"/>
  <c r="R79" i="84"/>
  <c r="R78" i="84"/>
  <c r="R50" i="84"/>
  <c r="R46" i="84"/>
  <c r="R42" i="84"/>
  <c r="R108" i="84"/>
  <c r="R92" i="84"/>
  <c r="R81" i="84"/>
  <c r="R80" i="84"/>
  <c r="R65" i="84"/>
  <c r="R64" i="84"/>
  <c r="R60" i="84"/>
  <c r="R93" i="84"/>
  <c r="R61" i="84"/>
  <c r="R57" i="84"/>
  <c r="P53" i="84"/>
  <c r="R53" i="84" s="1"/>
  <c r="R101" i="84"/>
  <c r="R100" i="84"/>
  <c r="R85" i="84"/>
  <c r="R84" i="84"/>
  <c r="R73" i="84"/>
  <c r="R72" i="84"/>
  <c r="R48" i="84"/>
  <c r="R44" i="84"/>
  <c r="R40" i="84"/>
  <c r="R67" i="84"/>
  <c r="R103" i="84"/>
  <c r="R102" i="84"/>
  <c r="R95" i="84"/>
  <c r="R94" i="84"/>
  <c r="R87" i="84"/>
  <c r="R86" i="84"/>
  <c r="R75" i="84"/>
  <c r="R74" i="84"/>
  <c r="R62" i="84"/>
  <c r="R58" i="84"/>
  <c r="R38" i="84"/>
  <c r="R47" i="84"/>
  <c r="R71" i="84"/>
  <c r="X83" i="84"/>
  <c r="Z83" i="84" s="1"/>
  <c r="R66" i="87"/>
  <c r="N73" i="87"/>
  <c r="L73" i="87"/>
  <c r="R75" i="87"/>
  <c r="R56" i="84"/>
  <c r="X71" i="84"/>
  <c r="Z71" i="84" s="1"/>
  <c r="N15" i="85"/>
  <c r="L15" i="85"/>
  <c r="J15" i="85"/>
  <c r="H18" i="85"/>
  <c r="R22" i="87"/>
  <c r="R24" i="87"/>
  <c r="V43" i="80"/>
  <c r="V51" i="80"/>
  <c r="X13" i="84"/>
  <c r="Z56" i="84"/>
  <c r="R82" i="84"/>
  <c r="N97" i="84"/>
  <c r="L97" i="84"/>
  <c r="Z22" i="87"/>
  <c r="T16" i="86"/>
  <c r="X27" i="84"/>
  <c r="Z27" i="84" s="1"/>
  <c r="X31" i="84"/>
  <c r="Z31" i="84" s="1"/>
  <c r="X35" i="84"/>
  <c r="Z35" i="84" s="1"/>
  <c r="X13" i="85"/>
  <c r="Z13" i="85" s="1"/>
  <c r="J24" i="85"/>
  <c r="V14" i="86"/>
  <c r="V16" i="86"/>
  <c r="V18" i="86"/>
  <c r="V20" i="86"/>
  <c r="V22" i="86"/>
  <c r="L13" i="87"/>
  <c r="F48" i="87"/>
  <c r="F49" i="87"/>
  <c r="R56" i="88"/>
  <c r="R55" i="88"/>
  <c r="R48" i="88"/>
  <c r="R47" i="88"/>
  <c r="R32" i="88"/>
  <c r="R31" i="88"/>
  <c r="R27" i="88"/>
  <c r="R23" i="88"/>
  <c r="R18" i="88"/>
  <c r="R62" i="88"/>
  <c r="R61" i="88"/>
  <c r="R57" i="88"/>
  <c r="R50" i="88"/>
  <c r="R49" i="88"/>
  <c r="R38" i="88"/>
  <c r="R37" i="88"/>
  <c r="R33" i="88"/>
  <c r="R22" i="88"/>
  <c r="R20" i="88"/>
  <c r="R28" i="88"/>
  <c r="R24" i="88"/>
  <c r="P20" i="88"/>
  <c r="R64" i="88"/>
  <c r="R63" i="88"/>
  <c r="R51" i="88"/>
  <c r="R40" i="88"/>
  <c r="R39" i="88"/>
  <c r="R58" i="88"/>
  <c r="R65" i="88"/>
  <c r="R42" i="88"/>
  <c r="R59" i="88"/>
  <c r="R30" i="88"/>
  <c r="R26" i="88"/>
  <c r="R71" i="88"/>
  <c r="R54" i="88"/>
  <c r="R53" i="88"/>
  <c r="R76" i="88"/>
  <c r="R73" i="88"/>
  <c r="R60" i="88"/>
  <c r="R36" i="88"/>
  <c r="X12" i="88"/>
  <c r="Z12" i="88" s="1"/>
  <c r="R67" i="88"/>
  <c r="R28" i="85"/>
  <c r="X12" i="86"/>
  <c r="F80" i="87"/>
  <c r="F78" i="87"/>
  <c r="F69" i="87"/>
  <c r="F65" i="87"/>
  <c r="F82" i="87"/>
  <c r="N13" i="87"/>
  <c r="X14" i="87"/>
  <c r="Z14" i="87" s="1"/>
  <c r="F18" i="87"/>
  <c r="F37" i="87"/>
  <c r="F38" i="87"/>
  <c r="F57" i="87"/>
  <c r="F58" i="87"/>
  <c r="F61" i="87"/>
  <c r="F66" i="87"/>
  <c r="F74" i="87"/>
  <c r="L75" i="87"/>
  <c r="N75" i="87" s="1"/>
  <c r="V62" i="88"/>
  <c r="V50" i="88"/>
  <c r="V38" i="88"/>
  <c r="V22" i="88"/>
  <c r="V20" i="88"/>
  <c r="V18" i="88"/>
  <c r="V61" i="88"/>
  <c r="V57" i="88"/>
  <c r="V49" i="88"/>
  <c r="V37" i="88"/>
  <c r="V33" i="88"/>
  <c r="T20" i="88"/>
  <c r="V64" i="88"/>
  <c r="V40" i="88"/>
  <c r="V28" i="88"/>
  <c r="V24" i="88"/>
  <c r="V63" i="88"/>
  <c r="V51" i="88"/>
  <c r="V39" i="88"/>
  <c r="V58" i="88"/>
  <c r="V42" i="88"/>
  <c r="V34" i="88"/>
  <c r="V67" i="88"/>
  <c r="V65" i="88"/>
  <c r="V52" i="88"/>
  <c r="V44" i="88"/>
  <c r="V54" i="88"/>
  <c r="V71" i="88"/>
  <c r="V53" i="88"/>
  <c r="V45" i="88"/>
  <c r="V60" i="88"/>
  <c r="V56" i="88"/>
  <c r="V55" i="88"/>
  <c r="V47" i="88"/>
  <c r="V31" i="88"/>
  <c r="V27" i="88"/>
  <c r="V23" i="88"/>
  <c r="N23" i="88"/>
  <c r="R29" i="88"/>
  <c r="R35" i="88"/>
  <c r="J18" i="85"/>
  <c r="J20" i="85"/>
  <c r="J22" i="85"/>
  <c r="Z12" i="86"/>
  <c r="J26" i="86"/>
  <c r="J29" i="86"/>
  <c r="F27" i="87"/>
  <c r="F31" i="87"/>
  <c r="F46" i="87"/>
  <c r="F47" i="87"/>
  <c r="X63" i="87"/>
  <c r="V29" i="88"/>
  <c r="V35" i="88"/>
  <c r="R45" i="88"/>
  <c r="Z64" i="88"/>
  <c r="R69" i="88"/>
  <c r="H16" i="86"/>
  <c r="L16" i="86" s="1"/>
  <c r="F26" i="87"/>
  <c r="F30" i="87"/>
  <c r="F54" i="87"/>
  <c r="F60" i="87"/>
  <c r="F68" i="87"/>
  <c r="F59" i="88"/>
  <c r="F43" i="88"/>
  <c r="F42" i="88"/>
  <c r="F35" i="88"/>
  <c r="F69" i="88"/>
  <c r="F67" i="88"/>
  <c r="F30" i="88"/>
  <c r="F26" i="88"/>
  <c r="F71" i="88"/>
  <c r="F53" i="88"/>
  <c r="F45" i="88"/>
  <c r="F44" i="88"/>
  <c r="F17" i="88"/>
  <c r="F16" i="88"/>
  <c r="F60" i="88"/>
  <c r="F36" i="88"/>
  <c r="F55" i="88"/>
  <c r="F54" i="88"/>
  <c r="F47" i="88"/>
  <c r="F46" i="88"/>
  <c r="F31" i="88"/>
  <c r="F27" i="88"/>
  <c r="F76" i="88"/>
  <c r="F73" i="88"/>
  <c r="F61" i="88"/>
  <c r="F57" i="88"/>
  <c r="F56" i="88"/>
  <c r="F49" i="88"/>
  <c r="F48" i="88"/>
  <c r="F63" i="88"/>
  <c r="F62" i="88"/>
  <c r="F51" i="88"/>
  <c r="F50" i="88"/>
  <c r="F58" i="88"/>
  <c r="F34" i="88"/>
  <c r="F65" i="88"/>
  <c r="F64" i="88"/>
  <c r="F52" i="88"/>
  <c r="V16" i="88"/>
  <c r="F28" i="88"/>
  <c r="N32" i="88"/>
  <c r="Z40" i="88"/>
  <c r="L29" i="91"/>
  <c r="N29" i="91" s="1"/>
  <c r="N40" i="91"/>
  <c r="N50" i="91"/>
  <c r="J65" i="92"/>
  <c r="J41" i="92"/>
  <c r="J29" i="92"/>
  <c r="J25" i="92"/>
  <c r="J67" i="92"/>
  <c r="J59" i="92"/>
  <c r="J53" i="92"/>
  <c r="J43" i="92"/>
  <c r="J35" i="92"/>
  <c r="J54" i="92"/>
  <c r="J44" i="92"/>
  <c r="J30" i="92"/>
  <c r="J26" i="92"/>
  <c r="J71" i="92"/>
  <c r="J45" i="92"/>
  <c r="J31" i="92"/>
  <c r="J17" i="92"/>
  <c r="J60" i="92"/>
  <c r="J46" i="92"/>
  <c r="J36" i="92"/>
  <c r="J32" i="92"/>
  <c r="J22" i="92"/>
  <c r="J55" i="92"/>
  <c r="J47" i="92"/>
  <c r="J27" i="92"/>
  <c r="J23" i="92"/>
  <c r="J21" i="92"/>
  <c r="J19" i="92"/>
  <c r="J61" i="92"/>
  <c r="J57" i="92"/>
  <c r="J49" i="92"/>
  <c r="J37" i="92"/>
  <c r="J33" i="92"/>
  <c r="J62" i="92"/>
  <c r="J50" i="92"/>
  <c r="J38" i="92"/>
  <c r="J28" i="92"/>
  <c r="J24" i="92"/>
  <c r="J63" i="92"/>
  <c r="J51" i="92"/>
  <c r="J39" i="92"/>
  <c r="J64" i="92"/>
  <c r="J58" i="92"/>
  <c r="J40" i="92"/>
  <c r="J34" i="92"/>
  <c r="H19" i="92"/>
  <c r="J16" i="92"/>
  <c r="J48" i="92"/>
  <c r="J56" i="92"/>
  <c r="J52" i="92"/>
  <c r="J42" i="92"/>
  <c r="R16" i="85"/>
  <c r="R24" i="86"/>
  <c r="F43" i="87"/>
  <c r="F44" i="87"/>
  <c r="F71" i="87"/>
  <c r="F72" i="87"/>
  <c r="D20" i="88"/>
  <c r="F24" i="88"/>
  <c r="V30" i="88"/>
  <c r="V36" i="88"/>
  <c r="N38" i="88"/>
  <c r="F41" i="88"/>
  <c r="Z42" i="88"/>
  <c r="N46" i="88"/>
  <c r="N50" i="88"/>
  <c r="V59" i="88"/>
  <c r="Z36" i="91"/>
  <c r="Z46" i="91"/>
  <c r="Z54" i="91"/>
  <c r="L13" i="85"/>
  <c r="N13" i="85" s="1"/>
  <c r="V24" i="86"/>
  <c r="V26" i="86"/>
  <c r="F25" i="87"/>
  <c r="F29" i="87"/>
  <c r="F52" i="87"/>
  <c r="F53" i="87"/>
  <c r="F64" i="87"/>
  <c r="F67" i="87"/>
  <c r="F76" i="87"/>
  <c r="Z14" i="88"/>
  <c r="F20" i="88"/>
  <c r="V32" i="88"/>
  <c r="R34" i="88"/>
  <c r="R44" i="88"/>
  <c r="X16" i="84"/>
  <c r="Z16" i="84" s="1"/>
  <c r="P16" i="86"/>
  <c r="F41" i="87"/>
  <c r="F42" i="87"/>
  <c r="F59" i="87"/>
  <c r="F63" i="87"/>
  <c r="H12" i="88"/>
  <c r="L12" i="88" s="1"/>
  <c r="R46" i="88"/>
  <c r="V71" i="92"/>
  <c r="V45" i="92"/>
  <c r="V21" i="92"/>
  <c r="V19" i="92"/>
  <c r="V17" i="92"/>
  <c r="V60" i="92"/>
  <c r="V56" i="92"/>
  <c r="V55" i="92"/>
  <c r="V47" i="92"/>
  <c r="V27" i="92"/>
  <c r="V23" i="92"/>
  <c r="V62" i="92"/>
  <c r="V50" i="92"/>
  <c r="V38" i="92"/>
  <c r="V61" i="92"/>
  <c r="V57" i="92"/>
  <c r="V49" i="92"/>
  <c r="V37" i="92"/>
  <c r="V33" i="92"/>
  <c r="V64" i="92"/>
  <c r="V40" i="92"/>
  <c r="V28" i="92"/>
  <c r="V24" i="92"/>
  <c r="V63" i="92"/>
  <c r="V51" i="92"/>
  <c r="V39" i="92"/>
  <c r="V67" i="92"/>
  <c r="V65" i="92"/>
  <c r="V53" i="92"/>
  <c r="V41" i="92"/>
  <c r="V29" i="92"/>
  <c r="V25" i="92"/>
  <c r="V52" i="92"/>
  <c r="V44" i="92"/>
  <c r="V16" i="92"/>
  <c r="V59" i="92"/>
  <c r="V43" i="92"/>
  <c r="V35" i="92"/>
  <c r="V31" i="92"/>
  <c r="V54" i="92"/>
  <c r="V46" i="92"/>
  <c r="V30" i="92"/>
  <c r="V26" i="92"/>
  <c r="V22" i="92"/>
  <c r="T19" i="92"/>
  <c r="V32" i="92"/>
  <c r="V48" i="92"/>
  <c r="V42" i="92"/>
  <c r="V36" i="92"/>
  <c r="V58" i="92"/>
  <c r="R14" i="86"/>
  <c r="R16" i="86"/>
  <c r="R18" i="86"/>
  <c r="R20" i="86"/>
  <c r="F20" i="87"/>
  <c r="F22" i="87"/>
  <c r="F50" i="87"/>
  <c r="F51" i="87"/>
  <c r="F70" i="87"/>
  <c r="F75" i="87"/>
  <c r="F87" i="87"/>
  <c r="R17" i="88"/>
  <c r="F29" i="88"/>
  <c r="R41" i="88"/>
  <c r="R43" i="88"/>
  <c r="X44" i="88"/>
  <c r="Z44" i="88" s="1"/>
  <c r="V48" i="88"/>
  <c r="R52" i="88"/>
  <c r="N62" i="88"/>
  <c r="L62" i="88"/>
  <c r="Z44" i="91"/>
  <c r="N57" i="91"/>
  <c r="V76" i="91"/>
  <c r="V68" i="91"/>
  <c r="V64" i="91"/>
  <c r="V85" i="91"/>
  <c r="V83" i="91"/>
  <c r="V77" i="91"/>
  <c r="V14" i="91"/>
  <c r="V16" i="91"/>
  <c r="V18" i="91"/>
  <c r="F31" i="91"/>
  <c r="F35" i="91"/>
  <c r="F43" i="91"/>
  <c r="V50" i="91"/>
  <c r="F54" i="91"/>
  <c r="F55" i="91"/>
  <c r="V58" i="91"/>
  <c r="F75" i="91"/>
  <c r="R76" i="91"/>
  <c r="N78" i="91"/>
  <c r="L14" i="92"/>
  <c r="L21" i="92"/>
  <c r="F37" i="93"/>
  <c r="N43" i="93"/>
  <c r="V47" i="91"/>
  <c r="F60" i="91"/>
  <c r="J71" i="91"/>
  <c r="J75" i="91"/>
  <c r="V82" i="91"/>
  <c r="N21" i="92"/>
  <c r="N56" i="92"/>
  <c r="Z32" i="93"/>
  <c r="N39" i="93"/>
  <c r="Z54" i="93"/>
  <c r="Z12" i="91"/>
  <c r="F21" i="91"/>
  <c r="F25" i="91"/>
  <c r="V32" i="91"/>
  <c r="R37" i="91"/>
  <c r="R38" i="91"/>
  <c r="V40" i="91"/>
  <c r="R45" i="91"/>
  <c r="R46" i="91"/>
  <c r="V48" i="91"/>
  <c r="F52" i="91"/>
  <c r="F53" i="91"/>
  <c r="J54" i="91"/>
  <c r="V56" i="91"/>
  <c r="J60" i="91"/>
  <c r="R61" i="91"/>
  <c r="R65" i="91"/>
  <c r="F67" i="91"/>
  <c r="R68" i="91"/>
  <c r="R72" i="91"/>
  <c r="F81" i="91"/>
  <c r="J85" i="91"/>
  <c r="N14" i="92"/>
  <c r="X21" i="92"/>
  <c r="D16" i="91"/>
  <c r="F29" i="91"/>
  <c r="F30" i="91"/>
  <c r="F34" i="91"/>
  <c r="V37" i="91"/>
  <c r="F42" i="91"/>
  <c r="V45" i="91"/>
  <c r="J53" i="91"/>
  <c r="V57" i="91"/>
  <c r="V61" i="91"/>
  <c r="F64" i="91"/>
  <c r="V65" i="91"/>
  <c r="J67" i="91"/>
  <c r="R78" i="91"/>
  <c r="J89" i="91"/>
  <c r="Z21" i="92"/>
  <c r="N22" i="93"/>
  <c r="X44" i="94"/>
  <c r="Z44" i="94" s="1"/>
  <c r="H16" i="91"/>
  <c r="F19" i="91"/>
  <c r="F20" i="91"/>
  <c r="F24" i="91"/>
  <c r="F28" i="91"/>
  <c r="V31" i="91"/>
  <c r="V35" i="91"/>
  <c r="V43" i="91"/>
  <c r="J51" i="91"/>
  <c r="V55" i="91"/>
  <c r="J59" i="91"/>
  <c r="R60" i="91"/>
  <c r="F69" i="91"/>
  <c r="L70" i="91"/>
  <c r="N70" i="91" s="1"/>
  <c r="V71" i="91"/>
  <c r="N74" i="91"/>
  <c r="V78" i="91"/>
  <c r="V81" i="91"/>
  <c r="V89" i="91"/>
  <c r="Z42" i="92"/>
  <c r="F33" i="91"/>
  <c r="F40" i="91"/>
  <c r="F41" i="91"/>
  <c r="V44" i="91"/>
  <c r="F48" i="91"/>
  <c r="V60" i="91"/>
  <c r="J63" i="91"/>
  <c r="V67" i="91"/>
  <c r="J69" i="91"/>
  <c r="J83" i="91"/>
  <c r="F72" i="93"/>
  <c r="F69" i="93"/>
  <c r="F57" i="93"/>
  <c r="F29" i="93"/>
  <c r="F25" i="93"/>
  <c r="F52" i="93"/>
  <c r="F51" i="93"/>
  <c r="F44" i="93"/>
  <c r="F43" i="93"/>
  <c r="F35" i="93"/>
  <c r="F58" i="93"/>
  <c r="F46" i="93"/>
  <c r="F45" i="93"/>
  <c r="F30" i="93"/>
  <c r="F26" i="93"/>
  <c r="F53" i="93"/>
  <c r="F17" i="93"/>
  <c r="F16" i="93"/>
  <c r="F60" i="93"/>
  <c r="F59" i="93"/>
  <c r="F48" i="93"/>
  <c r="F47" i="93"/>
  <c r="F36" i="93"/>
  <c r="L12" i="93"/>
  <c r="F55" i="93"/>
  <c r="F54" i="93"/>
  <c r="F31" i="93"/>
  <c r="F27" i="93"/>
  <c r="F62" i="93"/>
  <c r="F49" i="93"/>
  <c r="F33" i="93"/>
  <c r="F32" i="93"/>
  <c r="F67" i="93"/>
  <c r="F56" i="93"/>
  <c r="F40" i="93"/>
  <c r="F39" i="93"/>
  <c r="F28" i="93"/>
  <c r="F24" i="93"/>
  <c r="F23" i="93"/>
  <c r="F22" i="93"/>
  <c r="F20" i="93"/>
  <c r="F50" i="93"/>
  <c r="F42" i="93"/>
  <c r="F41" i="93"/>
  <c r="F34" i="93"/>
  <c r="D20" i="93"/>
  <c r="F77" i="91"/>
  <c r="F79" i="91"/>
  <c r="F78" i="91"/>
  <c r="F71" i="91"/>
  <c r="F70" i="91"/>
  <c r="F85" i="91"/>
  <c r="F83" i="91"/>
  <c r="F66" i="91"/>
  <c r="F87" i="91"/>
  <c r="F82" i="91"/>
  <c r="F73" i="91"/>
  <c r="F72" i="91"/>
  <c r="F92" i="91"/>
  <c r="F89" i="91"/>
  <c r="V25" i="91"/>
  <c r="J41" i="91"/>
  <c r="V53" i="91"/>
  <c r="F57" i="91"/>
  <c r="F58" i="91"/>
  <c r="F62" i="91"/>
  <c r="R64" i="91"/>
  <c r="R77" i="91"/>
  <c r="D12" i="92"/>
  <c r="L13" i="92"/>
  <c r="N13" i="92" s="1"/>
  <c r="F38" i="93"/>
  <c r="J78" i="91"/>
  <c r="J82" i="91"/>
  <c r="J72" i="91"/>
  <c r="J66" i="91"/>
  <c r="J87" i="91"/>
  <c r="J81" i="91"/>
  <c r="J73" i="91"/>
  <c r="J74" i="91"/>
  <c r="F23" i="91"/>
  <c r="F27" i="91"/>
  <c r="V30" i="91"/>
  <c r="V34" i="91"/>
  <c r="F38" i="91"/>
  <c r="F39" i="91"/>
  <c r="J40" i="91"/>
  <c r="V42" i="91"/>
  <c r="F46" i="91"/>
  <c r="F47" i="91"/>
  <c r="J48" i="91"/>
  <c r="R51" i="91"/>
  <c r="R52" i="91"/>
  <c r="V54" i="91"/>
  <c r="J58" i="91"/>
  <c r="R59" i="91"/>
  <c r="J62" i="91"/>
  <c r="R70" i="91"/>
  <c r="V74" i="91"/>
  <c r="F76" i="91"/>
  <c r="J79" i="91"/>
  <c r="V62" i="93"/>
  <c r="V60" i="93"/>
  <c r="V48" i="93"/>
  <c r="V36" i="93"/>
  <c r="V32" i="93"/>
  <c r="V55" i="93"/>
  <c r="V39" i="93"/>
  <c r="V31" i="93"/>
  <c r="V27" i="93"/>
  <c r="V23" i="93"/>
  <c r="X12" i="93"/>
  <c r="Z12" i="93" s="1"/>
  <c r="V38" i="93"/>
  <c r="V22" i="93"/>
  <c r="V18" i="93"/>
  <c r="V49" i="93"/>
  <c r="V41" i="93"/>
  <c r="V33" i="93"/>
  <c r="T20" i="93"/>
  <c r="V67" i="93"/>
  <c r="V56" i="93"/>
  <c r="V40" i="93"/>
  <c r="V28" i="93"/>
  <c r="V24" i="93"/>
  <c r="V51" i="93"/>
  <c r="V43" i="93"/>
  <c r="V50" i="93"/>
  <c r="V42" i="93"/>
  <c r="V34" i="93"/>
  <c r="V52" i="93"/>
  <c r="V44" i="93"/>
  <c r="V16" i="93"/>
  <c r="V59" i="93"/>
  <c r="V47" i="93"/>
  <c r="V35" i="93"/>
  <c r="V58" i="93"/>
  <c r="V54" i="93"/>
  <c r="V46" i="93"/>
  <c r="V30" i="93"/>
  <c r="V26" i="93"/>
  <c r="V63" i="93"/>
  <c r="V53" i="93"/>
  <c r="V37" i="93"/>
  <c r="V17" i="93"/>
  <c r="V25" i="93"/>
  <c r="X13" i="88"/>
  <c r="Z13" i="88" s="1"/>
  <c r="L12" i="91"/>
  <c r="P16" i="91"/>
  <c r="R20" i="91"/>
  <c r="J23" i="91"/>
  <c r="R24" i="91"/>
  <c r="J27" i="91"/>
  <c r="R28" i="91"/>
  <c r="R29" i="91"/>
  <c r="F32" i="91"/>
  <c r="J39" i="91"/>
  <c r="J47" i="91"/>
  <c r="V51" i="91"/>
  <c r="F56" i="91"/>
  <c r="J57" i="91"/>
  <c r="V59" i="91"/>
  <c r="R66" i="91"/>
  <c r="R69" i="91"/>
  <c r="Z70" i="91"/>
  <c r="J76" i="91"/>
  <c r="J92" i="91"/>
  <c r="P12" i="92"/>
  <c r="X13" i="92"/>
  <c r="Z13" i="92" s="1"/>
  <c r="F18" i="93"/>
  <c r="N12" i="91"/>
  <c r="R18" i="91"/>
  <c r="V20" i="91"/>
  <c r="V24" i="91"/>
  <c r="V28" i="91"/>
  <c r="J32" i="91"/>
  <c r="R33" i="91"/>
  <c r="F36" i="91"/>
  <c r="F37" i="91"/>
  <c r="J38" i="91"/>
  <c r="R41" i="91"/>
  <c r="F44" i="91"/>
  <c r="F45" i="91"/>
  <c r="J46" i="91"/>
  <c r="R49" i="91"/>
  <c r="R50" i="91"/>
  <c r="V52" i="91"/>
  <c r="J56" i="91"/>
  <c r="F61" i="91"/>
  <c r="F65" i="91"/>
  <c r="V66" i="91"/>
  <c r="F68" i="91"/>
  <c r="V69" i="91"/>
  <c r="V70" i="91"/>
  <c r="R73" i="91"/>
  <c r="R83" i="91"/>
  <c r="V87" i="91"/>
  <c r="J52" i="93"/>
  <c r="J44" i="93"/>
  <c r="J45" i="93"/>
  <c r="J35" i="93"/>
  <c r="J58" i="93"/>
  <c r="J46" i="93"/>
  <c r="J30" i="93"/>
  <c r="J26" i="93"/>
  <c r="J16" i="93"/>
  <c r="J59" i="93"/>
  <c r="J53" i="93"/>
  <c r="J47" i="93"/>
  <c r="J17" i="93"/>
  <c r="J60" i="93"/>
  <c r="J54" i="93"/>
  <c r="J48" i="93"/>
  <c r="J36" i="93"/>
  <c r="N12" i="93"/>
  <c r="J63" i="93"/>
  <c r="J55" i="93"/>
  <c r="J37" i="93"/>
  <c r="J31" i="93"/>
  <c r="J27" i="93"/>
  <c r="J62" i="93"/>
  <c r="J38" i="93"/>
  <c r="J32" i="93"/>
  <c r="J18" i="93"/>
  <c r="J67" i="93"/>
  <c r="J56" i="93"/>
  <c r="J40" i="93"/>
  <c r="J28" i="93"/>
  <c r="J24" i="93"/>
  <c r="J22" i="93"/>
  <c r="J20" i="93"/>
  <c r="J41" i="93"/>
  <c r="H20" i="93"/>
  <c r="J50" i="93"/>
  <c r="J42" i="93"/>
  <c r="J34" i="93"/>
  <c r="J57" i="93"/>
  <c r="J51" i="93"/>
  <c r="J43" i="93"/>
  <c r="J29" i="93"/>
  <c r="J25" i="93"/>
  <c r="F63" i="93"/>
  <c r="R82" i="91"/>
  <c r="R79" i="91"/>
  <c r="R87" i="91"/>
  <c r="R74" i="91"/>
  <c r="R75" i="91"/>
  <c r="R67" i="91"/>
  <c r="R63" i="91"/>
  <c r="R62" i="91"/>
  <c r="T16" i="91"/>
  <c r="R19" i="91"/>
  <c r="F22" i="91"/>
  <c r="F26" i="91"/>
  <c r="V29" i="91"/>
  <c r="V33" i="91"/>
  <c r="J37" i="91"/>
  <c r="V41" i="91"/>
  <c r="J45" i="91"/>
  <c r="V49" i="91"/>
  <c r="R58" i="91"/>
  <c r="J61" i="91"/>
  <c r="V62" i="91"/>
  <c r="V63" i="91"/>
  <c r="J65" i="91"/>
  <c r="J68" i="91"/>
  <c r="V73" i="91"/>
  <c r="V79" i="91"/>
  <c r="P81" i="91"/>
  <c r="X81" i="91" s="1"/>
  <c r="Z81" i="91" s="1"/>
  <c r="X82" i="91"/>
  <c r="Z82" i="91" s="1"/>
  <c r="V92" i="91"/>
  <c r="J23" i="93"/>
  <c r="V29" i="93"/>
  <c r="N32" i="93"/>
  <c r="R26" i="93"/>
  <c r="R30" i="93"/>
  <c r="R46" i="93"/>
  <c r="R47" i="93"/>
  <c r="R58" i="93"/>
  <c r="R59" i="93"/>
  <c r="X62" i="93"/>
  <c r="Z62" i="93" s="1"/>
  <c r="V32" i="94"/>
  <c r="V34" i="94"/>
  <c r="V40" i="94"/>
  <c r="V42" i="94"/>
  <c r="Z53" i="94"/>
  <c r="Z23" i="95"/>
  <c r="X23" i="95"/>
  <c r="V42" i="95"/>
  <c r="R16" i="93"/>
  <c r="R35" i="93"/>
  <c r="L43" i="93"/>
  <c r="V47" i="94"/>
  <c r="V53" i="94"/>
  <c r="X55" i="94"/>
  <c r="Z55" i="94" s="1"/>
  <c r="L57" i="94"/>
  <c r="N57" i="94" s="1"/>
  <c r="X67" i="94"/>
  <c r="Z67" i="94" s="1"/>
  <c r="V38" i="95"/>
  <c r="R44" i="93"/>
  <c r="R45" i="93"/>
  <c r="R52" i="93"/>
  <c r="D62" i="93"/>
  <c r="L62" i="93" s="1"/>
  <c r="N62" i="93" s="1"/>
  <c r="N31" i="94"/>
  <c r="V55" i="94"/>
  <c r="Z65" i="94"/>
  <c r="F54" i="95"/>
  <c r="F66" i="95"/>
  <c r="J67" i="101"/>
  <c r="J45" i="101"/>
  <c r="J68" i="101"/>
  <c r="J70" i="101"/>
  <c r="J56" i="101"/>
  <c r="J48" i="101"/>
  <c r="J32" i="101"/>
  <c r="J73" i="101"/>
  <c r="J57" i="101"/>
  <c r="J72" i="101"/>
  <c r="J64" i="101"/>
  <c r="J58" i="101"/>
  <c r="J50" i="101"/>
  <c r="J38" i="101"/>
  <c r="J28" i="101"/>
  <c r="J24" i="101"/>
  <c r="J77" i="101"/>
  <c r="J59" i="101"/>
  <c r="J51" i="101"/>
  <c r="J39" i="101"/>
  <c r="J65" i="101"/>
  <c r="J53" i="101"/>
  <c r="J60" i="101"/>
  <c r="J35" i="101"/>
  <c r="J25" i="101"/>
  <c r="J52" i="101"/>
  <c r="J42" i="101"/>
  <c r="J66" i="101"/>
  <c r="J49" i="101"/>
  <c r="J46" i="101"/>
  <c r="J16" i="101"/>
  <c r="J69" i="101"/>
  <c r="J61" i="101"/>
  <c r="J54" i="101"/>
  <c r="J29" i="101"/>
  <c r="J17" i="101"/>
  <c r="J43" i="101"/>
  <c r="J36" i="101"/>
  <c r="J33" i="101"/>
  <c r="J26" i="101"/>
  <c r="J63" i="101"/>
  <c r="J40" i="101"/>
  <c r="J44" i="101"/>
  <c r="J18" i="101"/>
  <c r="J55" i="101"/>
  <c r="J37" i="101"/>
  <c r="J27" i="101"/>
  <c r="J22" i="101"/>
  <c r="J20" i="101"/>
  <c r="H20" i="101"/>
  <c r="J23" i="101"/>
  <c r="J31" i="101"/>
  <c r="J47" i="101"/>
  <c r="J30" i="101"/>
  <c r="J34" i="101"/>
  <c r="J41" i="101"/>
  <c r="J62" i="101"/>
  <c r="R25" i="93"/>
  <c r="R29" i="93"/>
  <c r="R57" i="93"/>
  <c r="R69" i="93"/>
  <c r="T20" i="94"/>
  <c r="F43" i="95"/>
  <c r="V50" i="95"/>
  <c r="N23" i="97"/>
  <c r="Z14" i="93"/>
  <c r="H12" i="94"/>
  <c r="V34" i="95"/>
  <c r="Z84" i="95"/>
  <c r="X84" i="95"/>
  <c r="P20" i="93"/>
  <c r="R24" i="93"/>
  <c r="R28" i="93"/>
  <c r="R40" i="93"/>
  <c r="R41" i="93"/>
  <c r="R56" i="93"/>
  <c r="R67" i="93"/>
  <c r="L22" i="94"/>
  <c r="N22" i="94" s="1"/>
  <c r="V26" i="94"/>
  <c r="Z31" i="94"/>
  <c r="V33" i="94"/>
  <c r="V35" i="94"/>
  <c r="V43" i="94"/>
  <c r="V54" i="94"/>
  <c r="V66" i="94"/>
  <c r="J65" i="95"/>
  <c r="J51" i="95"/>
  <c r="J76" i="95"/>
  <c r="J72" i="95"/>
  <c r="J60" i="95"/>
  <c r="J52" i="95"/>
  <c r="J77" i="95"/>
  <c r="J61" i="95"/>
  <c r="J53" i="95"/>
  <c r="J78" i="95"/>
  <c r="J66" i="95"/>
  <c r="J62" i="95"/>
  <c r="J54" i="95"/>
  <c r="J80" i="95"/>
  <c r="J68" i="95"/>
  <c r="J81" i="95"/>
  <c r="J69" i="95"/>
  <c r="J63" i="95"/>
  <c r="J57" i="95"/>
  <c r="J47" i="95"/>
  <c r="J71" i="95"/>
  <c r="J46" i="95"/>
  <c r="J37" i="95"/>
  <c r="J33" i="95"/>
  <c r="J23" i="95"/>
  <c r="J38" i="95"/>
  <c r="J28" i="95"/>
  <c r="J24" i="95"/>
  <c r="J22" i="95"/>
  <c r="J20" i="95"/>
  <c r="J84" i="95"/>
  <c r="J67" i="95"/>
  <c r="J58" i="95"/>
  <c r="J50" i="95"/>
  <c r="J39" i="95"/>
  <c r="H20" i="95"/>
  <c r="J40" i="95"/>
  <c r="J34" i="95"/>
  <c r="J79" i="95"/>
  <c r="J74" i="95"/>
  <c r="J56" i="95"/>
  <c r="J41" i="95"/>
  <c r="J29" i="95"/>
  <c r="J25" i="95"/>
  <c r="J88" i="95"/>
  <c r="J48" i="95"/>
  <c r="J42" i="95"/>
  <c r="J43" i="95"/>
  <c r="J35" i="95"/>
  <c r="J70" i="95"/>
  <c r="J49" i="95"/>
  <c r="J45" i="95"/>
  <c r="J17" i="95"/>
  <c r="J75" i="95"/>
  <c r="J64" i="95"/>
  <c r="J36" i="95"/>
  <c r="J82" i="95"/>
  <c r="J73" i="95"/>
  <c r="J55" i="95"/>
  <c r="J31" i="95"/>
  <c r="J27" i="95"/>
  <c r="J18" i="95"/>
  <c r="N57" i="95"/>
  <c r="R20" i="93"/>
  <c r="R22" i="93"/>
  <c r="R33" i="93"/>
  <c r="R49" i="93"/>
  <c r="P12" i="94"/>
  <c r="V18" i="94"/>
  <c r="V81" i="95"/>
  <c r="V73" i="95"/>
  <c r="V69" i="95"/>
  <c r="V57" i="95"/>
  <c r="V45" i="95"/>
  <c r="V80" i="95"/>
  <c r="V68" i="95"/>
  <c r="V56" i="95"/>
  <c r="V63" i="95"/>
  <c r="V84" i="95"/>
  <c r="V82" i="95"/>
  <c r="V74" i="95"/>
  <c r="V70" i="95"/>
  <c r="V58" i="95"/>
  <c r="V64" i="95"/>
  <c r="V75" i="95"/>
  <c r="V71" i="95"/>
  <c r="V59" i="95"/>
  <c r="V51" i="95"/>
  <c r="V77" i="95"/>
  <c r="V65" i="95"/>
  <c r="V61" i="95"/>
  <c r="V53" i="95"/>
  <c r="V76" i="95"/>
  <c r="V41" i="95"/>
  <c r="V29" i="95"/>
  <c r="V25" i="95"/>
  <c r="V79" i="95"/>
  <c r="V44" i="95"/>
  <c r="V16" i="95"/>
  <c r="V88" i="95"/>
  <c r="V72" i="95"/>
  <c r="V48" i="95"/>
  <c r="V43" i="95"/>
  <c r="V35" i="95"/>
  <c r="V30" i="95"/>
  <c r="V26" i="95"/>
  <c r="V54" i="95"/>
  <c r="V49" i="95"/>
  <c r="V17" i="95"/>
  <c r="V36" i="95"/>
  <c r="V32" i="95"/>
  <c r="V31" i="95"/>
  <c r="V27" i="95"/>
  <c r="V23" i="95"/>
  <c r="V66" i="95"/>
  <c r="V46" i="95"/>
  <c r="V37" i="95"/>
  <c r="V33" i="95"/>
  <c r="T20" i="95"/>
  <c r="V60" i="95"/>
  <c r="V47" i="95"/>
  <c r="V40" i="95"/>
  <c r="V28" i="95"/>
  <c r="V24" i="95"/>
  <c r="V78" i="95"/>
  <c r="V39" i="95"/>
  <c r="R18" i="93"/>
  <c r="R23" i="93"/>
  <c r="R38" i="93"/>
  <c r="R39" i="93"/>
  <c r="V61" i="94"/>
  <c r="V57" i="94"/>
  <c r="V45" i="94"/>
  <c r="V29" i="94"/>
  <c r="V25" i="94"/>
  <c r="V70" i="94"/>
  <c r="V68" i="94"/>
  <c r="V56" i="94"/>
  <c r="V48" i="94"/>
  <c r="V36" i="94"/>
  <c r="V16" i="94"/>
  <c r="V62" i="94"/>
  <c r="V58" i="94"/>
  <c r="V38" i="94"/>
  <c r="V49" i="94"/>
  <c r="V37" i="94"/>
  <c r="V74" i="94"/>
  <c r="V63" i="94"/>
  <c r="V59" i="94"/>
  <c r="V51" i="94"/>
  <c r="V39" i="94"/>
  <c r="V27" i="94"/>
  <c r="V23" i="94"/>
  <c r="V65" i="94"/>
  <c r="V64" i="94"/>
  <c r="V60" i="94"/>
  <c r="V52" i="94"/>
  <c r="V44" i="94"/>
  <c r="V28" i="94"/>
  <c r="V24" i="94"/>
  <c r="V67" i="94"/>
  <c r="V46" i="94"/>
  <c r="X48" i="94"/>
  <c r="Z48" i="94" s="1"/>
  <c r="V18" i="95"/>
  <c r="J32" i="95"/>
  <c r="F35" i="95"/>
  <c r="P46" i="102"/>
  <c r="R27" i="93"/>
  <c r="R31" i="93"/>
  <c r="R32" i="93"/>
  <c r="R55" i="93"/>
  <c r="R62" i="93"/>
  <c r="V30" i="94"/>
  <c r="L36" i="94"/>
  <c r="N36" i="94" s="1"/>
  <c r="Z51" i="94"/>
  <c r="L55" i="94"/>
  <c r="N55" i="94" s="1"/>
  <c r="F88" i="95"/>
  <c r="F50" i="95"/>
  <c r="F49" i="95"/>
  <c r="F65" i="95"/>
  <c r="F76" i="95"/>
  <c r="F72" i="95"/>
  <c r="F60" i="95"/>
  <c r="F52" i="95"/>
  <c r="F51" i="95"/>
  <c r="F73" i="95"/>
  <c r="F80" i="95"/>
  <c r="F79" i="95"/>
  <c r="F68" i="95"/>
  <c r="F67" i="95"/>
  <c r="F56" i="95"/>
  <c r="F55" i="95"/>
  <c r="F82" i="95"/>
  <c r="F81" i="95"/>
  <c r="F74" i="95"/>
  <c r="F70" i="95"/>
  <c r="F69" i="95"/>
  <c r="F58" i="95"/>
  <c r="F57" i="95"/>
  <c r="F78" i="95"/>
  <c r="F18" i="95"/>
  <c r="F71" i="95"/>
  <c r="F46" i="95"/>
  <c r="F37" i="95"/>
  <c r="F33" i="95"/>
  <c r="F32" i="95"/>
  <c r="F53" i="95"/>
  <c r="F28" i="95"/>
  <c r="F24" i="95"/>
  <c r="F23" i="95"/>
  <c r="F63" i="95"/>
  <c r="F47" i="95"/>
  <c r="F39" i="95"/>
  <c r="F38" i="95"/>
  <c r="F22" i="95"/>
  <c r="F84" i="95"/>
  <c r="F61" i="95"/>
  <c r="F34" i="95"/>
  <c r="D20" i="95"/>
  <c r="F41" i="95"/>
  <c r="F40" i="95"/>
  <c r="F29" i="95"/>
  <c r="F25" i="95"/>
  <c r="F48" i="95"/>
  <c r="F59" i="95"/>
  <c r="F30" i="95"/>
  <c r="F26" i="95"/>
  <c r="F62" i="95"/>
  <c r="F45" i="95"/>
  <c r="F44" i="95"/>
  <c r="F17" i="95"/>
  <c r="F16" i="95"/>
  <c r="F75" i="95"/>
  <c r="F64" i="95"/>
  <c r="F36" i="95"/>
  <c r="L12" i="95"/>
  <c r="N12" i="95" s="1"/>
  <c r="J16" i="95"/>
  <c r="J44" i="95"/>
  <c r="R48" i="93"/>
  <c r="R60" i="93"/>
  <c r="R63" i="93"/>
  <c r="R65" i="93"/>
  <c r="V50" i="94"/>
  <c r="V62" i="95"/>
  <c r="F77" i="95"/>
  <c r="P12" i="97"/>
  <c r="X13" i="97"/>
  <c r="Z13" i="97" s="1"/>
  <c r="F66" i="101"/>
  <c r="F62" i="101"/>
  <c r="F61" i="101"/>
  <c r="F54" i="101"/>
  <c r="F63" i="101"/>
  <c r="F55" i="101"/>
  <c r="F47" i="101"/>
  <c r="F46" i="101"/>
  <c r="F70" i="101"/>
  <c r="F69" i="101"/>
  <c r="F57" i="101"/>
  <c r="F56" i="101"/>
  <c r="F49" i="101"/>
  <c r="F48" i="101"/>
  <c r="F37" i="101"/>
  <c r="F33" i="101"/>
  <c r="F32" i="101"/>
  <c r="F75" i="101"/>
  <c r="F73" i="101"/>
  <c r="F64" i="101"/>
  <c r="F65" i="101"/>
  <c r="F53" i="101"/>
  <c r="F52" i="101"/>
  <c r="F77" i="101"/>
  <c r="F68" i="101"/>
  <c r="F58" i="101"/>
  <c r="F38" i="101"/>
  <c r="F31" i="101"/>
  <c r="F28" i="101"/>
  <c r="F35" i="101"/>
  <c r="F25" i="101"/>
  <c r="F82" i="101"/>
  <c r="F39" i="101"/>
  <c r="F72" i="101"/>
  <c r="F42" i="101"/>
  <c r="F59" i="101"/>
  <c r="F29" i="101"/>
  <c r="F17" i="101"/>
  <c r="F16" i="101"/>
  <c r="F43" i="101"/>
  <c r="F36" i="101"/>
  <c r="F26" i="101"/>
  <c r="L12" i="101"/>
  <c r="N12" i="101" s="1"/>
  <c r="F79" i="101"/>
  <c r="F50" i="101"/>
  <c r="F44" i="101"/>
  <c r="F34" i="101"/>
  <c r="F30" i="101"/>
  <c r="F51" i="101"/>
  <c r="F27" i="101"/>
  <c r="F24" i="101"/>
  <c r="F23" i="101"/>
  <c r="F67" i="101"/>
  <c r="F40" i="101"/>
  <c r="F20" i="101"/>
  <c r="D20" i="101"/>
  <c r="F45" i="101"/>
  <c r="F60" i="101"/>
  <c r="F41" i="101"/>
  <c r="F22" i="101"/>
  <c r="F18" i="101"/>
  <c r="R17" i="93"/>
  <c r="R53" i="93"/>
  <c r="R54" i="93"/>
  <c r="D12" i="94"/>
  <c r="L13" i="94"/>
  <c r="N13" i="94" s="1"/>
  <c r="X23" i="94"/>
  <c r="Z23" i="94" s="1"/>
  <c r="N65" i="94"/>
  <c r="P12" i="95"/>
  <c r="X13" i="95"/>
  <c r="Z13" i="95" s="1"/>
  <c r="V55" i="95"/>
  <c r="V67" i="95"/>
  <c r="V82" i="97"/>
  <c r="V73" i="97"/>
  <c r="V53" i="97"/>
  <c r="V45" i="97"/>
  <c r="V17" i="97"/>
  <c r="V72" i="97"/>
  <c r="V60" i="97"/>
  <c r="V44" i="97"/>
  <c r="V36" i="97"/>
  <c r="V32" i="97"/>
  <c r="V71" i="97"/>
  <c r="V67" i="97"/>
  <c r="V55" i="97"/>
  <c r="V31" i="97"/>
  <c r="V27" i="97"/>
  <c r="V23" i="97"/>
  <c r="V54" i="97"/>
  <c r="V46" i="97"/>
  <c r="V22" i="97"/>
  <c r="V18" i="97"/>
  <c r="V78" i="97"/>
  <c r="V61" i="97"/>
  <c r="V37" i="97"/>
  <c r="V33" i="97"/>
  <c r="T20" i="97"/>
  <c r="V74" i="97"/>
  <c r="V68" i="97"/>
  <c r="V56" i="97"/>
  <c r="V48" i="97"/>
  <c r="V28" i="97"/>
  <c r="V24" i="97"/>
  <c r="V63" i="97"/>
  <c r="V47" i="97"/>
  <c r="V39" i="97"/>
  <c r="V69" i="97"/>
  <c r="V65" i="97"/>
  <c r="V57" i="97"/>
  <c r="V49" i="97"/>
  <c r="V41" i="97"/>
  <c r="V29" i="97"/>
  <c r="V25" i="97"/>
  <c r="V64" i="97"/>
  <c r="V52" i="97"/>
  <c r="V35" i="97"/>
  <c r="Z39" i="97"/>
  <c r="X43" i="97"/>
  <c r="Z43" i="97" s="1"/>
  <c r="V62" i="97"/>
  <c r="H43" i="99"/>
  <c r="N17" i="99"/>
  <c r="N49" i="95"/>
  <c r="X53" i="95"/>
  <c r="Z53" i="95" s="1"/>
  <c r="V16" i="97"/>
  <c r="F20" i="97"/>
  <c r="Z41" i="97"/>
  <c r="V43" i="97"/>
  <c r="V51" i="97"/>
  <c r="V66" i="97"/>
  <c r="Z12" i="98"/>
  <c r="V20" i="98"/>
  <c r="V21" i="98"/>
  <c r="V27" i="98"/>
  <c r="V34" i="98"/>
  <c r="V16" i="98"/>
  <c r="V23" i="98"/>
  <c r="T16" i="98"/>
  <c r="V29" i="98"/>
  <c r="V18" i="98"/>
  <c r="V19" i="98"/>
  <c r="V31" i="98"/>
  <c r="N18" i="98"/>
  <c r="L48" i="101"/>
  <c r="X47" i="95"/>
  <c r="Z47" i="95" s="1"/>
  <c r="Z16" i="97"/>
  <c r="F23" i="97"/>
  <c r="J46" i="97"/>
  <c r="V75" i="97"/>
  <c r="X49" i="95"/>
  <c r="X55" i="95"/>
  <c r="Z55" i="95" s="1"/>
  <c r="N77" i="95"/>
  <c r="L81" i="95"/>
  <c r="N81" i="95" s="1"/>
  <c r="J48" i="97"/>
  <c r="J54" i="97"/>
  <c r="F56" i="97"/>
  <c r="F67" i="97"/>
  <c r="L77" i="97"/>
  <c r="X18" i="98"/>
  <c r="Z18" i="98" s="1"/>
  <c r="V25" i="98"/>
  <c r="L73" i="101"/>
  <c r="D72" i="101"/>
  <c r="L72" i="101" s="1"/>
  <c r="Z49" i="95"/>
  <c r="V40" i="97"/>
  <c r="V42" i="97"/>
  <c r="X33" i="100"/>
  <c r="Z33" i="100" s="1"/>
  <c r="L14" i="95"/>
  <c r="N14" i="95" s="1"/>
  <c r="L69" i="95"/>
  <c r="N69" i="95" s="1"/>
  <c r="J82" i="97"/>
  <c r="J69" i="97"/>
  <c r="J63" i="97"/>
  <c r="J57" i="97"/>
  <c r="J49" i="97"/>
  <c r="J39" i="97"/>
  <c r="J29" i="97"/>
  <c r="J25" i="97"/>
  <c r="J64" i="97"/>
  <c r="J50" i="97"/>
  <c r="J40" i="97"/>
  <c r="J75" i="97"/>
  <c r="J65" i="97"/>
  <c r="J51" i="97"/>
  <c r="J41" i="97"/>
  <c r="J35" i="97"/>
  <c r="J70" i="97"/>
  <c r="J66" i="97"/>
  <c r="J58" i="97"/>
  <c r="J52" i="97"/>
  <c r="J42" i="97"/>
  <c r="J30" i="97"/>
  <c r="J26" i="97"/>
  <c r="J16" i="97"/>
  <c r="J59" i="97"/>
  <c r="J53" i="97"/>
  <c r="J43" i="97"/>
  <c r="J17" i="97"/>
  <c r="J60" i="97"/>
  <c r="J44" i="97"/>
  <c r="J36" i="97"/>
  <c r="J71" i="97"/>
  <c r="J67" i="97"/>
  <c r="J45" i="97"/>
  <c r="J31" i="97"/>
  <c r="J27" i="97"/>
  <c r="J73" i="97"/>
  <c r="J61" i="97"/>
  <c r="J55" i="97"/>
  <c r="J37" i="97"/>
  <c r="J33" i="97"/>
  <c r="J23" i="97"/>
  <c r="J78" i="97"/>
  <c r="J68" i="97"/>
  <c r="J56" i="97"/>
  <c r="F22" i="97"/>
  <c r="Z23" i="97"/>
  <c r="J28" i="97"/>
  <c r="V34" i="97"/>
  <c r="N65" i="97"/>
  <c r="J72" i="97"/>
  <c r="F45" i="99"/>
  <c r="F40" i="99"/>
  <c r="F15" i="99"/>
  <c r="F14" i="99"/>
  <c r="F30" i="99"/>
  <c r="F29" i="99"/>
  <c r="F50" i="99"/>
  <c r="F47" i="99"/>
  <c r="F32" i="99"/>
  <c r="F31" i="99"/>
  <c r="F19" i="99"/>
  <c r="F17" i="99"/>
  <c r="F34" i="99"/>
  <c r="F33" i="99"/>
  <c r="F26" i="99"/>
  <c r="F22" i="99"/>
  <c r="F27" i="99"/>
  <c r="F23" i="99"/>
  <c r="F38" i="99"/>
  <c r="F37" i="99"/>
  <c r="D17" i="99"/>
  <c r="F41" i="99"/>
  <c r="F36" i="99"/>
  <c r="F28" i="99"/>
  <c r="F24" i="99"/>
  <c r="F43" i="99"/>
  <c r="F25" i="99"/>
  <c r="L12" i="99"/>
  <c r="V33" i="100"/>
  <c r="N61" i="95"/>
  <c r="Z77" i="95"/>
  <c r="F37" i="97"/>
  <c r="L45" i="97"/>
  <c r="Z14" i="98"/>
  <c r="X14" i="98"/>
  <c r="F21" i="99"/>
  <c r="Z79" i="95"/>
  <c r="F80" i="97"/>
  <c r="F78" i="97"/>
  <c r="F82" i="97"/>
  <c r="F77" i="97"/>
  <c r="F62" i="97"/>
  <c r="F38" i="97"/>
  <c r="F34" i="97"/>
  <c r="D20" i="97"/>
  <c r="F84" i="97"/>
  <c r="F74" i="97"/>
  <c r="F69" i="97"/>
  <c r="F57" i="97"/>
  <c r="F49" i="97"/>
  <c r="F48" i="97"/>
  <c r="F29" i="97"/>
  <c r="F25" i="97"/>
  <c r="F64" i="97"/>
  <c r="F63" i="97"/>
  <c r="F40" i="97"/>
  <c r="F39" i="97"/>
  <c r="F75" i="97"/>
  <c r="F51" i="97"/>
  <c r="F50" i="97"/>
  <c r="F35" i="97"/>
  <c r="F70" i="97"/>
  <c r="F66" i="97"/>
  <c r="F65" i="97"/>
  <c r="F58" i="97"/>
  <c r="F42" i="97"/>
  <c r="F41" i="97"/>
  <c r="F30" i="97"/>
  <c r="F26" i="97"/>
  <c r="F53" i="97"/>
  <c r="F52" i="97"/>
  <c r="F17" i="97"/>
  <c r="F16" i="97"/>
  <c r="F87" i="97"/>
  <c r="F60" i="97"/>
  <c r="F59" i="97"/>
  <c r="F44" i="97"/>
  <c r="F43" i="97"/>
  <c r="F36" i="97"/>
  <c r="L12" i="97"/>
  <c r="N12" i="97" s="1"/>
  <c r="F54" i="97"/>
  <c r="F46" i="97"/>
  <c r="F45" i="97"/>
  <c r="F18" i="97"/>
  <c r="F73" i="97"/>
  <c r="F72" i="97"/>
  <c r="F61" i="97"/>
  <c r="J22" i="97"/>
  <c r="F24" i="97"/>
  <c r="V26" i="97"/>
  <c r="N45" i="97"/>
  <c r="J47" i="97"/>
  <c r="V70" i="97"/>
  <c r="V14" i="98"/>
  <c r="L13" i="95"/>
  <c r="N13" i="95" s="1"/>
  <c r="L47" i="95"/>
  <c r="N53" i="95"/>
  <c r="N84" i="95"/>
  <c r="J18" i="97"/>
  <c r="N22" i="97"/>
  <c r="J24" i="97"/>
  <c r="F31" i="97"/>
  <c r="V50" i="97"/>
  <c r="Z52" i="97"/>
  <c r="Z59" i="97"/>
  <c r="X59" i="97"/>
  <c r="J62" i="97"/>
  <c r="Z63" i="97"/>
  <c r="Z65" i="97"/>
  <c r="F68" i="97"/>
  <c r="N78" i="97"/>
  <c r="H77" i="97"/>
  <c r="H80" i="97" s="1"/>
  <c r="L78" i="97"/>
  <c r="V34" i="99"/>
  <c r="V26" i="99"/>
  <c r="V22" i="99"/>
  <c r="V37" i="99"/>
  <c r="V43" i="99"/>
  <c r="V41" i="99"/>
  <c r="V27" i="99"/>
  <c r="V23" i="99"/>
  <c r="V29" i="99"/>
  <c r="V28" i="99"/>
  <c r="V24" i="99"/>
  <c r="V20" i="99"/>
  <c r="V30" i="99"/>
  <c r="T17" i="99"/>
  <c r="X17" i="99" s="1"/>
  <c r="V33" i="99"/>
  <c r="V25" i="99"/>
  <c r="V21" i="99"/>
  <c r="V38" i="99"/>
  <c r="V47" i="99"/>
  <c r="V15" i="99"/>
  <c r="V40" i="99"/>
  <c r="V35" i="99"/>
  <c r="V32" i="99"/>
  <c r="Z12" i="99"/>
  <c r="V17" i="99"/>
  <c r="X12" i="99"/>
  <c r="V50" i="99"/>
  <c r="V45" i="99"/>
  <c r="L55" i="95"/>
  <c r="N55" i="95" s="1"/>
  <c r="Z61" i="95"/>
  <c r="Z67" i="95"/>
  <c r="X79" i="95"/>
  <c r="L13" i="97"/>
  <c r="N13" i="97" s="1"/>
  <c r="F33" i="97"/>
  <c r="N41" i="97"/>
  <c r="N43" i="97"/>
  <c r="F55" i="97"/>
  <c r="V59" i="97"/>
  <c r="H27" i="98"/>
  <c r="N16" i="98"/>
  <c r="V19" i="99"/>
  <c r="J49" i="100"/>
  <c r="J41" i="100"/>
  <c r="J29" i="100"/>
  <c r="J23" i="100"/>
  <c r="J21" i="100"/>
  <c r="J19" i="100"/>
  <c r="J50" i="100"/>
  <c r="J42" i="100"/>
  <c r="J30" i="100"/>
  <c r="J24" i="100"/>
  <c r="H19" i="100"/>
  <c r="J55" i="100"/>
  <c r="J53" i="100"/>
  <c r="J31" i="100"/>
  <c r="J25" i="100"/>
  <c r="J52" i="100"/>
  <c r="J32" i="100"/>
  <c r="J57" i="100"/>
  <c r="J43" i="100"/>
  <c r="J33" i="100"/>
  <c r="J44" i="100"/>
  <c r="J34" i="100"/>
  <c r="J26" i="100"/>
  <c r="J62" i="100"/>
  <c r="J59" i="100"/>
  <c r="J45" i="100"/>
  <c r="J35" i="100"/>
  <c r="J15" i="100"/>
  <c r="J47" i="100"/>
  <c r="J37" i="100"/>
  <c r="J27" i="100"/>
  <c r="J38" i="100"/>
  <c r="J39" i="100"/>
  <c r="J46" i="100"/>
  <c r="J17" i="100"/>
  <c r="N12" i="100"/>
  <c r="J40" i="100"/>
  <c r="J36" i="100"/>
  <c r="J21" i="98"/>
  <c r="J22" i="98"/>
  <c r="N12" i="98"/>
  <c r="J29" i="98"/>
  <c r="J34" i="98"/>
  <c r="J31" i="98"/>
  <c r="J19" i="98"/>
  <c r="Z19" i="98"/>
  <c r="X19" i="98"/>
  <c r="T55" i="100"/>
  <c r="Z37" i="100"/>
  <c r="Z41" i="100"/>
  <c r="R75" i="101"/>
  <c r="R73" i="101"/>
  <c r="R70" i="101"/>
  <c r="R72" i="101"/>
  <c r="R58" i="101"/>
  <c r="R57" i="101"/>
  <c r="R77" i="101"/>
  <c r="R59" i="101"/>
  <c r="R52" i="101"/>
  <c r="R51" i="101"/>
  <c r="R40" i="101"/>
  <c r="R39" i="101"/>
  <c r="R82" i="101"/>
  <c r="R79" i="101"/>
  <c r="R65" i="101"/>
  <c r="R53" i="101"/>
  <c r="R42" i="101"/>
  <c r="R41" i="101"/>
  <c r="R29" i="101"/>
  <c r="R25" i="101"/>
  <c r="R61" i="101"/>
  <c r="R60" i="101"/>
  <c r="R67" i="101"/>
  <c r="R66" i="101"/>
  <c r="R62" i="101"/>
  <c r="R54" i="101"/>
  <c r="R17" i="101"/>
  <c r="R43" i="101"/>
  <c r="R36" i="101"/>
  <c r="R33" i="101"/>
  <c r="R26" i="101"/>
  <c r="X12" i="101"/>
  <c r="R50" i="101"/>
  <c r="R44" i="101"/>
  <c r="R63" i="101"/>
  <c r="R23" i="101"/>
  <c r="R18" i="101"/>
  <c r="R47" i="101"/>
  <c r="R30" i="101"/>
  <c r="R22" i="101"/>
  <c r="R20" i="101"/>
  <c r="R37" i="101"/>
  <c r="R34" i="101"/>
  <c r="R27" i="101"/>
  <c r="P20" i="101"/>
  <c r="R55" i="101"/>
  <c r="R24" i="101"/>
  <c r="R38" i="101"/>
  <c r="R31" i="101"/>
  <c r="R68" i="101"/>
  <c r="R35" i="101"/>
  <c r="R28" i="101"/>
  <c r="N22" i="101"/>
  <c r="R27" i="98"/>
  <c r="R25" i="98"/>
  <c r="R18" i="98"/>
  <c r="R16" i="98"/>
  <c r="R14" i="98"/>
  <c r="R20" i="98"/>
  <c r="P16" i="98"/>
  <c r="R21" i="98"/>
  <c r="P43" i="99"/>
  <c r="N40" i="99"/>
  <c r="L40" i="99"/>
  <c r="Z41" i="99"/>
  <c r="T40" i="99"/>
  <c r="X40" i="99" s="1"/>
  <c r="Z49" i="100"/>
  <c r="Z14" i="101"/>
  <c r="N32" i="101"/>
  <c r="R46" i="101"/>
  <c r="R48" i="101"/>
  <c r="V52" i="101"/>
  <c r="R69" i="101"/>
  <c r="Z74" i="97"/>
  <c r="X12" i="98"/>
  <c r="J16" i="98"/>
  <c r="X25" i="98"/>
  <c r="L15" i="100"/>
  <c r="X52" i="100"/>
  <c r="Z52" i="100" s="1"/>
  <c r="Z22" i="101"/>
  <c r="R32" i="101"/>
  <c r="F72" i="103"/>
  <c r="F68" i="103"/>
  <c r="F52" i="103"/>
  <c r="F51" i="103"/>
  <c r="F69" i="103"/>
  <c r="F76" i="103"/>
  <c r="F75" i="103"/>
  <c r="F64" i="103"/>
  <c r="F56" i="103"/>
  <c r="F55" i="103"/>
  <c r="F78" i="103"/>
  <c r="F77" i="103"/>
  <c r="F70" i="103"/>
  <c r="F66" i="103"/>
  <c r="F65" i="103"/>
  <c r="F58" i="103"/>
  <c r="F57" i="103"/>
  <c r="F46" i="103"/>
  <c r="F45" i="103"/>
  <c r="F60" i="103"/>
  <c r="F59" i="103"/>
  <c r="F48" i="103"/>
  <c r="F47" i="103"/>
  <c r="F80" i="103"/>
  <c r="F53" i="103"/>
  <c r="F33" i="103"/>
  <c r="F29" i="103"/>
  <c r="F25" i="103"/>
  <c r="F24" i="103"/>
  <c r="F84" i="103"/>
  <c r="F44" i="103"/>
  <c r="F23" i="103"/>
  <c r="F39" i="103"/>
  <c r="F35" i="103"/>
  <c r="F34" i="103"/>
  <c r="D21" i="103"/>
  <c r="F21" i="103" s="1"/>
  <c r="F73" i="103"/>
  <c r="F62" i="103"/>
  <c r="F30" i="103"/>
  <c r="F26" i="103"/>
  <c r="F71" i="103"/>
  <c r="F54" i="103"/>
  <c r="F40" i="103"/>
  <c r="F36" i="103"/>
  <c r="L12" i="103"/>
  <c r="F67" i="103"/>
  <c r="F49" i="103"/>
  <c r="F31" i="103"/>
  <c r="F27" i="103"/>
  <c r="F74" i="103"/>
  <c r="F42" i="103"/>
  <c r="F37" i="103"/>
  <c r="F63" i="103"/>
  <c r="F32" i="103"/>
  <c r="F28" i="103"/>
  <c r="F61" i="103"/>
  <c r="F50" i="103"/>
  <c r="F18" i="103"/>
  <c r="F38" i="103"/>
  <c r="F43" i="103"/>
  <c r="N53" i="103"/>
  <c r="Z59" i="103"/>
  <c r="X59" i="103"/>
  <c r="L16" i="98"/>
  <c r="J20" i="98"/>
  <c r="D27" i="98"/>
  <c r="R42" i="100"/>
  <c r="Z32" i="101"/>
  <c r="H46" i="102"/>
  <c r="N16" i="102"/>
  <c r="J63" i="105"/>
  <c r="J53" i="105"/>
  <c r="J82" i="105"/>
  <c r="J73" i="105"/>
  <c r="J69" i="105"/>
  <c r="J55" i="105"/>
  <c r="J86" i="105"/>
  <c r="J57" i="105"/>
  <c r="J75" i="105"/>
  <c r="J65" i="105"/>
  <c r="J59" i="105"/>
  <c r="J47" i="105"/>
  <c r="J77" i="105"/>
  <c r="J71" i="105"/>
  <c r="J67" i="105"/>
  <c r="J78" i="105"/>
  <c r="J79" i="105"/>
  <c r="J56" i="105"/>
  <c r="J42" i="105"/>
  <c r="J18" i="105"/>
  <c r="J43" i="105"/>
  <c r="J37" i="105"/>
  <c r="J80" i="105"/>
  <c r="J62" i="105"/>
  <c r="J50" i="105"/>
  <c r="J44" i="105"/>
  <c r="J32" i="105"/>
  <c r="J28" i="105"/>
  <c r="J76" i="105"/>
  <c r="J45" i="105"/>
  <c r="J19" i="105"/>
  <c r="J54" i="105"/>
  <c r="J46" i="105"/>
  <c r="J38" i="105"/>
  <c r="J24" i="105"/>
  <c r="J74" i="105"/>
  <c r="J51" i="105"/>
  <c r="J33" i="105"/>
  <c r="J29" i="105"/>
  <c r="J25" i="105"/>
  <c r="J23" i="105"/>
  <c r="J70" i="105"/>
  <c r="J68" i="105"/>
  <c r="J60" i="105"/>
  <c r="J34" i="105"/>
  <c r="H21" i="105"/>
  <c r="J66" i="105"/>
  <c r="J48" i="105"/>
  <c r="J30" i="105"/>
  <c r="J26" i="105"/>
  <c r="J58" i="105"/>
  <c r="J52" i="105"/>
  <c r="J17" i="105"/>
  <c r="J36" i="105"/>
  <c r="J61" i="105"/>
  <c r="J40" i="105"/>
  <c r="J31" i="105"/>
  <c r="J35" i="105"/>
  <c r="J72" i="105"/>
  <c r="J41" i="105"/>
  <c r="J39" i="105"/>
  <c r="J27" i="105"/>
  <c r="J49" i="105"/>
  <c r="J27" i="98"/>
  <c r="R34" i="98"/>
  <c r="R33" i="100"/>
  <c r="R32" i="100"/>
  <c r="R57" i="100"/>
  <c r="R44" i="100"/>
  <c r="R43" i="100"/>
  <c r="R62" i="100"/>
  <c r="R59" i="100"/>
  <c r="R35" i="100"/>
  <c r="R34" i="100"/>
  <c r="R26" i="100"/>
  <c r="R15" i="100"/>
  <c r="R46" i="100"/>
  <c r="R45" i="100"/>
  <c r="R37" i="100"/>
  <c r="R36" i="100"/>
  <c r="R16" i="100"/>
  <c r="R47" i="100"/>
  <c r="R27" i="100"/>
  <c r="R39" i="100"/>
  <c r="R38" i="100"/>
  <c r="R49" i="100"/>
  <c r="R48" i="100"/>
  <c r="R41" i="100"/>
  <c r="R40" i="100"/>
  <c r="R29" i="100"/>
  <c r="R28" i="100"/>
  <c r="R21" i="100"/>
  <c r="R19" i="100"/>
  <c r="X12" i="100"/>
  <c r="Z12" i="100" s="1"/>
  <c r="R24" i="100"/>
  <c r="R23" i="100"/>
  <c r="P19" i="100"/>
  <c r="R50" i="100"/>
  <c r="Z53" i="100"/>
  <c r="T77" i="97"/>
  <c r="Z77" i="97" s="1"/>
  <c r="X20" i="99"/>
  <c r="Z20" i="99" s="1"/>
  <c r="Z21" i="100"/>
  <c r="L35" i="100"/>
  <c r="X53" i="100"/>
  <c r="R16" i="101"/>
  <c r="L16" i="97"/>
  <c r="N16" i="97" s="1"/>
  <c r="X22" i="97"/>
  <c r="Z22" i="97" s="1"/>
  <c r="L52" i="97"/>
  <c r="N52" i="97" s="1"/>
  <c r="J14" i="98"/>
  <c r="R17" i="100"/>
  <c r="R25" i="100"/>
  <c r="Z16" i="101"/>
  <c r="R45" i="101"/>
  <c r="R49" i="101"/>
  <c r="R56" i="101"/>
  <c r="R64" i="101"/>
  <c r="L18" i="98"/>
  <c r="N19" i="98"/>
  <c r="L39" i="100"/>
  <c r="N39" i="100" s="1"/>
  <c r="R55" i="100"/>
  <c r="X72" i="101"/>
  <c r="R22" i="98"/>
  <c r="J25" i="98"/>
  <c r="X29" i="100"/>
  <c r="Z29" i="100" s="1"/>
  <c r="R31" i="100"/>
  <c r="R52" i="100"/>
  <c r="R47" i="99"/>
  <c r="R50" i="99"/>
  <c r="F27" i="100"/>
  <c r="V30" i="100"/>
  <c r="V42" i="100"/>
  <c r="F46" i="100"/>
  <c r="F47" i="100"/>
  <c r="V50" i="100"/>
  <c r="V52" i="100"/>
  <c r="V25" i="101"/>
  <c r="V46" i="101"/>
  <c r="V77" i="101"/>
  <c r="N30" i="102"/>
  <c r="L30" i="102"/>
  <c r="Z34" i="102"/>
  <c r="Z23" i="103"/>
  <c r="X77" i="103"/>
  <c r="Z77" i="103" s="1"/>
  <c r="L14" i="98"/>
  <c r="R15" i="99"/>
  <c r="R20" i="99"/>
  <c r="J38" i="99"/>
  <c r="R45" i="99"/>
  <c r="F15" i="100"/>
  <c r="F16" i="100"/>
  <c r="V23" i="100"/>
  <c r="V31" i="100"/>
  <c r="F35" i="100"/>
  <c r="F36" i="100"/>
  <c r="V53" i="100"/>
  <c r="V55" i="100"/>
  <c r="F59" i="100"/>
  <c r="F62" i="100"/>
  <c r="V16" i="101"/>
  <c r="V28" i="101"/>
  <c r="V32" i="101"/>
  <c r="V41" i="101"/>
  <c r="Z56" i="101"/>
  <c r="V62" i="101"/>
  <c r="J73" i="103"/>
  <c r="J63" i="103"/>
  <c r="J53" i="103"/>
  <c r="J74" i="103"/>
  <c r="J76" i="103"/>
  <c r="J64" i="103"/>
  <c r="J56" i="103"/>
  <c r="J77" i="103"/>
  <c r="J65" i="103"/>
  <c r="J57" i="103"/>
  <c r="J78" i="103"/>
  <c r="J70" i="103"/>
  <c r="J66" i="103"/>
  <c r="J58" i="103"/>
  <c r="J59" i="103"/>
  <c r="J47" i="103"/>
  <c r="J71" i="103"/>
  <c r="J67" i="103"/>
  <c r="J61" i="103"/>
  <c r="J49" i="103"/>
  <c r="J84" i="103"/>
  <c r="J44" i="103"/>
  <c r="J34" i="103"/>
  <c r="H21" i="103"/>
  <c r="J68" i="103"/>
  <c r="J48" i="103"/>
  <c r="J39" i="103"/>
  <c r="J35" i="103"/>
  <c r="J62" i="103"/>
  <c r="J51" i="103"/>
  <c r="J30" i="103"/>
  <c r="J26" i="103"/>
  <c r="J45" i="103"/>
  <c r="J54" i="103"/>
  <c r="J40" i="103"/>
  <c r="J36" i="103"/>
  <c r="N12" i="103"/>
  <c r="J41" i="103"/>
  <c r="J31" i="103"/>
  <c r="J27" i="103"/>
  <c r="J17" i="103"/>
  <c r="J69" i="103"/>
  <c r="J60" i="103"/>
  <c r="J55" i="103"/>
  <c r="J18" i="103"/>
  <c r="J52" i="103"/>
  <c r="J43" i="103"/>
  <c r="J32" i="103"/>
  <c r="J28" i="103"/>
  <c r="J80" i="103"/>
  <c r="J50" i="103"/>
  <c r="J19" i="103"/>
  <c r="L47" i="103"/>
  <c r="X73" i="103"/>
  <c r="Z73" i="103" s="1"/>
  <c r="L12" i="98"/>
  <c r="F25" i="98"/>
  <c r="N12" i="99"/>
  <c r="R14" i="99"/>
  <c r="J36" i="99"/>
  <c r="R40" i="99"/>
  <c r="V17" i="100"/>
  <c r="V19" i="100"/>
  <c r="V21" i="100"/>
  <c r="F26" i="100"/>
  <c r="V29" i="100"/>
  <c r="F33" i="100"/>
  <c r="F34" i="100"/>
  <c r="V41" i="100"/>
  <c r="V49" i="100"/>
  <c r="D52" i="100"/>
  <c r="L52" i="100" s="1"/>
  <c r="N52" i="100" s="1"/>
  <c r="V38" i="101"/>
  <c r="N40" i="101"/>
  <c r="V51" i="101"/>
  <c r="T72" i="101"/>
  <c r="X73" i="101"/>
  <c r="Z73" i="101" s="1"/>
  <c r="N19" i="102"/>
  <c r="R77" i="103"/>
  <c r="R76" i="103"/>
  <c r="R65" i="103"/>
  <c r="R64" i="103"/>
  <c r="R57" i="103"/>
  <c r="R56" i="103"/>
  <c r="R45" i="103"/>
  <c r="R44" i="103"/>
  <c r="R80" i="103"/>
  <c r="R61" i="103"/>
  <c r="R60" i="103"/>
  <c r="R49" i="103"/>
  <c r="R48" i="103"/>
  <c r="R71" i="103"/>
  <c r="R67" i="103"/>
  <c r="R84" i="103"/>
  <c r="R62" i="103"/>
  <c r="R51" i="103"/>
  <c r="R50" i="103"/>
  <c r="R73" i="103"/>
  <c r="R72" i="103"/>
  <c r="R68" i="103"/>
  <c r="R53" i="103"/>
  <c r="R52" i="103"/>
  <c r="R54" i="103"/>
  <c r="R41" i="103"/>
  <c r="R40" i="103"/>
  <c r="R36" i="103"/>
  <c r="R17" i="103"/>
  <c r="R78" i="103"/>
  <c r="R31" i="103"/>
  <c r="R27" i="103"/>
  <c r="R55" i="103"/>
  <c r="R18" i="103"/>
  <c r="R69" i="103"/>
  <c r="R46" i="103"/>
  <c r="R42" i="103"/>
  <c r="R37" i="103"/>
  <c r="R74" i="103"/>
  <c r="R43" i="103"/>
  <c r="R32" i="103"/>
  <c r="R28" i="103"/>
  <c r="R63" i="103"/>
  <c r="R47" i="103"/>
  <c r="R24" i="103"/>
  <c r="R19" i="103"/>
  <c r="R34" i="103"/>
  <c r="R33" i="103"/>
  <c r="R29" i="103"/>
  <c r="R25" i="103"/>
  <c r="P21" i="103"/>
  <c r="J21" i="103"/>
  <c r="N24" i="103"/>
  <c r="L24" i="103"/>
  <c r="R26" i="103"/>
  <c r="J29" i="103"/>
  <c r="R58" i="103"/>
  <c r="J72" i="103"/>
  <c r="J35" i="99"/>
  <c r="R38" i="99"/>
  <c r="R41" i="99"/>
  <c r="R43" i="99"/>
  <c r="V22" i="100"/>
  <c r="V38" i="100"/>
  <c r="F43" i="100"/>
  <c r="F52" i="100"/>
  <c r="F57" i="100"/>
  <c r="V24" i="101"/>
  <c r="V48" i="101"/>
  <c r="N50" i="101"/>
  <c r="V55" i="101"/>
  <c r="L61" i="101"/>
  <c r="N61" i="101" s="1"/>
  <c r="V70" i="101"/>
  <c r="V73" i="101"/>
  <c r="Z45" i="103"/>
  <c r="X45" i="103"/>
  <c r="J39" i="104"/>
  <c r="J29" i="104"/>
  <c r="J40" i="104"/>
  <c r="J30" i="104"/>
  <c r="J24" i="104"/>
  <c r="J41" i="104"/>
  <c r="J31" i="104"/>
  <c r="J25" i="104"/>
  <c r="J23" i="104"/>
  <c r="J42" i="104"/>
  <c r="J32" i="104"/>
  <c r="H21" i="104"/>
  <c r="J43" i="104"/>
  <c r="J33" i="104"/>
  <c r="J45" i="104"/>
  <c r="J35" i="104"/>
  <c r="J36" i="104"/>
  <c r="J49" i="104"/>
  <c r="J38" i="104"/>
  <c r="J34" i="104"/>
  <c r="J17" i="104"/>
  <c r="J19" i="104"/>
  <c r="J27" i="104"/>
  <c r="J37" i="104"/>
  <c r="J28" i="104"/>
  <c r="J26" i="104"/>
  <c r="Z59" i="107"/>
  <c r="X59" i="107"/>
  <c r="F31" i="100"/>
  <c r="F32" i="100"/>
  <c r="V39" i="100"/>
  <c r="V47" i="100"/>
  <c r="F53" i="100"/>
  <c r="F55" i="100"/>
  <c r="V27" i="101"/>
  <c r="L18" i="102"/>
  <c r="N18" i="102" s="1"/>
  <c r="L12" i="104"/>
  <c r="N12" i="104" s="1"/>
  <c r="J18" i="104"/>
  <c r="R36" i="99"/>
  <c r="R37" i="99"/>
  <c r="L13" i="100"/>
  <c r="V16" i="100"/>
  <c r="D19" i="100"/>
  <c r="F24" i="100"/>
  <c r="F25" i="100"/>
  <c r="V36" i="100"/>
  <c r="T20" i="101"/>
  <c r="V30" i="101"/>
  <c r="X67" i="101"/>
  <c r="N39" i="102"/>
  <c r="R70" i="103"/>
  <c r="N55" i="105"/>
  <c r="Z59" i="105"/>
  <c r="N13" i="100"/>
  <c r="F19" i="100"/>
  <c r="F21" i="100"/>
  <c r="F29" i="100"/>
  <c r="F30" i="100"/>
  <c r="V37" i="100"/>
  <c r="F41" i="100"/>
  <c r="F42" i="100"/>
  <c r="V45" i="100"/>
  <c r="F49" i="100"/>
  <c r="F50" i="100"/>
  <c r="V57" i="101"/>
  <c r="V49" i="101"/>
  <c r="V37" i="101"/>
  <c r="V64" i="101"/>
  <c r="V42" i="101"/>
  <c r="V34" i="101"/>
  <c r="V65" i="101"/>
  <c r="V61" i="101"/>
  <c r="V53" i="101"/>
  <c r="V60" i="101"/>
  <c r="V44" i="101"/>
  <c r="V67" i="101"/>
  <c r="V43" i="101"/>
  <c r="V35" i="101"/>
  <c r="V69" i="101"/>
  <c r="V45" i="101"/>
  <c r="V68" i="101"/>
  <c r="V56" i="101"/>
  <c r="V18" i="101"/>
  <c r="V20" i="101"/>
  <c r="V22" i="101"/>
  <c r="V40" i="101"/>
  <c r="V63" i="101"/>
  <c r="Z67" i="101"/>
  <c r="N14" i="102"/>
  <c r="L14" i="102"/>
  <c r="T12" i="103"/>
  <c r="X12" i="103" s="1"/>
  <c r="R38" i="103"/>
  <c r="J42" i="103"/>
  <c r="J46" i="103"/>
  <c r="J21" i="99"/>
  <c r="R22" i="99"/>
  <c r="J25" i="99"/>
  <c r="R26" i="99"/>
  <c r="J31" i="99"/>
  <c r="R34" i="99"/>
  <c r="J47" i="99"/>
  <c r="J50" i="99"/>
  <c r="F22" i="100"/>
  <c r="F23" i="100"/>
  <c r="V26" i="100"/>
  <c r="V34" i="100"/>
  <c r="V46" i="100"/>
  <c r="V23" i="101"/>
  <c r="Z44" i="101"/>
  <c r="V59" i="101"/>
  <c r="V72" i="101"/>
  <c r="Z32" i="102"/>
  <c r="Z39" i="102"/>
  <c r="X15" i="103"/>
  <c r="Z15" i="103" s="1"/>
  <c r="J23" i="103"/>
  <c r="J25" i="103"/>
  <c r="L61" i="103"/>
  <c r="N61" i="103" s="1"/>
  <c r="J20" i="99"/>
  <c r="L12" i="100"/>
  <c r="V15" i="100"/>
  <c r="F28" i="100"/>
  <c r="V35" i="100"/>
  <c r="F39" i="100"/>
  <c r="F40" i="100"/>
  <c r="V43" i="100"/>
  <c r="V57" i="100"/>
  <c r="Z12" i="101"/>
  <c r="V26" i="101"/>
  <c r="V29" i="101"/>
  <c r="V33" i="101"/>
  <c r="V36" i="101"/>
  <c r="V50" i="101"/>
  <c r="X52" i="101"/>
  <c r="Z52" i="101" s="1"/>
  <c r="V54" i="101"/>
  <c r="V66" i="101"/>
  <c r="X34" i="103"/>
  <c r="Z34" i="103" s="1"/>
  <c r="X80" i="103"/>
  <c r="Z80" i="103"/>
  <c r="J29" i="102"/>
  <c r="V33" i="102"/>
  <c r="F37" i="102"/>
  <c r="F38" i="102"/>
  <c r="J39" i="102"/>
  <c r="R42" i="102"/>
  <c r="N43" i="103"/>
  <c r="V41" i="104"/>
  <c r="V33" i="104"/>
  <c r="V25" i="104"/>
  <c r="V32" i="104"/>
  <c r="V45" i="104"/>
  <c r="V43" i="104"/>
  <c r="V35" i="104"/>
  <c r="V34" i="104"/>
  <c r="V26" i="104"/>
  <c r="V37" i="104"/>
  <c r="V17" i="104"/>
  <c r="V36" i="104"/>
  <c r="V28" i="104"/>
  <c r="V49" i="104"/>
  <c r="V39" i="104"/>
  <c r="V27" i="104"/>
  <c r="V29" i="104"/>
  <c r="V40" i="104"/>
  <c r="V24" i="104"/>
  <c r="V30" i="104"/>
  <c r="Z14" i="105"/>
  <c r="N51" i="105"/>
  <c r="V61" i="107"/>
  <c r="V49" i="107"/>
  <c r="V33" i="107"/>
  <c r="V29" i="107"/>
  <c r="V25" i="107"/>
  <c r="V72" i="107"/>
  <c r="V68" i="107"/>
  <c r="V60" i="107"/>
  <c r="V48" i="107"/>
  <c r="V85" i="107"/>
  <c r="V63" i="107"/>
  <c r="V51" i="107"/>
  <c r="V39" i="107"/>
  <c r="V35" i="107"/>
  <c r="V74" i="107"/>
  <c r="V62" i="107"/>
  <c r="V50" i="107"/>
  <c r="V30" i="107"/>
  <c r="V26" i="107"/>
  <c r="V73" i="107"/>
  <c r="V69" i="107"/>
  <c r="V53" i="107"/>
  <c r="V41" i="107"/>
  <c r="V17" i="107"/>
  <c r="V76" i="107"/>
  <c r="V64" i="107"/>
  <c r="V52" i="107"/>
  <c r="V40" i="107"/>
  <c r="V36" i="107"/>
  <c r="V75" i="107"/>
  <c r="V55" i="107"/>
  <c r="V43" i="107"/>
  <c r="V31" i="107"/>
  <c r="V27" i="107"/>
  <c r="V77" i="107"/>
  <c r="V65" i="107"/>
  <c r="V57" i="107"/>
  <c r="V45" i="107"/>
  <c r="V37" i="107"/>
  <c r="V56" i="107"/>
  <c r="V44" i="107"/>
  <c r="V32" i="107"/>
  <c r="V28" i="107"/>
  <c r="V24" i="107"/>
  <c r="V81" i="107"/>
  <c r="V79" i="107"/>
  <c r="V71" i="107"/>
  <c r="V67" i="107"/>
  <c r="V59" i="107"/>
  <c r="V47" i="107"/>
  <c r="V23" i="107"/>
  <c r="V21" i="107"/>
  <c r="V19" i="107"/>
  <c r="V46" i="107"/>
  <c r="V34" i="107"/>
  <c r="V58" i="107"/>
  <c r="V54" i="107"/>
  <c r="V70" i="107"/>
  <c r="V18" i="107"/>
  <c r="P35" i="108"/>
  <c r="F23" i="102"/>
  <c r="F27" i="102"/>
  <c r="J28" i="102"/>
  <c r="V34" i="102"/>
  <c r="J38" i="102"/>
  <c r="V42" i="102"/>
  <c r="V44" i="102"/>
  <c r="V46" i="102"/>
  <c r="F50" i="102"/>
  <c r="F53" i="102"/>
  <c r="X53" i="103"/>
  <c r="Z53" i="103" s="1"/>
  <c r="F38" i="104"/>
  <c r="F37" i="104"/>
  <c r="F18" i="104"/>
  <c r="F17" i="104"/>
  <c r="F29" i="104"/>
  <c r="F28" i="104"/>
  <c r="F54" i="104"/>
  <c r="F51" i="104"/>
  <c r="F40" i="104"/>
  <c r="F39" i="104"/>
  <c r="F19" i="104"/>
  <c r="F30" i="104"/>
  <c r="F41" i="104"/>
  <c r="F25" i="104"/>
  <c r="F24" i="104"/>
  <c r="F32" i="104"/>
  <c r="F31" i="104"/>
  <c r="F23" i="104"/>
  <c r="F21" i="104"/>
  <c r="F34" i="104"/>
  <c r="F33" i="104"/>
  <c r="F26" i="104"/>
  <c r="D21" i="104"/>
  <c r="V42" i="104"/>
  <c r="Z17" i="105"/>
  <c r="Z24" i="105"/>
  <c r="X24" i="105"/>
  <c r="L49" i="105"/>
  <c r="N49" i="105" s="1"/>
  <c r="V66" i="107"/>
  <c r="N12" i="102"/>
  <c r="R14" i="102"/>
  <c r="R16" i="102"/>
  <c r="R18" i="102"/>
  <c r="V20" i="102"/>
  <c r="V24" i="102"/>
  <c r="R29" i="102"/>
  <c r="R30" i="102"/>
  <c r="V32" i="102"/>
  <c r="J36" i="102"/>
  <c r="V40" i="102"/>
  <c r="J50" i="102"/>
  <c r="J53" i="102"/>
  <c r="Z75" i="103"/>
  <c r="L13" i="104"/>
  <c r="N13" i="104" s="1"/>
  <c r="T21" i="104"/>
  <c r="N33" i="104"/>
  <c r="N35" i="104"/>
  <c r="Z43" i="105"/>
  <c r="X49" i="105"/>
  <c r="Z53" i="105"/>
  <c r="N77" i="105"/>
  <c r="V38" i="107"/>
  <c r="T16" i="102"/>
  <c r="R19" i="102"/>
  <c r="F22" i="102"/>
  <c r="F26" i="102"/>
  <c r="V29" i="102"/>
  <c r="R38" i="102"/>
  <c r="R39" i="102"/>
  <c r="V41" i="102"/>
  <c r="F48" i="102"/>
  <c r="N49" i="103"/>
  <c r="Z65" i="103"/>
  <c r="P12" i="104"/>
  <c r="X13" i="104"/>
  <c r="V18" i="104"/>
  <c r="V21" i="104"/>
  <c r="N37" i="104"/>
  <c r="L37" i="104"/>
  <c r="F43" i="104"/>
  <c r="N23" i="105"/>
  <c r="Z49" i="105"/>
  <c r="V14" i="102"/>
  <c r="V16" i="102"/>
  <c r="V18" i="102"/>
  <c r="J22" i="102"/>
  <c r="J26" i="102"/>
  <c r="R27" i="102"/>
  <c r="R28" i="102"/>
  <c r="V30" i="102"/>
  <c r="F34" i="102"/>
  <c r="F35" i="102"/>
  <c r="V38" i="102"/>
  <c r="F44" i="102"/>
  <c r="F46" i="102"/>
  <c r="J48" i="102"/>
  <c r="Z13" i="104"/>
  <c r="F27" i="104"/>
  <c r="Z28" i="104"/>
  <c r="Z41" i="105"/>
  <c r="Z45" i="105"/>
  <c r="L53" i="107"/>
  <c r="N53" i="107" s="1"/>
  <c r="Z57" i="107"/>
  <c r="X12" i="102"/>
  <c r="V19" i="102"/>
  <c r="V23" i="102"/>
  <c r="V27" i="102"/>
  <c r="J35" i="102"/>
  <c r="R36" i="102"/>
  <c r="R37" i="102"/>
  <c r="V39" i="102"/>
  <c r="X43" i="103"/>
  <c r="Z43" i="103" s="1"/>
  <c r="N51" i="103"/>
  <c r="Z24" i="104"/>
  <c r="Z31" i="104"/>
  <c r="X31" i="104"/>
  <c r="X39" i="104"/>
  <c r="F47" i="104"/>
  <c r="T12" i="105"/>
  <c r="Z13" i="105"/>
  <c r="Z15" i="105"/>
  <c r="Z55" i="103"/>
  <c r="V31" i="104"/>
  <c r="Z39" i="104"/>
  <c r="N51" i="107"/>
  <c r="Z81" i="107"/>
  <c r="X81" i="107"/>
  <c r="D16" i="102"/>
  <c r="J21" i="102"/>
  <c r="R22" i="102"/>
  <c r="J25" i="102"/>
  <c r="R26" i="102"/>
  <c r="J33" i="102"/>
  <c r="V37" i="102"/>
  <c r="F41" i="102"/>
  <c r="F42" i="102"/>
  <c r="R48" i="102"/>
  <c r="Z57" i="103"/>
  <c r="N14" i="104"/>
  <c r="N17" i="104"/>
  <c r="L17" i="104"/>
  <c r="F49" i="104"/>
  <c r="L34" i="105"/>
  <c r="N34" i="105" s="1"/>
  <c r="T21" i="107"/>
  <c r="L49" i="107"/>
  <c r="N49" i="107" s="1"/>
  <c r="F14" i="102"/>
  <c r="F16" i="102"/>
  <c r="F18" i="102"/>
  <c r="V22" i="102"/>
  <c r="V26" i="102"/>
  <c r="F30" i="102"/>
  <c r="J32" i="102"/>
  <c r="V48" i="102"/>
  <c r="V50" i="102"/>
  <c r="X23" i="104"/>
  <c r="Z23" i="104" s="1"/>
  <c r="F36" i="104"/>
  <c r="F42" i="104"/>
  <c r="D12" i="105"/>
  <c r="L14" i="105"/>
  <c r="V42" i="107"/>
  <c r="R86" i="105"/>
  <c r="R64" i="105"/>
  <c r="R57" i="105"/>
  <c r="R56" i="105"/>
  <c r="R75" i="105"/>
  <c r="R74" i="105"/>
  <c r="R70" i="105"/>
  <c r="R59" i="105"/>
  <c r="R58" i="105"/>
  <c r="R77" i="105"/>
  <c r="R76" i="105"/>
  <c r="R60" i="105"/>
  <c r="R49" i="105"/>
  <c r="R48" i="105"/>
  <c r="R79" i="105"/>
  <c r="R78" i="105"/>
  <c r="R51" i="105"/>
  <c r="R50" i="105"/>
  <c r="R80" i="105"/>
  <c r="R72" i="105"/>
  <c r="R68" i="105"/>
  <c r="R84" i="105"/>
  <c r="R82" i="105"/>
  <c r="R18" i="105"/>
  <c r="R42" i="105"/>
  <c r="R43" i="105"/>
  <c r="R73" i="105"/>
  <c r="N23" i="107"/>
  <c r="Z53" i="107"/>
  <c r="R27" i="105"/>
  <c r="R31" i="105"/>
  <c r="R53" i="105"/>
  <c r="R61" i="105"/>
  <c r="L75" i="105"/>
  <c r="N75" i="105" s="1"/>
  <c r="F70" i="107"/>
  <c r="F54" i="107"/>
  <c r="F53" i="107"/>
  <c r="F42" i="107"/>
  <c r="F41" i="107"/>
  <c r="F18" i="107"/>
  <c r="F17" i="107"/>
  <c r="F77" i="107"/>
  <c r="F76" i="107"/>
  <c r="F65" i="107"/>
  <c r="F37" i="107"/>
  <c r="F56" i="107"/>
  <c r="F55" i="107"/>
  <c r="F44" i="107"/>
  <c r="F43" i="107"/>
  <c r="F32" i="107"/>
  <c r="F28" i="107"/>
  <c r="F79" i="107"/>
  <c r="F78" i="107"/>
  <c r="F71" i="107"/>
  <c r="F19" i="107"/>
  <c r="F66" i="107"/>
  <c r="F58" i="107"/>
  <c r="F57" i="107"/>
  <c r="F46" i="107"/>
  <c r="F45" i="107"/>
  <c r="F38" i="107"/>
  <c r="F33" i="107"/>
  <c r="F29" i="107"/>
  <c r="F25" i="107"/>
  <c r="F24" i="107"/>
  <c r="F81" i="107"/>
  <c r="F72" i="107"/>
  <c r="F68" i="107"/>
  <c r="F67" i="107"/>
  <c r="F60" i="107"/>
  <c r="F59" i="107"/>
  <c r="F48" i="107"/>
  <c r="F47" i="107"/>
  <c r="F23" i="107"/>
  <c r="F62" i="107"/>
  <c r="F61" i="107"/>
  <c r="F50" i="107"/>
  <c r="F49" i="107"/>
  <c r="F30" i="107"/>
  <c r="F26" i="107"/>
  <c r="F73" i="107"/>
  <c r="F69" i="107"/>
  <c r="F64" i="107"/>
  <c r="F63" i="107"/>
  <c r="F52" i="107"/>
  <c r="F51" i="107"/>
  <c r="F40" i="107"/>
  <c r="F36" i="107"/>
  <c r="X23" i="107"/>
  <c r="Z23" i="107" s="1"/>
  <c r="Z55" i="107"/>
  <c r="X55" i="107"/>
  <c r="N18" i="108"/>
  <c r="L18" i="108"/>
  <c r="R52" i="105"/>
  <c r="Z75" i="105"/>
  <c r="F31" i="107"/>
  <c r="N41" i="107"/>
  <c r="L41" i="107"/>
  <c r="Z47" i="107"/>
  <c r="X47" i="107"/>
  <c r="F75" i="107"/>
  <c r="R26" i="105"/>
  <c r="R30" i="105"/>
  <c r="R66" i="105"/>
  <c r="P12" i="107"/>
  <c r="X13" i="107"/>
  <c r="Z45" i="107"/>
  <c r="X67" i="107"/>
  <c r="Z67" i="107" s="1"/>
  <c r="N14" i="105"/>
  <c r="R35" i="105"/>
  <c r="R39" i="105"/>
  <c r="R55" i="105"/>
  <c r="N57" i="105"/>
  <c r="Z77" i="105"/>
  <c r="Z79" i="105"/>
  <c r="Z13" i="107"/>
  <c r="F34" i="107"/>
  <c r="F39" i="107"/>
  <c r="Z41" i="107"/>
  <c r="N14" i="108"/>
  <c r="L14" i="108"/>
  <c r="R47" i="105"/>
  <c r="Z55" i="105"/>
  <c r="L17" i="107"/>
  <c r="Z43" i="107"/>
  <c r="X43" i="107"/>
  <c r="N61" i="107"/>
  <c r="L61" i="107"/>
  <c r="P88" i="105"/>
  <c r="R88" i="105" s="1"/>
  <c r="R25" i="105"/>
  <c r="R29" i="105"/>
  <c r="R33" i="105"/>
  <c r="R34" i="105"/>
  <c r="R63" i="105"/>
  <c r="R65" i="105"/>
  <c r="L14" i="107"/>
  <c r="N17" i="107"/>
  <c r="N63" i="107"/>
  <c r="N38" i="109"/>
  <c r="X14" i="105"/>
  <c r="R21" i="105"/>
  <c r="R23" i="105"/>
  <c r="R38" i="105"/>
  <c r="R46" i="105"/>
  <c r="R54" i="105"/>
  <c r="Z57" i="105"/>
  <c r="N59" i="105"/>
  <c r="N14" i="107"/>
  <c r="D21" i="107"/>
  <c r="F27" i="107"/>
  <c r="R19" i="105"/>
  <c r="R24" i="105"/>
  <c r="H12" i="107"/>
  <c r="Z17" i="107"/>
  <c r="N57" i="107"/>
  <c r="F74" i="107"/>
  <c r="H16" i="108"/>
  <c r="J25" i="108"/>
  <c r="F28" i="108"/>
  <c r="F60" i="109"/>
  <c r="F51" i="109"/>
  <c r="F43" i="109"/>
  <c r="F42" i="109"/>
  <c r="F64" i="109"/>
  <c r="F59" i="109"/>
  <c r="F53" i="109"/>
  <c r="F52" i="109"/>
  <c r="F29" i="109"/>
  <c r="F25" i="109"/>
  <c r="F21" i="109"/>
  <c r="F20" i="109"/>
  <c r="F35" i="109"/>
  <c r="F31" i="109"/>
  <c r="F30" i="109"/>
  <c r="D17" i="109"/>
  <c r="F54" i="109"/>
  <c r="F46" i="109"/>
  <c r="F45" i="109"/>
  <c r="F37" i="109"/>
  <c r="F36" i="109"/>
  <c r="F48" i="109"/>
  <c r="F47" i="109"/>
  <c r="F55" i="109"/>
  <c r="F39" i="109"/>
  <c r="F38" i="109"/>
  <c r="F27" i="109"/>
  <c r="F23" i="109"/>
  <c r="F50" i="109"/>
  <c r="F49" i="109"/>
  <c r="F57" i="109"/>
  <c r="F56" i="109"/>
  <c r="F41" i="109"/>
  <c r="F40" i="109"/>
  <c r="F33" i="109"/>
  <c r="F28" i="109"/>
  <c r="F24" i="109"/>
  <c r="F26" i="109"/>
  <c r="F34" i="109"/>
  <c r="X38" i="109"/>
  <c r="Z38" i="109" s="1"/>
  <c r="F26" i="108"/>
  <c r="F22" i="108"/>
  <c r="F35" i="108"/>
  <c r="F33" i="108"/>
  <c r="F25" i="108"/>
  <c r="R37" i="108"/>
  <c r="N30" i="109"/>
  <c r="F32" i="109"/>
  <c r="Z40" i="109"/>
  <c r="J27" i="108"/>
  <c r="J35" i="108"/>
  <c r="J33" i="108"/>
  <c r="J37" i="108"/>
  <c r="J31" i="108"/>
  <c r="J42" i="108"/>
  <c r="J39" i="108"/>
  <c r="J26" i="108"/>
  <c r="J22" i="108"/>
  <c r="R20" i="108"/>
  <c r="F31" i="108"/>
  <c r="J32" i="108"/>
  <c r="V37" i="108"/>
  <c r="F17" i="109"/>
  <c r="F22" i="109"/>
  <c r="X40" i="109"/>
  <c r="Z59" i="109"/>
  <c r="N12" i="108"/>
  <c r="R14" i="108"/>
  <c r="R16" i="108"/>
  <c r="R18" i="108"/>
  <c r="F24" i="108"/>
  <c r="V25" i="108"/>
  <c r="T12" i="109"/>
  <c r="X13" i="109"/>
  <c r="Z13" i="109" s="1"/>
  <c r="N20" i="109"/>
  <c r="R35" i="108"/>
  <c r="R33" i="108"/>
  <c r="R19" i="108"/>
  <c r="R42" i="108"/>
  <c r="R39" i="108"/>
  <c r="R23" i="108"/>
  <c r="T16" i="108"/>
  <c r="J24" i="108"/>
  <c r="R32" i="108"/>
  <c r="F39" i="108"/>
  <c r="L59" i="109"/>
  <c r="N59" i="109" s="1"/>
  <c r="V31" i="108"/>
  <c r="V29" i="108"/>
  <c r="V27" i="108"/>
  <c r="V28" i="108"/>
  <c r="V32" i="108"/>
  <c r="V14" i="108"/>
  <c r="V16" i="108"/>
  <c r="V18" i="108"/>
  <c r="V19" i="108"/>
  <c r="F21" i="108"/>
  <c r="P31" i="108"/>
  <c r="X31" i="108" s="1"/>
  <c r="Z31" i="108" s="1"/>
  <c r="Z32" i="108"/>
  <c r="R49" i="109"/>
  <c r="R54" i="109"/>
  <c r="X12" i="108"/>
  <c r="J21" i="108"/>
  <c r="R27" i="108"/>
  <c r="F29" i="108"/>
  <c r="R31" i="108"/>
  <c r="F15" i="109"/>
  <c r="F19" i="109"/>
  <c r="X20" i="109"/>
  <c r="Z20" i="109" s="1"/>
  <c r="Z49" i="109"/>
  <c r="N52" i="109"/>
  <c r="Z56" i="109"/>
  <c r="Z60" i="109"/>
  <c r="X74" i="107"/>
  <c r="Z74" i="107" s="1"/>
  <c r="Z12" i="108"/>
  <c r="R24" i="108"/>
  <c r="J29" i="108"/>
  <c r="L12" i="109"/>
  <c r="N12" i="109" s="1"/>
  <c r="H62" i="109"/>
  <c r="N19" i="109"/>
  <c r="D16" i="108"/>
  <c r="F23" i="108"/>
  <c r="V24" i="108"/>
  <c r="R26" i="108"/>
  <c r="X27" i="108"/>
  <c r="Z27" i="108" s="1"/>
  <c r="V35" i="108"/>
  <c r="V39" i="108"/>
  <c r="R36" i="109"/>
  <c r="R35" i="109"/>
  <c r="R31" i="109"/>
  <c r="R38" i="109"/>
  <c r="R37" i="109"/>
  <c r="R56" i="109"/>
  <c r="R55" i="109"/>
  <c r="R40" i="109"/>
  <c r="R39" i="109"/>
  <c r="R27" i="109"/>
  <c r="R23" i="109"/>
  <c r="R50" i="109"/>
  <c r="R60" i="109"/>
  <c r="R57" i="109"/>
  <c r="R42" i="109"/>
  <c r="R41" i="109"/>
  <c r="R33" i="109"/>
  <c r="R52" i="109"/>
  <c r="R51" i="109"/>
  <c r="R43" i="109"/>
  <c r="R20" i="109"/>
  <c r="R64" i="109"/>
  <c r="R34" i="109"/>
  <c r="R19" i="109"/>
  <c r="R15" i="109"/>
  <c r="R53" i="109"/>
  <c r="R30" i="109"/>
  <c r="R29" i="109"/>
  <c r="R25" i="109"/>
  <c r="R21" i="109"/>
  <c r="P17" i="109"/>
  <c r="R17" i="109" s="1"/>
  <c r="R45" i="109"/>
  <c r="R44" i="109"/>
  <c r="F44" i="109"/>
  <c r="F14" i="108"/>
  <c r="F16" i="108"/>
  <c r="F18" i="108"/>
  <c r="F20" i="108"/>
  <c r="R21" i="108"/>
  <c r="J23" i="108"/>
  <c r="V26" i="108"/>
  <c r="F37" i="108"/>
  <c r="X12" i="109"/>
  <c r="N15" i="109"/>
  <c r="J43" i="109"/>
  <c r="J51" i="109"/>
  <c r="J59" i="109"/>
  <c r="J24" i="109"/>
  <c r="J28" i="109"/>
  <c r="J42" i="109"/>
  <c r="J60" i="109"/>
  <c r="J62" i="109"/>
  <c r="D31" i="108"/>
  <c r="L31" i="108" s="1"/>
  <c r="N31" i="108" s="1"/>
  <c r="J33" i="109"/>
  <c r="J41" i="109"/>
  <c r="J57" i="109"/>
  <c r="L60" i="109"/>
  <c r="J40" i="109"/>
  <c r="J50" i="109"/>
  <c r="J56" i="109"/>
  <c r="P59" i="109"/>
  <c r="X59" i="109" s="1"/>
  <c r="N60" i="109"/>
  <c r="J49" i="109"/>
  <c r="J55" i="109"/>
  <c r="J32" i="109"/>
  <c r="J38" i="109"/>
  <c r="J48" i="109"/>
  <c r="J37" i="109"/>
  <c r="L38" i="109"/>
  <c r="J47" i="109"/>
  <c r="X52" i="109"/>
  <c r="Z52" i="109" s="1"/>
  <c r="J22" i="109"/>
  <c r="J26" i="109"/>
  <c r="J36" i="109"/>
  <c r="J46" i="109"/>
  <c r="J54" i="109"/>
  <c r="J30" i="109"/>
  <c r="J44" i="109"/>
  <c r="J20" i="109"/>
  <c r="J34" i="109"/>
  <c r="J52" i="109"/>
  <c r="H84" i="97" l="1"/>
  <c r="J80" i="97"/>
  <c r="T66" i="48"/>
  <c r="V62" i="48"/>
  <c r="R91" i="24"/>
  <c r="R90" i="24"/>
  <c r="R78" i="24"/>
  <c r="R74" i="24"/>
  <c r="P70" i="24"/>
  <c r="R70" i="24" s="1"/>
  <c r="R65" i="24"/>
  <c r="R61" i="24"/>
  <c r="R57" i="24"/>
  <c r="R53" i="24"/>
  <c r="R49" i="24"/>
  <c r="R108" i="24"/>
  <c r="R101" i="24"/>
  <c r="R100" i="24"/>
  <c r="R92" i="24"/>
  <c r="R84" i="24"/>
  <c r="X12" i="24"/>
  <c r="Z12" i="24" s="1"/>
  <c r="R79" i="24"/>
  <c r="R75" i="24"/>
  <c r="R102" i="24"/>
  <c r="R66" i="24"/>
  <c r="R62" i="24"/>
  <c r="R58" i="24"/>
  <c r="R54" i="24"/>
  <c r="R50" i="24"/>
  <c r="R110" i="24"/>
  <c r="R109" i="24"/>
  <c r="R94" i="24"/>
  <c r="R93" i="24"/>
  <c r="R80" i="24"/>
  <c r="R76" i="24"/>
  <c r="R111" i="24"/>
  <c r="R104" i="24"/>
  <c r="R103" i="24"/>
  <c r="R96" i="24"/>
  <c r="R95" i="24"/>
  <c r="R89" i="24"/>
  <c r="R88" i="24"/>
  <c r="R117" i="24"/>
  <c r="R107" i="24"/>
  <c r="R99" i="24"/>
  <c r="R83" i="24"/>
  <c r="R72" i="24"/>
  <c r="R98" i="24"/>
  <c r="R82" i="24"/>
  <c r="R68" i="24"/>
  <c r="R64" i="24"/>
  <c r="R60" i="24"/>
  <c r="R56" i="24"/>
  <c r="R52" i="24"/>
  <c r="R48" i="24"/>
  <c r="R105" i="24"/>
  <c r="R73" i="24"/>
  <c r="R87" i="24"/>
  <c r="R85" i="24"/>
  <c r="R77" i="24"/>
  <c r="R67" i="24"/>
  <c r="R63" i="24"/>
  <c r="R59" i="24"/>
  <c r="R55" i="24"/>
  <c r="R51" i="24"/>
  <c r="R47" i="24"/>
  <c r="R106" i="24"/>
  <c r="R97" i="24"/>
  <c r="R81" i="24"/>
  <c r="R113" i="24"/>
  <c r="R86" i="24"/>
  <c r="T93" i="33"/>
  <c r="F267" i="18"/>
  <c r="F258" i="18"/>
  <c r="F257" i="18"/>
  <c r="F230" i="18"/>
  <c r="F229" i="18"/>
  <c r="F218" i="18"/>
  <c r="F194" i="18"/>
  <c r="F266" i="18"/>
  <c r="F241" i="18"/>
  <c r="F209" i="18"/>
  <c r="F201" i="18"/>
  <c r="F200" i="18"/>
  <c r="F189" i="18"/>
  <c r="F185" i="18"/>
  <c r="F181" i="18"/>
  <c r="F260" i="18"/>
  <c r="F259" i="18"/>
  <c r="F252" i="18"/>
  <c r="F248" i="18"/>
  <c r="F236" i="18"/>
  <c r="F220" i="18"/>
  <c r="F219" i="18"/>
  <c r="F172" i="18"/>
  <c r="F168" i="18"/>
  <c r="F164" i="18"/>
  <c r="F160" i="18"/>
  <c r="F156" i="18"/>
  <c r="F276" i="18"/>
  <c r="F231" i="18"/>
  <c r="F211" i="18"/>
  <c r="F210" i="18"/>
  <c r="F203" i="18"/>
  <c r="F202" i="18"/>
  <c r="F195" i="18"/>
  <c r="F191" i="18"/>
  <c r="F190" i="18"/>
  <c r="F280" i="18"/>
  <c r="F275" i="18"/>
  <c r="F242" i="18"/>
  <c r="F222" i="18"/>
  <c r="F221" i="18"/>
  <c r="F186" i="18"/>
  <c r="F182" i="18"/>
  <c r="F274" i="18"/>
  <c r="F261" i="18"/>
  <c r="F253" i="18"/>
  <c r="F249" i="18"/>
  <c r="F237" i="18"/>
  <c r="F213" i="18"/>
  <c r="F212" i="18"/>
  <c r="F205" i="18"/>
  <c r="F204" i="18"/>
  <c r="F173" i="18"/>
  <c r="F169" i="18"/>
  <c r="F165" i="18"/>
  <c r="F273" i="18"/>
  <c r="F272" i="18"/>
  <c r="F255" i="18"/>
  <c r="F254" i="18"/>
  <c r="F239" i="18"/>
  <c r="F238" i="18"/>
  <c r="F271" i="18"/>
  <c r="F262" i="18"/>
  <c r="F250" i="18"/>
  <c r="F226" i="18"/>
  <c r="F225" i="18"/>
  <c r="F206" i="18"/>
  <c r="F174" i="18"/>
  <c r="F170" i="18"/>
  <c r="F166" i="18"/>
  <c r="F162" i="18"/>
  <c r="F269" i="18"/>
  <c r="F264" i="18"/>
  <c r="F263" i="18"/>
  <c r="F256" i="18"/>
  <c r="F240" i="18"/>
  <c r="F228" i="18"/>
  <c r="F227" i="18"/>
  <c r="F208" i="18"/>
  <c r="F207" i="18"/>
  <c r="F188" i="18"/>
  <c r="F184" i="18"/>
  <c r="F180" i="18"/>
  <c r="F179" i="18"/>
  <c r="F268" i="18"/>
  <c r="F251" i="18"/>
  <c r="F247" i="18"/>
  <c r="F246" i="18"/>
  <c r="F235" i="18"/>
  <c r="F234" i="18"/>
  <c r="F199" i="18"/>
  <c r="F198" i="18"/>
  <c r="F178" i="18"/>
  <c r="F171" i="18"/>
  <c r="F167" i="18"/>
  <c r="F163" i="18"/>
  <c r="F159" i="18"/>
  <c r="F155" i="18"/>
  <c r="F151" i="18"/>
  <c r="F147" i="18"/>
  <c r="F143" i="18"/>
  <c r="F217" i="18"/>
  <c r="F146" i="18"/>
  <c r="F139" i="18"/>
  <c r="F135" i="18"/>
  <c r="F131" i="18"/>
  <c r="F127" i="18"/>
  <c r="F123" i="18"/>
  <c r="F153" i="18"/>
  <c r="F223" i="18"/>
  <c r="F215" i="18"/>
  <c r="F192" i="18"/>
  <c r="F150" i="18"/>
  <c r="F197" i="18"/>
  <c r="F140" i="18"/>
  <c r="F136" i="18"/>
  <c r="F132" i="18"/>
  <c r="F128" i="18"/>
  <c r="F124" i="18"/>
  <c r="F244" i="18"/>
  <c r="F157" i="18"/>
  <c r="F154" i="18"/>
  <c r="F233" i="18"/>
  <c r="F144" i="18"/>
  <c r="F137" i="18"/>
  <c r="F133" i="18"/>
  <c r="F129" i="18"/>
  <c r="F125" i="18"/>
  <c r="F121" i="18"/>
  <c r="F120" i="18"/>
  <c r="F270" i="18"/>
  <c r="F148" i="18"/>
  <c r="F141" i="18"/>
  <c r="F224" i="18"/>
  <c r="F216" i="18"/>
  <c r="F214" i="18"/>
  <c r="F196" i="18"/>
  <c r="F161" i="18"/>
  <c r="F158" i="18"/>
  <c r="F243" i="18"/>
  <c r="F232" i="18"/>
  <c r="F142" i="18"/>
  <c r="F245" i="18"/>
  <c r="D176" i="18"/>
  <c r="F176" i="18" s="1"/>
  <c r="F149" i="18"/>
  <c r="F138" i="18"/>
  <c r="F126" i="18"/>
  <c r="F145" i="18"/>
  <c r="F193" i="18"/>
  <c r="F152" i="18"/>
  <c r="F134" i="18"/>
  <c r="F183" i="18"/>
  <c r="F122" i="18"/>
  <c r="F130" i="18"/>
  <c r="F187" i="18"/>
  <c r="L12" i="18"/>
  <c r="N12" i="18" s="1"/>
  <c r="Z18" i="50"/>
  <c r="T27" i="50"/>
  <c r="X18" i="37"/>
  <c r="P27" i="37"/>
  <c r="T27" i="38"/>
  <c r="Z18" i="38"/>
  <c r="L18" i="32"/>
  <c r="D27" i="32"/>
  <c r="T27" i="25"/>
  <c r="Z18" i="25"/>
  <c r="H27" i="10"/>
  <c r="N18" i="10"/>
  <c r="Z18" i="10"/>
  <c r="T27" i="10"/>
  <c r="X18" i="7"/>
  <c r="P27" i="7"/>
  <c r="D27" i="7"/>
  <c r="L18" i="7"/>
  <c r="T27" i="5"/>
  <c r="Z18" i="5"/>
  <c r="V54" i="109"/>
  <c r="V46" i="109"/>
  <c r="V38" i="109"/>
  <c r="V26" i="109"/>
  <c r="V22" i="109"/>
  <c r="V56" i="109"/>
  <c r="V48" i="109"/>
  <c r="V40" i="109"/>
  <c r="V32" i="109"/>
  <c r="Z12" i="109"/>
  <c r="V55" i="109"/>
  <c r="V60" i="109"/>
  <c r="V50" i="109"/>
  <c r="V42" i="109"/>
  <c r="V59" i="109"/>
  <c r="V57" i="109"/>
  <c r="V41" i="109"/>
  <c r="V52" i="109"/>
  <c r="V28" i="109"/>
  <c r="V24" i="109"/>
  <c r="V20" i="109"/>
  <c r="V51" i="109"/>
  <c r="V43" i="109"/>
  <c r="V64" i="109"/>
  <c r="V34" i="109"/>
  <c r="V30" i="109"/>
  <c r="T17" i="109"/>
  <c r="V17" i="109" s="1"/>
  <c r="V53" i="109"/>
  <c r="V45" i="109"/>
  <c r="V29" i="109"/>
  <c r="V25" i="109"/>
  <c r="V21" i="109"/>
  <c r="V44" i="109"/>
  <c r="V36" i="109"/>
  <c r="V47" i="109"/>
  <c r="V35" i="109"/>
  <c r="V31" i="109"/>
  <c r="V27" i="109"/>
  <c r="V49" i="109"/>
  <c r="V33" i="109"/>
  <c r="V37" i="109"/>
  <c r="V39" i="109"/>
  <c r="V19" i="109"/>
  <c r="V15" i="109"/>
  <c r="V23" i="109"/>
  <c r="T75" i="101"/>
  <c r="H82" i="103"/>
  <c r="T80" i="97"/>
  <c r="D75" i="101"/>
  <c r="L20" i="101"/>
  <c r="P22" i="86"/>
  <c r="X16" i="86"/>
  <c r="P30" i="85"/>
  <c r="R26" i="85"/>
  <c r="H80" i="87"/>
  <c r="H110" i="84"/>
  <c r="J70" i="76"/>
  <c r="J56" i="76"/>
  <c r="J89" i="76"/>
  <c r="J65" i="76"/>
  <c r="J61" i="76"/>
  <c r="J57" i="76"/>
  <c r="J55" i="76"/>
  <c r="J80" i="76"/>
  <c r="J66" i="76"/>
  <c r="H53" i="76"/>
  <c r="J48" i="76"/>
  <c r="J44" i="76"/>
  <c r="J40" i="76"/>
  <c r="J81" i="76"/>
  <c r="J71" i="76"/>
  <c r="J67" i="76"/>
  <c r="J90" i="76"/>
  <c r="J82" i="76"/>
  <c r="J72" i="76"/>
  <c r="J62" i="76"/>
  <c r="J58" i="76"/>
  <c r="J97" i="76"/>
  <c r="J91" i="76"/>
  <c r="J83" i="76"/>
  <c r="J73" i="76"/>
  <c r="J49" i="76"/>
  <c r="J45" i="76"/>
  <c r="J41" i="76"/>
  <c r="J94" i="76"/>
  <c r="J86" i="76"/>
  <c r="J76" i="76"/>
  <c r="J50" i="76"/>
  <c r="J46" i="76"/>
  <c r="J42" i="76"/>
  <c r="J87" i="76"/>
  <c r="J77" i="76"/>
  <c r="J69" i="76"/>
  <c r="J88" i="76"/>
  <c r="J78" i="76"/>
  <c r="J64" i="76"/>
  <c r="J60" i="76"/>
  <c r="J38" i="76"/>
  <c r="J79" i="76"/>
  <c r="J51" i="76"/>
  <c r="J47" i="76"/>
  <c r="J43" i="76"/>
  <c r="J39" i="76"/>
  <c r="J92" i="76"/>
  <c r="J84" i="76"/>
  <c r="N12" i="76"/>
  <c r="L12" i="76"/>
  <c r="J75" i="76"/>
  <c r="J68" i="76"/>
  <c r="J95" i="76"/>
  <c r="J59" i="76"/>
  <c r="J85" i="76"/>
  <c r="J74" i="76"/>
  <c r="J63" i="76"/>
  <c r="J96" i="76"/>
  <c r="J101" i="76"/>
  <c r="D68" i="79"/>
  <c r="L20" i="79"/>
  <c r="R113" i="74"/>
  <c r="R110" i="74"/>
  <c r="R98" i="74"/>
  <c r="R97" i="74"/>
  <c r="R77" i="74"/>
  <c r="R73" i="74"/>
  <c r="P69" i="74"/>
  <c r="R105" i="74"/>
  <c r="R89" i="74"/>
  <c r="R88" i="74"/>
  <c r="R64" i="74"/>
  <c r="R60" i="74"/>
  <c r="R56" i="74"/>
  <c r="R52" i="74"/>
  <c r="R111" i="74"/>
  <c r="R99" i="74"/>
  <c r="R83" i="74"/>
  <c r="R90" i="74"/>
  <c r="R78" i="74"/>
  <c r="R74" i="74"/>
  <c r="R115" i="74"/>
  <c r="R114" i="74"/>
  <c r="R65" i="74"/>
  <c r="R61" i="74"/>
  <c r="R57" i="74"/>
  <c r="R53" i="74"/>
  <c r="R106" i="74"/>
  <c r="R101" i="74"/>
  <c r="R100" i="74"/>
  <c r="R84" i="74"/>
  <c r="X12" i="74"/>
  <c r="Z12" i="74" s="1"/>
  <c r="R92" i="74"/>
  <c r="R91" i="74"/>
  <c r="R79" i="74"/>
  <c r="R75" i="74"/>
  <c r="R108" i="74"/>
  <c r="R107" i="74"/>
  <c r="R103" i="74"/>
  <c r="R94" i="74"/>
  <c r="R93" i="74"/>
  <c r="R85" i="74"/>
  <c r="R50" i="74"/>
  <c r="R81" i="74"/>
  <c r="R80" i="74"/>
  <c r="R76" i="74"/>
  <c r="R104" i="74"/>
  <c r="R96" i="74"/>
  <c r="R95" i="74"/>
  <c r="R72" i="74"/>
  <c r="R67" i="74"/>
  <c r="R63" i="74"/>
  <c r="R59" i="74"/>
  <c r="R55" i="74"/>
  <c r="R51" i="74"/>
  <c r="R119" i="74"/>
  <c r="R109" i="74"/>
  <c r="R87" i="74"/>
  <c r="R86" i="74"/>
  <c r="R82" i="74"/>
  <c r="R71" i="74"/>
  <c r="R69" i="74"/>
  <c r="R102" i="74"/>
  <c r="R62" i="74"/>
  <c r="R54" i="74"/>
  <c r="R66" i="74"/>
  <c r="R58" i="74"/>
  <c r="N16" i="63"/>
  <c r="H97" i="63"/>
  <c r="R94" i="76"/>
  <c r="F108" i="70"/>
  <c r="F99" i="70"/>
  <c r="F101" i="70"/>
  <c r="F100" i="70"/>
  <c r="F93" i="70"/>
  <c r="F95" i="70"/>
  <c r="F94" i="70"/>
  <c r="F102" i="70"/>
  <c r="F111" i="70"/>
  <c r="F106" i="70"/>
  <c r="F105" i="70"/>
  <c r="F115" i="70"/>
  <c r="F110" i="70"/>
  <c r="F109" i="70"/>
  <c r="F92" i="70"/>
  <c r="F91" i="70"/>
  <c r="F103" i="70"/>
  <c r="F71" i="70"/>
  <c r="F98" i="70"/>
  <c r="F86" i="70"/>
  <c r="F78" i="70"/>
  <c r="F77" i="70"/>
  <c r="F66" i="70"/>
  <c r="F62" i="70"/>
  <c r="F53" i="70"/>
  <c r="F49" i="70"/>
  <c r="F45" i="70"/>
  <c r="F41" i="70"/>
  <c r="F40" i="70"/>
  <c r="F96" i="70"/>
  <c r="F88" i="70"/>
  <c r="F87" i="70"/>
  <c r="F72" i="70"/>
  <c r="L12" i="70"/>
  <c r="F79" i="70"/>
  <c r="F67" i="70"/>
  <c r="F63" i="70"/>
  <c r="F59" i="70"/>
  <c r="F58" i="70"/>
  <c r="F89" i="70"/>
  <c r="F57" i="70"/>
  <c r="F55" i="70"/>
  <c r="F50" i="70"/>
  <c r="F46" i="70"/>
  <c r="F42" i="70"/>
  <c r="F90" i="70"/>
  <c r="F81" i="70"/>
  <c r="F80" i="70"/>
  <c r="F73" i="70"/>
  <c r="F69" i="70"/>
  <c r="F68" i="70"/>
  <c r="D55" i="70"/>
  <c r="F83" i="70"/>
  <c r="F82" i="70"/>
  <c r="F51" i="70"/>
  <c r="F47" i="70"/>
  <c r="F43" i="70"/>
  <c r="F74" i="70"/>
  <c r="F70" i="70"/>
  <c r="F44" i="70"/>
  <c r="F84" i="70"/>
  <c r="F76" i="70"/>
  <c r="F104" i="70"/>
  <c r="F64" i="70"/>
  <c r="F48" i="70"/>
  <c r="F61" i="70"/>
  <c r="F52" i="70"/>
  <c r="F85" i="70"/>
  <c r="F75" i="70"/>
  <c r="F65" i="70"/>
  <c r="F60" i="70"/>
  <c r="F97" i="70"/>
  <c r="Z16" i="61"/>
  <c r="X16" i="61"/>
  <c r="T48" i="61"/>
  <c r="T68" i="56"/>
  <c r="Z16" i="56"/>
  <c r="R115" i="39"/>
  <c r="R107" i="39"/>
  <c r="R103" i="39"/>
  <c r="R76" i="39"/>
  <c r="R75" i="39"/>
  <c r="R68" i="39"/>
  <c r="R67" i="39"/>
  <c r="R60" i="39"/>
  <c r="R59" i="39"/>
  <c r="R51" i="39"/>
  <c r="R47" i="39"/>
  <c r="R99" i="39"/>
  <c r="R98" i="39"/>
  <c r="R86" i="39"/>
  <c r="R42" i="39"/>
  <c r="R38" i="39"/>
  <c r="R93" i="39"/>
  <c r="R78" i="39"/>
  <c r="R77" i="39"/>
  <c r="R70" i="39"/>
  <c r="R69" i="39"/>
  <c r="R61" i="39"/>
  <c r="R123" i="39"/>
  <c r="R117" i="39"/>
  <c r="R116" i="39"/>
  <c r="R109" i="39"/>
  <c r="R108" i="39"/>
  <c r="R104" i="39"/>
  <c r="R100" i="39"/>
  <c r="R52" i="39"/>
  <c r="R48" i="39"/>
  <c r="R122" i="39"/>
  <c r="R88" i="39"/>
  <c r="R87" i="39"/>
  <c r="R80" i="39"/>
  <c r="R79" i="39"/>
  <c r="R71" i="39"/>
  <c r="R43" i="39"/>
  <c r="R39" i="39"/>
  <c r="R121" i="39"/>
  <c r="R118" i="39"/>
  <c r="R111" i="39"/>
  <c r="R110" i="39"/>
  <c r="R94" i="39"/>
  <c r="R62" i="39"/>
  <c r="R127" i="39"/>
  <c r="R120" i="39"/>
  <c r="R105" i="39"/>
  <c r="R101" i="39"/>
  <c r="R89" i="39"/>
  <c r="R82" i="39"/>
  <c r="R81" i="39"/>
  <c r="R54" i="39"/>
  <c r="R53" i="39"/>
  <c r="R49" i="39"/>
  <c r="R113" i="39"/>
  <c r="R112" i="39"/>
  <c r="R73" i="39"/>
  <c r="R72" i="39"/>
  <c r="R44" i="39"/>
  <c r="R40" i="39"/>
  <c r="R95" i="39"/>
  <c r="R84" i="39"/>
  <c r="R83" i="39"/>
  <c r="R64" i="39"/>
  <c r="R63" i="39"/>
  <c r="R56" i="39"/>
  <c r="R55" i="39"/>
  <c r="R36" i="39"/>
  <c r="R114" i="39"/>
  <c r="R106" i="39"/>
  <c r="R102" i="39"/>
  <c r="R91" i="39"/>
  <c r="R90" i="39"/>
  <c r="R74" i="39"/>
  <c r="R50" i="39"/>
  <c r="R85" i="39"/>
  <c r="R66" i="39"/>
  <c r="R65" i="39"/>
  <c r="R58" i="39"/>
  <c r="R57" i="39"/>
  <c r="R46" i="39"/>
  <c r="R45" i="39"/>
  <c r="R41" i="39"/>
  <c r="R37" i="39"/>
  <c r="R33" i="39"/>
  <c r="R97" i="39"/>
  <c r="P33" i="39"/>
  <c r="R35" i="39"/>
  <c r="R29" i="39"/>
  <c r="R92" i="39"/>
  <c r="R30" i="39"/>
  <c r="X12" i="39"/>
  <c r="R96" i="39"/>
  <c r="R31" i="39"/>
  <c r="T146" i="30"/>
  <c r="J138" i="30"/>
  <c r="J130" i="30"/>
  <c r="J116" i="30"/>
  <c r="J104" i="30"/>
  <c r="J94" i="30"/>
  <c r="J90" i="30"/>
  <c r="J80" i="30"/>
  <c r="J139" i="30"/>
  <c r="J117" i="30"/>
  <c r="J105" i="30"/>
  <c r="J95" i="30"/>
  <c r="J85" i="30"/>
  <c r="J81" i="30"/>
  <c r="J79" i="30"/>
  <c r="J144" i="30"/>
  <c r="J140" i="30"/>
  <c r="J124" i="30"/>
  <c r="J118" i="30"/>
  <c r="J106" i="30"/>
  <c r="J96" i="30"/>
  <c r="H77" i="30"/>
  <c r="J72" i="30"/>
  <c r="J68" i="30"/>
  <c r="J64" i="30"/>
  <c r="J60" i="30"/>
  <c r="J56" i="30"/>
  <c r="J143" i="30"/>
  <c r="J131" i="30"/>
  <c r="J125" i="30"/>
  <c r="J119" i="30"/>
  <c r="J107" i="30"/>
  <c r="J97" i="30"/>
  <c r="J91" i="30"/>
  <c r="J148" i="30"/>
  <c r="J142" i="30"/>
  <c r="J126" i="30"/>
  <c r="J108" i="30"/>
  <c r="J98" i="30"/>
  <c r="J86" i="30"/>
  <c r="J82" i="30"/>
  <c r="J127" i="30"/>
  <c r="J109" i="30"/>
  <c r="J99" i="30"/>
  <c r="J73" i="30"/>
  <c r="J69" i="30"/>
  <c r="J65" i="30"/>
  <c r="J61" i="30"/>
  <c r="J57" i="30"/>
  <c r="J132" i="30"/>
  <c r="J128" i="30"/>
  <c r="J120" i="30"/>
  <c r="J110" i="30"/>
  <c r="J100" i="30"/>
  <c r="J92" i="30"/>
  <c r="J133" i="30"/>
  <c r="J121" i="30"/>
  <c r="J111" i="30"/>
  <c r="J101" i="30"/>
  <c r="J87" i="30"/>
  <c r="J83" i="30"/>
  <c r="J53" i="30"/>
  <c r="J134" i="30"/>
  <c r="J122" i="30"/>
  <c r="J112" i="30"/>
  <c r="J102" i="30"/>
  <c r="J74" i="30"/>
  <c r="J70" i="30"/>
  <c r="J66" i="30"/>
  <c r="J62" i="30"/>
  <c r="J58" i="30"/>
  <c r="J54" i="30"/>
  <c r="J135" i="30"/>
  <c r="J129" i="30"/>
  <c r="J113" i="30"/>
  <c r="J93" i="30"/>
  <c r="J136" i="30"/>
  <c r="J114" i="30"/>
  <c r="J88" i="30"/>
  <c r="J84" i="30"/>
  <c r="J115" i="30"/>
  <c r="J89" i="30"/>
  <c r="J71" i="30"/>
  <c r="J63" i="30"/>
  <c r="J137" i="30"/>
  <c r="J103" i="30"/>
  <c r="J75" i="30"/>
  <c r="J55" i="30"/>
  <c r="J123" i="30"/>
  <c r="J67" i="30"/>
  <c r="J59" i="30"/>
  <c r="N12" i="30"/>
  <c r="L109" i="27"/>
  <c r="H278" i="18"/>
  <c r="J176" i="18"/>
  <c r="T91" i="9"/>
  <c r="Z16" i="9"/>
  <c r="L16" i="6"/>
  <c r="D22" i="6"/>
  <c r="H252" i="15"/>
  <c r="H91" i="9"/>
  <c r="N16" i="9"/>
  <c r="T27" i="112"/>
  <c r="Z18" i="112"/>
  <c r="T27" i="110"/>
  <c r="Z18" i="110"/>
  <c r="H27" i="49"/>
  <c r="N18" i="49"/>
  <c r="L18" i="47"/>
  <c r="D27" i="47"/>
  <c r="X18" i="40"/>
  <c r="P27" i="40"/>
  <c r="T27" i="34"/>
  <c r="Z18" i="34"/>
  <c r="H27" i="38"/>
  <c r="N18" i="38"/>
  <c r="L18" i="25"/>
  <c r="D27" i="25"/>
  <c r="T27" i="26"/>
  <c r="Z18" i="26"/>
  <c r="T27" i="23"/>
  <c r="Z18" i="23"/>
  <c r="N18" i="22"/>
  <c r="H27" i="22"/>
  <c r="H27" i="17"/>
  <c r="N18" i="17"/>
  <c r="T27" i="14"/>
  <c r="Z18" i="14"/>
  <c r="X18" i="13"/>
  <c r="P27" i="13"/>
  <c r="L18" i="4"/>
  <c r="D27" i="4"/>
  <c r="L18" i="10"/>
  <c r="D27" i="10"/>
  <c r="L17" i="109"/>
  <c r="N17" i="109" s="1"/>
  <c r="D62" i="109"/>
  <c r="L21" i="104"/>
  <c r="N21" i="104" s="1"/>
  <c r="D47" i="104"/>
  <c r="H47" i="99"/>
  <c r="P53" i="60"/>
  <c r="X49" i="60"/>
  <c r="Z49" i="60" s="1"/>
  <c r="J77" i="107"/>
  <c r="J65" i="107"/>
  <c r="J55" i="107"/>
  <c r="J43" i="107"/>
  <c r="J37" i="107"/>
  <c r="J78" i="107"/>
  <c r="J56" i="107"/>
  <c r="J44" i="107"/>
  <c r="J32" i="107"/>
  <c r="J28" i="107"/>
  <c r="J79" i="107"/>
  <c r="J71" i="107"/>
  <c r="J57" i="107"/>
  <c r="J45" i="107"/>
  <c r="J19" i="107"/>
  <c r="J66" i="107"/>
  <c r="J58" i="107"/>
  <c r="J46" i="107"/>
  <c r="J38" i="107"/>
  <c r="J24" i="107"/>
  <c r="J81" i="107"/>
  <c r="J67" i="107"/>
  <c r="J59" i="107"/>
  <c r="J47" i="107"/>
  <c r="J33" i="107"/>
  <c r="J29" i="107"/>
  <c r="J25" i="107"/>
  <c r="J23" i="107"/>
  <c r="J21" i="107"/>
  <c r="J72" i="107"/>
  <c r="J68" i="107"/>
  <c r="J60" i="107"/>
  <c r="J48" i="107"/>
  <c r="J34" i="107"/>
  <c r="J85" i="107"/>
  <c r="J61" i="107"/>
  <c r="J49" i="107"/>
  <c r="J39" i="107"/>
  <c r="J35" i="107"/>
  <c r="J73" i="107"/>
  <c r="J69" i="107"/>
  <c r="J63" i="107"/>
  <c r="J51" i="107"/>
  <c r="J74" i="107"/>
  <c r="J64" i="107"/>
  <c r="J52" i="107"/>
  <c r="J40" i="107"/>
  <c r="J36" i="107"/>
  <c r="J75" i="107"/>
  <c r="J53" i="107"/>
  <c r="J41" i="107"/>
  <c r="J31" i="107"/>
  <c r="J27" i="107"/>
  <c r="J17" i="107"/>
  <c r="J30" i="107"/>
  <c r="H21" i="107"/>
  <c r="J42" i="107"/>
  <c r="J50" i="107"/>
  <c r="J70" i="107"/>
  <c r="J62" i="107"/>
  <c r="J54" i="107"/>
  <c r="J76" i="107"/>
  <c r="J18" i="107"/>
  <c r="J26" i="107"/>
  <c r="V80" i="83"/>
  <c r="V62" i="83"/>
  <c r="V71" i="83"/>
  <c r="V59" i="83"/>
  <c r="V51" i="83"/>
  <c r="V73" i="83"/>
  <c r="V53" i="83"/>
  <c r="V61" i="83"/>
  <c r="V45" i="83"/>
  <c r="V76" i="83"/>
  <c r="V74" i="83"/>
  <c r="V66" i="83"/>
  <c r="V60" i="83"/>
  <c r="V37" i="83"/>
  <c r="V33" i="83"/>
  <c r="T20" i="83"/>
  <c r="V40" i="83"/>
  <c r="V28" i="83"/>
  <c r="V24" i="83"/>
  <c r="V57" i="83"/>
  <c r="V54" i="83"/>
  <c r="V39" i="83"/>
  <c r="V72" i="83"/>
  <c r="V64" i="83"/>
  <c r="V50" i="83"/>
  <c r="V34" i="83"/>
  <c r="V69" i="83"/>
  <c r="V55" i="83"/>
  <c r="V29" i="83"/>
  <c r="V25" i="83"/>
  <c r="V67" i="83"/>
  <c r="V47" i="83"/>
  <c r="V46" i="83"/>
  <c r="V41" i="83"/>
  <c r="V16" i="83"/>
  <c r="V17" i="83"/>
  <c r="V70" i="83"/>
  <c r="V36" i="83"/>
  <c r="V32" i="83"/>
  <c r="V63" i="83"/>
  <c r="V56" i="83"/>
  <c r="V48" i="83"/>
  <c r="V44" i="83"/>
  <c r="V31" i="83"/>
  <c r="V27" i="83"/>
  <c r="V23" i="83"/>
  <c r="V68" i="83"/>
  <c r="V49" i="83"/>
  <c r="V43" i="83"/>
  <c r="V38" i="83"/>
  <c r="V22" i="83"/>
  <c r="V20" i="83"/>
  <c r="V18" i="83"/>
  <c r="V52" i="83"/>
  <c r="V42" i="83"/>
  <c r="V58" i="83"/>
  <c r="V26" i="83"/>
  <c r="V35" i="83"/>
  <c r="V65" i="83"/>
  <c r="V30" i="83"/>
  <c r="R64" i="78"/>
  <c r="R57" i="78"/>
  <c r="R54" i="78"/>
  <c r="R27" i="78"/>
  <c r="R22" i="78"/>
  <c r="R18" i="78"/>
  <c r="R69" i="78"/>
  <c r="R66" i="78"/>
  <c r="R56" i="78"/>
  <c r="R46" i="78"/>
  <c r="R45" i="78"/>
  <c r="R37" i="78"/>
  <c r="R26" i="78"/>
  <c r="R24" i="78"/>
  <c r="R32" i="78"/>
  <c r="R28" i="78"/>
  <c r="P24" i="78"/>
  <c r="R48" i="78"/>
  <c r="R47" i="78"/>
  <c r="R19" i="78"/>
  <c r="R39" i="78"/>
  <c r="R38" i="78"/>
  <c r="R50" i="78"/>
  <c r="R49" i="78"/>
  <c r="R33" i="78"/>
  <c r="R29" i="78"/>
  <c r="R43" i="78"/>
  <c r="R42" i="78"/>
  <c r="R35" i="78"/>
  <c r="R34" i="78"/>
  <c r="R30" i="78"/>
  <c r="R62" i="78"/>
  <c r="R60" i="78"/>
  <c r="R21" i="78"/>
  <c r="R59" i="78"/>
  <c r="R53" i="78"/>
  <c r="R52" i="78"/>
  <c r="R44" i="78"/>
  <c r="R36" i="78"/>
  <c r="R17" i="78"/>
  <c r="X12" i="78"/>
  <c r="Z12" i="78" s="1"/>
  <c r="R58" i="78"/>
  <c r="R31" i="78"/>
  <c r="R20" i="78"/>
  <c r="R40" i="78"/>
  <c r="R51" i="78"/>
  <c r="R41" i="78"/>
  <c r="T75" i="73"/>
  <c r="N16" i="55"/>
  <c r="H31" i="55"/>
  <c r="L31" i="55" s="1"/>
  <c r="H27" i="41"/>
  <c r="N18" i="41"/>
  <c r="H27" i="14"/>
  <c r="N18" i="14"/>
  <c r="R59" i="109"/>
  <c r="T46" i="102"/>
  <c r="Z16" i="102"/>
  <c r="H50" i="102"/>
  <c r="X16" i="102"/>
  <c r="H65" i="93"/>
  <c r="D26" i="86"/>
  <c r="P72" i="72"/>
  <c r="X23" i="72"/>
  <c r="T113" i="70"/>
  <c r="N16" i="58"/>
  <c r="H71" i="58"/>
  <c r="L16" i="60"/>
  <c r="D49" i="60"/>
  <c r="Z16" i="54"/>
  <c r="T22" i="54"/>
  <c r="X16" i="54"/>
  <c r="N22" i="62"/>
  <c r="H26" i="62"/>
  <c r="T64" i="57"/>
  <c r="Z16" i="57"/>
  <c r="D35" i="55"/>
  <c r="P26" i="54"/>
  <c r="L23" i="45"/>
  <c r="D90" i="45"/>
  <c r="X111" i="42"/>
  <c r="Z111" i="42" s="1"/>
  <c r="F114" i="42"/>
  <c r="F109" i="42"/>
  <c r="F108" i="42"/>
  <c r="F101" i="42"/>
  <c r="F100" i="42"/>
  <c r="F85" i="42"/>
  <c r="F61" i="42"/>
  <c r="F60" i="42"/>
  <c r="F53" i="42"/>
  <c r="F52" i="42"/>
  <c r="F45" i="42"/>
  <c r="F41" i="42"/>
  <c r="F40" i="42"/>
  <c r="D27" i="42"/>
  <c r="F118" i="42"/>
  <c r="F113" i="42"/>
  <c r="F96" i="42"/>
  <c r="F92" i="42"/>
  <c r="F80" i="42"/>
  <c r="F79" i="42"/>
  <c r="F72" i="42"/>
  <c r="F71" i="42"/>
  <c r="F36" i="42"/>
  <c r="F32" i="42"/>
  <c r="F112" i="42"/>
  <c r="F103" i="42"/>
  <c r="F102" i="42"/>
  <c r="F63" i="42"/>
  <c r="F62" i="42"/>
  <c r="F55" i="42"/>
  <c r="F54" i="42"/>
  <c r="F111" i="42"/>
  <c r="F86" i="42"/>
  <c r="F74" i="42"/>
  <c r="F73" i="42"/>
  <c r="F46" i="42"/>
  <c r="F42" i="42"/>
  <c r="F105" i="42"/>
  <c r="F104" i="42"/>
  <c r="F97" i="42"/>
  <c r="F93" i="42"/>
  <c r="F81" i="42"/>
  <c r="F65" i="42"/>
  <c r="F64" i="42"/>
  <c r="F37" i="42"/>
  <c r="F33" i="42"/>
  <c r="F76" i="42"/>
  <c r="F75" i="42"/>
  <c r="F56" i="42"/>
  <c r="F24" i="42"/>
  <c r="F23" i="42"/>
  <c r="F87" i="42"/>
  <c r="F83" i="42"/>
  <c r="F82" i="42"/>
  <c r="F47" i="42"/>
  <c r="F43" i="42"/>
  <c r="F106" i="42"/>
  <c r="F98" i="42"/>
  <c r="F94" i="42"/>
  <c r="F66" i="42"/>
  <c r="F38" i="42"/>
  <c r="F34" i="42"/>
  <c r="F89" i="42"/>
  <c r="F88" i="42"/>
  <c r="F77" i="42"/>
  <c r="F57" i="42"/>
  <c r="F49" i="42"/>
  <c r="F48" i="42"/>
  <c r="F25" i="42"/>
  <c r="F84" i="42"/>
  <c r="F68" i="42"/>
  <c r="F67" i="42"/>
  <c r="F44" i="42"/>
  <c r="L12" i="42"/>
  <c r="N12" i="42" s="1"/>
  <c r="F107" i="42"/>
  <c r="F99" i="42"/>
  <c r="F95" i="42"/>
  <c r="F91" i="42"/>
  <c r="F90" i="42"/>
  <c r="F59" i="42"/>
  <c r="F58" i="42"/>
  <c r="F51" i="42"/>
  <c r="F50" i="42"/>
  <c r="F39" i="42"/>
  <c r="F35" i="42"/>
  <c r="F31" i="42"/>
  <c r="F30" i="42"/>
  <c r="F78" i="42"/>
  <c r="F69" i="42"/>
  <c r="F29" i="42"/>
  <c r="F27" i="42"/>
  <c r="F70" i="42"/>
  <c r="V36" i="33"/>
  <c r="R95" i="33"/>
  <c r="R88" i="33"/>
  <c r="R70" i="33"/>
  <c r="R69" i="33"/>
  <c r="R45" i="33"/>
  <c r="R41" i="33"/>
  <c r="R87" i="33"/>
  <c r="R84" i="33"/>
  <c r="R76" i="33"/>
  <c r="R61" i="33"/>
  <c r="R60" i="33"/>
  <c r="R86" i="33"/>
  <c r="R72" i="33"/>
  <c r="R71" i="33"/>
  <c r="R51" i="33"/>
  <c r="R77" i="33"/>
  <c r="R73" i="33"/>
  <c r="R53" i="33"/>
  <c r="R52" i="33"/>
  <c r="R64" i="33"/>
  <c r="R63" i="33"/>
  <c r="R48" i="33"/>
  <c r="R47" i="33"/>
  <c r="R43" i="33"/>
  <c r="R79" i="33"/>
  <c r="R78" i="33"/>
  <c r="R74" i="33"/>
  <c r="R66" i="33"/>
  <c r="R65" i="33"/>
  <c r="R49" i="33"/>
  <c r="R91" i="33"/>
  <c r="R81" i="33"/>
  <c r="R80" i="33"/>
  <c r="R90" i="33"/>
  <c r="R75" i="33"/>
  <c r="R68" i="33"/>
  <c r="R67" i="33"/>
  <c r="R29" i="33"/>
  <c r="X12" i="33"/>
  <c r="Z12" i="33" s="1"/>
  <c r="R40" i="33"/>
  <c r="R58" i="33"/>
  <c r="R34" i="33"/>
  <c r="R30" i="33"/>
  <c r="R82" i="33"/>
  <c r="R89" i="33"/>
  <c r="R56" i="33"/>
  <c r="R38" i="33"/>
  <c r="P36" i="33"/>
  <c r="R31" i="33"/>
  <c r="R59" i="33"/>
  <c r="R39" i="33"/>
  <c r="R57" i="33"/>
  <c r="R54" i="33"/>
  <c r="R32" i="33"/>
  <c r="R83" i="33"/>
  <c r="R50" i="33"/>
  <c r="R46" i="33"/>
  <c r="R44" i="33"/>
  <c r="R33" i="33"/>
  <c r="R55" i="33"/>
  <c r="R42" i="33"/>
  <c r="R62" i="33"/>
  <c r="P26" i="6"/>
  <c r="X18" i="112"/>
  <c r="P27" i="112"/>
  <c r="T27" i="52"/>
  <c r="Z18" i="52"/>
  <c r="H27" i="35"/>
  <c r="N18" i="35"/>
  <c r="T27" i="28"/>
  <c r="Z18" i="28"/>
  <c r="L18" i="31"/>
  <c r="D27" i="31"/>
  <c r="H27" i="26"/>
  <c r="N18" i="26"/>
  <c r="T27" i="19"/>
  <c r="Z18" i="19"/>
  <c r="H27" i="20"/>
  <c r="N18" i="20"/>
  <c r="T27" i="17"/>
  <c r="Z18" i="17"/>
  <c r="L18" i="5"/>
  <c r="D27" i="5"/>
  <c r="F80" i="105"/>
  <c r="F79" i="105"/>
  <c r="F72" i="105"/>
  <c r="F68" i="105"/>
  <c r="F52" i="105"/>
  <c r="F51" i="105"/>
  <c r="F54" i="105"/>
  <c r="F53" i="105"/>
  <c r="F82" i="105"/>
  <c r="F86" i="105"/>
  <c r="F64" i="105"/>
  <c r="F56" i="105"/>
  <c r="F55" i="105"/>
  <c r="F74" i="105"/>
  <c r="F70" i="105"/>
  <c r="F58" i="105"/>
  <c r="F57" i="105"/>
  <c r="F76" i="105"/>
  <c r="F75" i="105"/>
  <c r="F60" i="105"/>
  <c r="F59" i="105"/>
  <c r="F71" i="105"/>
  <c r="F67" i="105"/>
  <c r="F78" i="105"/>
  <c r="F77" i="105"/>
  <c r="F73" i="105"/>
  <c r="F69" i="105"/>
  <c r="F49" i="105"/>
  <c r="F31" i="105"/>
  <c r="F27" i="105"/>
  <c r="F42" i="105"/>
  <c r="F41" i="105"/>
  <c r="F18" i="105"/>
  <c r="F17" i="105"/>
  <c r="F37" i="105"/>
  <c r="F50" i="105"/>
  <c r="F44" i="105"/>
  <c r="F43" i="105"/>
  <c r="F32" i="105"/>
  <c r="F28" i="105"/>
  <c r="F65" i="105"/>
  <c r="F62" i="105"/>
  <c r="F19" i="105"/>
  <c r="F63" i="105"/>
  <c r="F46" i="105"/>
  <c r="F45" i="105"/>
  <c r="F38" i="105"/>
  <c r="F33" i="105"/>
  <c r="F29" i="105"/>
  <c r="F25" i="105"/>
  <c r="F24" i="105"/>
  <c r="F39" i="105"/>
  <c r="F35" i="105"/>
  <c r="F34" i="105"/>
  <c r="D21" i="105"/>
  <c r="F48" i="105"/>
  <c r="F30" i="105"/>
  <c r="F26" i="105"/>
  <c r="L12" i="105"/>
  <c r="N12" i="105" s="1"/>
  <c r="F66" i="105"/>
  <c r="F36" i="105"/>
  <c r="F61" i="105"/>
  <c r="F40" i="105"/>
  <c r="F23" i="105"/>
  <c r="F47" i="105"/>
  <c r="D65" i="93"/>
  <c r="L20" i="93"/>
  <c r="N20" i="93" s="1"/>
  <c r="L12" i="107"/>
  <c r="N12" i="107" s="1"/>
  <c r="P84" i="87"/>
  <c r="T116" i="42"/>
  <c r="L18" i="44"/>
  <c r="D27" i="44"/>
  <c r="T27" i="32"/>
  <c r="Z18" i="32"/>
  <c r="D35" i="108"/>
  <c r="L16" i="108"/>
  <c r="T35" i="108"/>
  <c r="Z16" i="108"/>
  <c r="T83" i="107"/>
  <c r="R31" i="104"/>
  <c r="R30" i="104"/>
  <c r="R23" i="104"/>
  <c r="R21" i="104"/>
  <c r="R42" i="104"/>
  <c r="R41" i="104"/>
  <c r="R25" i="104"/>
  <c r="P21" i="104"/>
  <c r="R33" i="104"/>
  <c r="R32" i="104"/>
  <c r="R43" i="104"/>
  <c r="R47" i="104"/>
  <c r="R45" i="104"/>
  <c r="R35" i="104"/>
  <c r="R34" i="104"/>
  <c r="R26" i="104"/>
  <c r="R37" i="104"/>
  <c r="R36" i="104"/>
  <c r="R17" i="104"/>
  <c r="X12" i="104"/>
  <c r="Z12" i="104" s="1"/>
  <c r="R54" i="104"/>
  <c r="R51" i="104"/>
  <c r="R39" i="104"/>
  <c r="R38" i="104"/>
  <c r="R18" i="104"/>
  <c r="R29" i="104"/>
  <c r="R27" i="104"/>
  <c r="R28" i="104"/>
  <c r="R24" i="104"/>
  <c r="R49" i="104"/>
  <c r="R40" i="104"/>
  <c r="R19" i="104"/>
  <c r="X43" i="99"/>
  <c r="P47" i="99"/>
  <c r="D80" i="97"/>
  <c r="L20" i="97"/>
  <c r="N20" i="97" s="1"/>
  <c r="F50" i="94"/>
  <c r="F18" i="94"/>
  <c r="F79" i="94"/>
  <c r="F76" i="94"/>
  <c r="F41" i="94"/>
  <c r="F40" i="94"/>
  <c r="F33" i="94"/>
  <c r="F43" i="94"/>
  <c r="F42" i="94"/>
  <c r="F66" i="94"/>
  <c r="F65" i="94"/>
  <c r="F54" i="94"/>
  <c r="F53" i="94"/>
  <c r="F34" i="94"/>
  <c r="F68" i="94"/>
  <c r="F67" i="94"/>
  <c r="F56" i="94"/>
  <c r="F55" i="94"/>
  <c r="F62" i="94"/>
  <c r="F58" i="94"/>
  <c r="F57" i="94"/>
  <c r="F72" i="94"/>
  <c r="F70" i="94"/>
  <c r="F49" i="94"/>
  <c r="F48" i="94"/>
  <c r="F37" i="94"/>
  <c r="F36" i="94"/>
  <c r="F17" i="94"/>
  <c r="F16" i="94"/>
  <c r="F74" i="94"/>
  <c r="F47" i="94"/>
  <c r="F44" i="94"/>
  <c r="F29" i="94"/>
  <c r="F20" i="94"/>
  <c r="F63" i="94"/>
  <c r="F39" i="94"/>
  <c r="D20" i="94"/>
  <c r="F32" i="94"/>
  <c r="F27" i="94"/>
  <c r="F45" i="94"/>
  <c r="F25" i="94"/>
  <c r="F22" i="94"/>
  <c r="F60" i="94"/>
  <c r="L12" i="94"/>
  <c r="N12" i="94" s="1"/>
  <c r="F30" i="94"/>
  <c r="F51" i="94"/>
  <c r="F46" i="94"/>
  <c r="F35" i="94"/>
  <c r="F26" i="94"/>
  <c r="F38" i="94"/>
  <c r="F31" i="94"/>
  <c r="F24" i="94"/>
  <c r="F61" i="94"/>
  <c r="F59" i="94"/>
  <c r="F52" i="94"/>
  <c r="F64" i="94"/>
  <c r="F23" i="94"/>
  <c r="F28" i="94"/>
  <c r="T86" i="95"/>
  <c r="V20" i="95"/>
  <c r="P85" i="91"/>
  <c r="X16" i="91"/>
  <c r="T69" i="80"/>
  <c r="F20" i="79"/>
  <c r="L49" i="73"/>
  <c r="D75" i="73"/>
  <c r="X108" i="70"/>
  <c r="Z108" i="70" s="1"/>
  <c r="L94" i="76"/>
  <c r="N94" i="76" s="1"/>
  <c r="V55" i="70"/>
  <c r="T52" i="67"/>
  <c r="D26" i="62"/>
  <c r="L22" i="62"/>
  <c r="L16" i="54"/>
  <c r="D22" i="54"/>
  <c r="L16" i="55"/>
  <c r="H68" i="56"/>
  <c r="N16" i="56"/>
  <c r="X17" i="48"/>
  <c r="Z17" i="48" s="1"/>
  <c r="P62" i="48"/>
  <c r="R17" i="48"/>
  <c r="H116" i="42"/>
  <c r="Z86" i="33"/>
  <c r="V77" i="30"/>
  <c r="F86" i="24"/>
  <c r="F105" i="24"/>
  <c r="F104" i="24"/>
  <c r="F97" i="24"/>
  <c r="F96" i="24"/>
  <c r="F81" i="24"/>
  <c r="F77" i="24"/>
  <c r="F113" i="24"/>
  <c r="F88" i="24"/>
  <c r="F87" i="24"/>
  <c r="F68" i="24"/>
  <c r="F64" i="24"/>
  <c r="F60" i="24"/>
  <c r="F56" i="24"/>
  <c r="F52" i="24"/>
  <c r="F48" i="24"/>
  <c r="F47" i="24"/>
  <c r="F117" i="24"/>
  <c r="F107" i="24"/>
  <c r="F106" i="24"/>
  <c r="F99" i="24"/>
  <c r="F98" i="24"/>
  <c r="F83" i="24"/>
  <c r="F82" i="24"/>
  <c r="F90" i="24"/>
  <c r="F89" i="24"/>
  <c r="F78" i="24"/>
  <c r="F74" i="24"/>
  <c r="F73" i="24"/>
  <c r="F108" i="24"/>
  <c r="F100" i="24"/>
  <c r="F92" i="24"/>
  <c r="F91" i="24"/>
  <c r="F84" i="24"/>
  <c r="D70" i="24"/>
  <c r="F80" i="24"/>
  <c r="F76" i="24"/>
  <c r="F111" i="24"/>
  <c r="F110" i="24"/>
  <c r="F103" i="24"/>
  <c r="F95" i="24"/>
  <c r="F94" i="24"/>
  <c r="F67" i="24"/>
  <c r="F63" i="24"/>
  <c r="F59" i="24"/>
  <c r="F55" i="24"/>
  <c r="F51" i="24"/>
  <c r="F101" i="24"/>
  <c r="F66" i="24"/>
  <c r="F62" i="24"/>
  <c r="F58" i="24"/>
  <c r="F54" i="24"/>
  <c r="F50" i="24"/>
  <c r="F72" i="24"/>
  <c r="F75" i="24"/>
  <c r="F109" i="24"/>
  <c r="F102" i="24"/>
  <c r="F65" i="24"/>
  <c r="F61" i="24"/>
  <c r="F57" i="24"/>
  <c r="F53" i="24"/>
  <c r="F49" i="24"/>
  <c r="F85" i="24"/>
  <c r="F79" i="24"/>
  <c r="F93" i="24"/>
  <c r="L12" i="24"/>
  <c r="N12" i="24" s="1"/>
  <c r="D91" i="9"/>
  <c r="L16" i="9"/>
  <c r="V249" i="15"/>
  <c r="V219" i="15"/>
  <c r="V207" i="15"/>
  <c r="V199" i="15"/>
  <c r="V187" i="15"/>
  <c r="V179" i="15"/>
  <c r="V247" i="15"/>
  <c r="V237" i="15"/>
  <c r="V229" i="15"/>
  <c r="V225" i="15"/>
  <c r="V213" i="15"/>
  <c r="V201" i="15"/>
  <c r="V254" i="15"/>
  <c r="V246" i="15"/>
  <c r="V220" i="15"/>
  <c r="V208" i="15"/>
  <c r="V244" i="15"/>
  <c r="V238" i="15"/>
  <c r="V226" i="15"/>
  <c r="V222" i="15"/>
  <c r="V210" i="15"/>
  <c r="V202" i="15"/>
  <c r="V182" i="15"/>
  <c r="V174" i="15"/>
  <c r="V243" i="15"/>
  <c r="V233" i="15"/>
  <c r="V221" i="15"/>
  <c r="V209" i="15"/>
  <c r="V205" i="15"/>
  <c r="V193" i="15"/>
  <c r="V235" i="15"/>
  <c r="V227" i="15"/>
  <c r="V223" i="15"/>
  <c r="V211" i="15"/>
  <c r="V250" i="15"/>
  <c r="V236" i="15"/>
  <c r="V228" i="15"/>
  <c r="V224" i="15"/>
  <c r="V212" i="15"/>
  <c r="V196" i="15"/>
  <c r="V188" i="15"/>
  <c r="V180" i="15"/>
  <c r="V242" i="15"/>
  <c r="V214" i="15"/>
  <c r="V189" i="15"/>
  <c r="V175" i="15"/>
  <c r="V171" i="15"/>
  <c r="V149" i="15"/>
  <c r="V145" i="15"/>
  <c r="V141" i="15"/>
  <c r="V137" i="15"/>
  <c r="V133" i="15"/>
  <c r="V129" i="15"/>
  <c r="V125" i="15"/>
  <c r="V121" i="15"/>
  <c r="V117" i="15"/>
  <c r="V113" i="15"/>
  <c r="V109" i="15"/>
  <c r="V105" i="15"/>
  <c r="V232" i="15"/>
  <c r="V185" i="15"/>
  <c r="V176" i="15"/>
  <c r="Z12" i="15"/>
  <c r="V197" i="15"/>
  <c r="V190" i="15"/>
  <c r="V186" i="15"/>
  <c r="V183" i="15"/>
  <c r="V168" i="15"/>
  <c r="V163" i="15"/>
  <c r="V159" i="15"/>
  <c r="V155" i="15"/>
  <c r="V216" i="15"/>
  <c r="V154" i="15"/>
  <c r="V150" i="15"/>
  <c r="V146" i="15"/>
  <c r="V142" i="15"/>
  <c r="V138" i="15"/>
  <c r="V134" i="15"/>
  <c r="V130" i="15"/>
  <c r="V126" i="15"/>
  <c r="V122" i="15"/>
  <c r="V118" i="15"/>
  <c r="V114" i="15"/>
  <c r="V110" i="15"/>
  <c r="V106" i="15"/>
  <c r="V203" i="15"/>
  <c r="V172" i="15"/>
  <c r="T152" i="15"/>
  <c r="V169" i="15"/>
  <c r="V164" i="15"/>
  <c r="V160" i="15"/>
  <c r="V156" i="15"/>
  <c r="V240" i="15"/>
  <c r="V231" i="15"/>
  <c r="V218" i="15"/>
  <c r="V200" i="15"/>
  <c r="V195" i="15"/>
  <c r="V194" i="15"/>
  <c r="V147" i="15"/>
  <c r="V143" i="15"/>
  <c r="V139" i="15"/>
  <c r="V135" i="15"/>
  <c r="V131" i="15"/>
  <c r="V127" i="15"/>
  <c r="V123" i="15"/>
  <c r="V119" i="15"/>
  <c r="V115" i="15"/>
  <c r="V111" i="15"/>
  <c r="V107" i="15"/>
  <c r="V103" i="15"/>
  <c r="V184" i="15"/>
  <c r="V181" i="15"/>
  <c r="V173" i="15"/>
  <c r="V166" i="15"/>
  <c r="V215" i="15"/>
  <c r="V177" i="15"/>
  <c r="V170" i="15"/>
  <c r="V165" i="15"/>
  <c r="V161" i="15"/>
  <c r="V157" i="15"/>
  <c r="V248" i="15"/>
  <c r="V239" i="15"/>
  <c r="V234" i="15"/>
  <c r="V230" i="15"/>
  <c r="V217" i="15"/>
  <c r="V192" i="15"/>
  <c r="V167" i="15"/>
  <c r="V245" i="15"/>
  <c r="V204" i="15"/>
  <c r="V162" i="15"/>
  <c r="V158" i="15"/>
  <c r="V140" i="15"/>
  <c r="V148" i="15"/>
  <c r="V128" i="15"/>
  <c r="V116" i="15"/>
  <c r="V104" i="15"/>
  <c r="V136" i="15"/>
  <c r="V198" i="15"/>
  <c r="V124" i="15"/>
  <c r="V112" i="15"/>
  <c r="V191" i="15"/>
  <c r="V144" i="15"/>
  <c r="V178" i="15"/>
  <c r="V206" i="15"/>
  <c r="V132" i="15"/>
  <c r="V120" i="15"/>
  <c r="V108" i="15"/>
  <c r="X287" i="3"/>
  <c r="N287" i="3"/>
  <c r="H300" i="3"/>
  <c r="T27" i="35"/>
  <c r="Z18" i="35"/>
  <c r="X18" i="35"/>
  <c r="P27" i="35"/>
  <c r="X18" i="43"/>
  <c r="P27" i="43"/>
  <c r="L18" i="38"/>
  <c r="D27" i="38"/>
  <c r="H27" i="31"/>
  <c r="N18" i="31"/>
  <c r="P27" i="28"/>
  <c r="X18" i="28"/>
  <c r="T27" i="13"/>
  <c r="Z18" i="13"/>
  <c r="X18" i="4"/>
  <c r="P27" i="4"/>
  <c r="R41" i="80"/>
  <c r="R40" i="80"/>
  <c r="R28" i="80"/>
  <c r="R24" i="80"/>
  <c r="P20" i="80"/>
  <c r="R65" i="80"/>
  <c r="R53" i="80"/>
  <c r="R29" i="80"/>
  <c r="R25" i="80"/>
  <c r="R69" i="80"/>
  <c r="R67" i="80"/>
  <c r="R59" i="80"/>
  <c r="R35" i="80"/>
  <c r="R16" i="80"/>
  <c r="R76" i="80"/>
  <c r="R73" i="80"/>
  <c r="R60" i="80"/>
  <c r="R49" i="80"/>
  <c r="R48" i="80"/>
  <c r="R56" i="80"/>
  <c r="R55" i="80"/>
  <c r="R32" i="80"/>
  <c r="R31" i="80"/>
  <c r="R27" i="80"/>
  <c r="R50" i="80"/>
  <c r="R62" i="80"/>
  <c r="R61" i="80"/>
  <c r="R57" i="80"/>
  <c r="R33" i="80"/>
  <c r="R22" i="80"/>
  <c r="R20" i="80"/>
  <c r="R54" i="80"/>
  <c r="R52" i="80"/>
  <c r="R39" i="80"/>
  <c r="R42" i="80"/>
  <c r="R43" i="80"/>
  <c r="R46" i="80"/>
  <c r="R17" i="80"/>
  <c r="R36" i="80"/>
  <c r="R63" i="80"/>
  <c r="R34" i="80"/>
  <c r="R23" i="80"/>
  <c r="R51" i="80"/>
  <c r="R44" i="80"/>
  <c r="R26" i="80"/>
  <c r="X12" i="80"/>
  <c r="Z12" i="80" s="1"/>
  <c r="R64" i="80"/>
  <c r="R47" i="80"/>
  <c r="R45" i="80"/>
  <c r="R38" i="80"/>
  <c r="R71" i="80"/>
  <c r="R58" i="80"/>
  <c r="R37" i="80"/>
  <c r="R18" i="80"/>
  <c r="R30" i="80"/>
  <c r="N77" i="97"/>
  <c r="J77" i="97"/>
  <c r="D43" i="99"/>
  <c r="L17" i="99"/>
  <c r="V77" i="97"/>
  <c r="J51" i="94"/>
  <c r="J41" i="94"/>
  <c r="J33" i="94"/>
  <c r="J23" i="94"/>
  <c r="J64" i="94"/>
  <c r="J60" i="94"/>
  <c r="J52" i="94"/>
  <c r="J42" i="94"/>
  <c r="J28" i="94"/>
  <c r="J24" i="94"/>
  <c r="J22" i="94"/>
  <c r="J66" i="94"/>
  <c r="J54" i="94"/>
  <c r="J44" i="94"/>
  <c r="J67" i="94"/>
  <c r="J61" i="94"/>
  <c r="J55" i="94"/>
  <c r="J45" i="94"/>
  <c r="J29" i="94"/>
  <c r="J25" i="94"/>
  <c r="J68" i="94"/>
  <c r="J57" i="94"/>
  <c r="J47" i="94"/>
  <c r="J35" i="94"/>
  <c r="J74" i="94"/>
  <c r="J38" i="94"/>
  <c r="J32" i="94"/>
  <c r="J63" i="94"/>
  <c r="J59" i="94"/>
  <c r="J39" i="94"/>
  <c r="J36" i="94"/>
  <c r="J70" i="94"/>
  <c r="J27" i="94"/>
  <c r="J53" i="94"/>
  <c r="J34" i="94"/>
  <c r="J17" i="94"/>
  <c r="J58" i="94"/>
  <c r="J50" i="94"/>
  <c r="J40" i="94"/>
  <c r="J48" i="94"/>
  <c r="J37" i="94"/>
  <c r="J30" i="94"/>
  <c r="J62" i="94"/>
  <c r="J46" i="94"/>
  <c r="J43" i="94"/>
  <c r="J31" i="94"/>
  <c r="J26" i="94"/>
  <c r="J16" i="94"/>
  <c r="J65" i="94"/>
  <c r="J49" i="94"/>
  <c r="H20" i="94"/>
  <c r="J56" i="94"/>
  <c r="J18" i="94"/>
  <c r="T69" i="88"/>
  <c r="Z18" i="85"/>
  <c r="X18" i="85"/>
  <c r="T26" i="85"/>
  <c r="V70" i="87"/>
  <c r="V66" i="87"/>
  <c r="V72" i="87"/>
  <c r="V60" i="87"/>
  <c r="V75" i="87"/>
  <c r="V73" i="87"/>
  <c r="V68" i="87"/>
  <c r="V54" i="87"/>
  <c r="V46" i="87"/>
  <c r="V30" i="87"/>
  <c r="V26" i="87"/>
  <c r="V65" i="87"/>
  <c r="V61" i="87"/>
  <c r="V57" i="87"/>
  <c r="V45" i="87"/>
  <c r="V37" i="87"/>
  <c r="V17" i="87"/>
  <c r="V56" i="87"/>
  <c r="V48" i="87"/>
  <c r="V36" i="87"/>
  <c r="V32" i="87"/>
  <c r="Z12" i="87"/>
  <c r="V47" i="87"/>
  <c r="V39" i="87"/>
  <c r="V31" i="87"/>
  <c r="V27" i="87"/>
  <c r="V23" i="87"/>
  <c r="V74" i="87"/>
  <c r="V69" i="87"/>
  <c r="V50" i="87"/>
  <c r="V38" i="87"/>
  <c r="V22" i="87"/>
  <c r="V18" i="87"/>
  <c r="V63" i="87"/>
  <c r="V62" i="87"/>
  <c r="V58" i="87"/>
  <c r="V49" i="87"/>
  <c r="V41" i="87"/>
  <c r="V33" i="87"/>
  <c r="T20" i="87"/>
  <c r="V20" i="87" s="1"/>
  <c r="V42" i="87"/>
  <c r="V34" i="87"/>
  <c r="V76" i="87"/>
  <c r="V67" i="87"/>
  <c r="V64" i="87"/>
  <c r="V59" i="87"/>
  <c r="V53" i="87"/>
  <c r="V29" i="87"/>
  <c r="V25" i="87"/>
  <c r="V44" i="87"/>
  <c r="V16" i="87"/>
  <c r="V82" i="87"/>
  <c r="V78" i="87"/>
  <c r="V55" i="87"/>
  <c r="V35" i="87"/>
  <c r="V24" i="87"/>
  <c r="V51" i="87"/>
  <c r="V40" i="87"/>
  <c r="V28" i="87"/>
  <c r="V52" i="87"/>
  <c r="V43" i="87"/>
  <c r="V71" i="87"/>
  <c r="H69" i="80"/>
  <c r="D69" i="80"/>
  <c r="L20" i="80"/>
  <c r="N20" i="80" s="1"/>
  <c r="H58" i="59"/>
  <c r="N16" i="59"/>
  <c r="D62" i="59"/>
  <c r="L58" i="59"/>
  <c r="Z16" i="55"/>
  <c r="T31" i="55"/>
  <c r="V27" i="42"/>
  <c r="T90" i="45"/>
  <c r="V111" i="42"/>
  <c r="F120" i="39"/>
  <c r="F95" i="39"/>
  <c r="F83" i="39"/>
  <c r="F82" i="39"/>
  <c r="F63" i="39"/>
  <c r="F55" i="39"/>
  <c r="F54" i="39"/>
  <c r="F31" i="39"/>
  <c r="F114" i="39"/>
  <c r="F113" i="39"/>
  <c r="F106" i="39"/>
  <c r="F102" i="39"/>
  <c r="F90" i="39"/>
  <c r="F74" i="39"/>
  <c r="F73" i="39"/>
  <c r="F50" i="39"/>
  <c r="F85" i="39"/>
  <c r="F84" i="39"/>
  <c r="F65" i="39"/>
  <c r="F64" i="39"/>
  <c r="F57" i="39"/>
  <c r="F56" i="39"/>
  <c r="F45" i="39"/>
  <c r="F96" i="39"/>
  <c r="F92" i="39"/>
  <c r="F91" i="39"/>
  <c r="F115" i="39"/>
  <c r="F107" i="39"/>
  <c r="F103" i="39"/>
  <c r="F75" i="39"/>
  <c r="F67" i="39"/>
  <c r="F66" i="39"/>
  <c r="F59" i="39"/>
  <c r="F58" i="39"/>
  <c r="F51" i="39"/>
  <c r="F47" i="39"/>
  <c r="F46" i="39"/>
  <c r="F98" i="39"/>
  <c r="F97" i="39"/>
  <c r="F86" i="39"/>
  <c r="F42" i="39"/>
  <c r="F93" i="39"/>
  <c r="F77" i="39"/>
  <c r="F76" i="39"/>
  <c r="F69" i="39"/>
  <c r="F68" i="39"/>
  <c r="F61" i="39"/>
  <c r="F60" i="39"/>
  <c r="F116" i="39"/>
  <c r="F108" i="39"/>
  <c r="F104" i="39"/>
  <c r="F100" i="39"/>
  <c r="F99" i="39"/>
  <c r="F52" i="39"/>
  <c r="F48" i="39"/>
  <c r="F87" i="39"/>
  <c r="F79" i="39"/>
  <c r="F78" i="39"/>
  <c r="F71" i="39"/>
  <c r="F70" i="39"/>
  <c r="F43" i="39"/>
  <c r="F39" i="39"/>
  <c r="F123" i="39"/>
  <c r="F118" i="39"/>
  <c r="F117" i="39"/>
  <c r="F110" i="39"/>
  <c r="F109" i="39"/>
  <c r="F94" i="39"/>
  <c r="F62" i="39"/>
  <c r="F127" i="39"/>
  <c r="F122" i="39"/>
  <c r="F105" i="39"/>
  <c r="F101" i="39"/>
  <c r="F89" i="39"/>
  <c r="F88" i="39"/>
  <c r="F81" i="39"/>
  <c r="F80" i="39"/>
  <c r="F53" i="39"/>
  <c r="F49" i="39"/>
  <c r="F37" i="39"/>
  <c r="L12" i="39"/>
  <c r="F121" i="39"/>
  <c r="F44" i="39"/>
  <c r="F41" i="39"/>
  <c r="F112" i="39"/>
  <c r="F72" i="39"/>
  <c r="F33" i="39"/>
  <c r="F38" i="39"/>
  <c r="D33" i="39"/>
  <c r="F35" i="39"/>
  <c r="F29" i="39"/>
  <c r="F40" i="39"/>
  <c r="F36" i="39"/>
  <c r="F30" i="39"/>
  <c r="F111" i="39"/>
  <c r="F83" i="36"/>
  <c r="F75" i="36"/>
  <c r="F74" i="36"/>
  <c r="F47" i="36"/>
  <c r="F43" i="36"/>
  <c r="F119" i="36"/>
  <c r="F114" i="36"/>
  <c r="F113" i="36"/>
  <c r="F106" i="36"/>
  <c r="F105" i="36"/>
  <c r="F90" i="36"/>
  <c r="F66" i="36"/>
  <c r="F65" i="36"/>
  <c r="F38" i="36"/>
  <c r="F34" i="36"/>
  <c r="F123" i="36"/>
  <c r="F118" i="36"/>
  <c r="F101" i="36"/>
  <c r="F97" i="36"/>
  <c r="F85" i="36"/>
  <c r="F84" i="36"/>
  <c r="F77" i="36"/>
  <c r="F76" i="36"/>
  <c r="F57" i="36"/>
  <c r="F25" i="36"/>
  <c r="F24" i="36"/>
  <c r="F117" i="36"/>
  <c r="F108" i="36"/>
  <c r="F107" i="36"/>
  <c r="F68" i="36"/>
  <c r="F67" i="36"/>
  <c r="F48" i="36"/>
  <c r="F44" i="36"/>
  <c r="L12" i="36"/>
  <c r="N12" i="36" s="1"/>
  <c r="F116" i="36"/>
  <c r="F91" i="36"/>
  <c r="F79" i="36"/>
  <c r="F78" i="36"/>
  <c r="F39" i="36"/>
  <c r="F35" i="36"/>
  <c r="F110" i="36"/>
  <c r="F109" i="36"/>
  <c r="F102" i="36"/>
  <c r="F98" i="36"/>
  <c r="F86" i="36"/>
  <c r="F58" i="36"/>
  <c r="F50" i="36"/>
  <c r="F49" i="36"/>
  <c r="F26" i="36"/>
  <c r="F81" i="36"/>
  <c r="F80" i="36"/>
  <c r="F69" i="36"/>
  <c r="F45" i="36"/>
  <c r="F92" i="36"/>
  <c r="F88" i="36"/>
  <c r="F87" i="36"/>
  <c r="F60" i="36"/>
  <c r="F59" i="36"/>
  <c r="F52" i="36"/>
  <c r="F51" i="36"/>
  <c r="F40" i="36"/>
  <c r="F36" i="36"/>
  <c r="F32" i="36"/>
  <c r="F31" i="36"/>
  <c r="F111" i="36"/>
  <c r="F103" i="36"/>
  <c r="F99" i="36"/>
  <c r="F71" i="36"/>
  <c r="F70" i="36"/>
  <c r="F30" i="36"/>
  <c r="F94" i="36"/>
  <c r="F93" i="36"/>
  <c r="F82" i="36"/>
  <c r="F62" i="36"/>
  <c r="F61" i="36"/>
  <c r="F54" i="36"/>
  <c r="F53" i="36"/>
  <c r="F46" i="36"/>
  <c r="F42" i="36"/>
  <c r="F41" i="36"/>
  <c r="D28" i="36"/>
  <c r="F28" i="36" s="1"/>
  <c r="F89" i="36"/>
  <c r="F73" i="36"/>
  <c r="F72" i="36"/>
  <c r="F37" i="36"/>
  <c r="F33" i="36"/>
  <c r="F104" i="36"/>
  <c r="F63" i="36"/>
  <c r="F56" i="36"/>
  <c r="F95" i="36"/>
  <c r="F100" i="36"/>
  <c r="F112" i="36"/>
  <c r="F64" i="36"/>
  <c r="F55" i="36"/>
  <c r="F96" i="36"/>
  <c r="D118" i="27"/>
  <c r="P102" i="21"/>
  <c r="D252" i="15"/>
  <c r="L152" i="15"/>
  <c r="N152" i="15" s="1"/>
  <c r="V271" i="18"/>
  <c r="V261" i="18"/>
  <c r="V253" i="18"/>
  <c r="V249" i="18"/>
  <c r="V237" i="18"/>
  <c r="V225" i="18"/>
  <c r="V213" i="18"/>
  <c r="V205" i="18"/>
  <c r="V270" i="18"/>
  <c r="V244" i="18"/>
  <c r="V232" i="18"/>
  <c r="V224" i="18"/>
  <c r="V216" i="18"/>
  <c r="V196" i="18"/>
  <c r="V192" i="18"/>
  <c r="V269" i="18"/>
  <c r="V263" i="18"/>
  <c r="V255" i="18"/>
  <c r="V239" i="18"/>
  <c r="V227" i="18"/>
  <c r="V215" i="18"/>
  <c r="V207" i="18"/>
  <c r="V187" i="18"/>
  <c r="V183" i="18"/>
  <c r="V179" i="18"/>
  <c r="V268" i="18"/>
  <c r="V262" i="18"/>
  <c r="V250" i="18"/>
  <c r="V246" i="18"/>
  <c r="V234" i="18"/>
  <c r="V226" i="18"/>
  <c r="V206" i="18"/>
  <c r="V198" i="18"/>
  <c r="V178" i="18"/>
  <c r="V174" i="18"/>
  <c r="V170" i="18"/>
  <c r="V267" i="18"/>
  <c r="V257" i="18"/>
  <c r="V245" i="18"/>
  <c r="V233" i="18"/>
  <c r="V229" i="18"/>
  <c r="V217" i="18"/>
  <c r="V197" i="18"/>
  <c r="V193" i="18"/>
  <c r="V266" i="18"/>
  <c r="V264" i="18"/>
  <c r="V256" i="18"/>
  <c r="V240" i="18"/>
  <c r="V228" i="18"/>
  <c r="V208" i="18"/>
  <c r="V200" i="18"/>
  <c r="V188" i="18"/>
  <c r="V184" i="18"/>
  <c r="V180" i="18"/>
  <c r="V276" i="18"/>
  <c r="V258" i="18"/>
  <c r="V230" i="18"/>
  <c r="V275" i="18"/>
  <c r="V241" i="18"/>
  <c r="V221" i="18"/>
  <c r="V209" i="18"/>
  <c r="V201" i="18"/>
  <c r="V189" i="18"/>
  <c r="V185" i="18"/>
  <c r="V181" i="18"/>
  <c r="V273" i="18"/>
  <c r="V243" i="18"/>
  <c r="V231" i="18"/>
  <c r="V223" i="18"/>
  <c r="V211" i="18"/>
  <c r="V203" i="18"/>
  <c r="V195" i="18"/>
  <c r="V191" i="18"/>
  <c r="V280" i="18"/>
  <c r="V272" i="18"/>
  <c r="V254" i="18"/>
  <c r="V242" i="18"/>
  <c r="V238" i="18"/>
  <c r="V222" i="18"/>
  <c r="V214" i="18"/>
  <c r="V186" i="18"/>
  <c r="V182" i="18"/>
  <c r="V236" i="18"/>
  <c r="V165" i="18"/>
  <c r="V163" i="18"/>
  <c r="V160" i="18"/>
  <c r="V157" i="18"/>
  <c r="V199" i="18"/>
  <c r="V151" i="18"/>
  <c r="V144" i="18"/>
  <c r="V137" i="18"/>
  <c r="V133" i="18"/>
  <c r="V129" i="18"/>
  <c r="V125" i="18"/>
  <c r="V121" i="18"/>
  <c r="V274" i="18"/>
  <c r="V210" i="18"/>
  <c r="V194" i="18"/>
  <c r="V172" i="18"/>
  <c r="V141" i="18"/>
  <c r="V260" i="18"/>
  <c r="V251" i="18"/>
  <c r="V202" i="18"/>
  <c r="V168" i="18"/>
  <c r="V161" i="18"/>
  <c r="V158" i="18"/>
  <c r="V155" i="18"/>
  <c r="V148" i="18"/>
  <c r="V248" i="18"/>
  <c r="V235" i="18"/>
  <c r="V212" i="18"/>
  <c r="V145" i="18"/>
  <c r="V138" i="18"/>
  <c r="V134" i="18"/>
  <c r="V130" i="18"/>
  <c r="V126" i="18"/>
  <c r="V122" i="18"/>
  <c r="V218" i="18"/>
  <c r="V204" i="18"/>
  <c r="V166" i="18"/>
  <c r="V152" i="18"/>
  <c r="V142" i="18"/>
  <c r="V259" i="18"/>
  <c r="T176" i="18"/>
  <c r="V164" i="18"/>
  <c r="V149" i="18"/>
  <c r="V220" i="18"/>
  <c r="V162" i="18"/>
  <c r="V146" i="18"/>
  <c r="V139" i="18"/>
  <c r="V135" i="18"/>
  <c r="V131" i="18"/>
  <c r="V127" i="18"/>
  <c r="V123" i="18"/>
  <c r="V190" i="18"/>
  <c r="V173" i="18"/>
  <c r="V171" i="18"/>
  <c r="V159" i="18"/>
  <c r="V156" i="18"/>
  <c r="V153" i="18"/>
  <c r="V252" i="18"/>
  <c r="V247" i="18"/>
  <c r="V219" i="18"/>
  <c r="V136" i="18"/>
  <c r="V132" i="18"/>
  <c r="V128" i="18"/>
  <c r="V124" i="18"/>
  <c r="V120" i="18"/>
  <c r="V154" i="18"/>
  <c r="V147" i="18"/>
  <c r="V140" i="18"/>
  <c r="V143" i="18"/>
  <c r="V150" i="18"/>
  <c r="V167" i="18"/>
  <c r="V169" i="18"/>
  <c r="P278" i="18"/>
  <c r="X12" i="18"/>
  <c r="Z12" i="18" s="1"/>
  <c r="F152" i="15"/>
  <c r="H27" i="111"/>
  <c r="N18" i="111"/>
  <c r="L18" i="50"/>
  <c r="D27" i="50"/>
  <c r="L18" i="40"/>
  <c r="D27" i="40"/>
  <c r="L18" i="43"/>
  <c r="D27" i="43"/>
  <c r="X18" i="34"/>
  <c r="P27" i="34"/>
  <c r="L18" i="34"/>
  <c r="D27" i="34"/>
  <c r="H27" i="29"/>
  <c r="N18" i="29"/>
  <c r="X18" i="16"/>
  <c r="P27" i="16"/>
  <c r="X18" i="14"/>
  <c r="P27" i="14"/>
  <c r="X18" i="10"/>
  <c r="P27" i="10"/>
  <c r="T27" i="8"/>
  <c r="Z18" i="8"/>
  <c r="H31" i="98"/>
  <c r="T104" i="68"/>
  <c r="P50" i="102"/>
  <c r="X46" i="102"/>
  <c r="T65" i="93"/>
  <c r="Z20" i="93"/>
  <c r="H27" i="53"/>
  <c r="N18" i="53"/>
  <c r="H27" i="25"/>
  <c r="N18" i="25"/>
  <c r="H47" i="104"/>
  <c r="D31" i="98"/>
  <c r="L27" i="98"/>
  <c r="N27" i="98" s="1"/>
  <c r="P27" i="98"/>
  <c r="X16" i="98"/>
  <c r="D86" i="95"/>
  <c r="L20" i="95"/>
  <c r="T69" i="92"/>
  <c r="J20" i="87"/>
  <c r="P68" i="79"/>
  <c r="X20" i="79"/>
  <c r="V66" i="79"/>
  <c r="V64" i="79"/>
  <c r="V47" i="79"/>
  <c r="V31" i="79"/>
  <c r="V27" i="79"/>
  <c r="V23" i="79"/>
  <c r="V54" i="79"/>
  <c r="V38" i="79"/>
  <c r="V22" i="79"/>
  <c r="V18" i="79"/>
  <c r="V59" i="79"/>
  <c r="V37" i="79"/>
  <c r="V33" i="79"/>
  <c r="T20" i="79"/>
  <c r="V20" i="79" s="1"/>
  <c r="V48" i="79"/>
  <c r="V40" i="79"/>
  <c r="V28" i="79"/>
  <c r="V24" i="79"/>
  <c r="V56" i="79"/>
  <c r="V55" i="79"/>
  <c r="V39" i="79"/>
  <c r="V50" i="79"/>
  <c r="V42" i="79"/>
  <c r="V34" i="79"/>
  <c r="V57" i="79"/>
  <c r="V51" i="79"/>
  <c r="V43" i="79"/>
  <c r="V35" i="79"/>
  <c r="V46" i="79"/>
  <c r="V30" i="79"/>
  <c r="V26" i="79"/>
  <c r="V63" i="79"/>
  <c r="V62" i="79"/>
  <c r="V53" i="79"/>
  <c r="V45" i="79"/>
  <c r="V17" i="79"/>
  <c r="V58" i="79"/>
  <c r="V36" i="79"/>
  <c r="V32" i="79"/>
  <c r="Z12" i="79"/>
  <c r="V61" i="79"/>
  <c r="V16" i="79"/>
  <c r="V25" i="79"/>
  <c r="V52" i="79"/>
  <c r="V44" i="79"/>
  <c r="V29" i="79"/>
  <c r="V60" i="79"/>
  <c r="V41" i="79"/>
  <c r="V70" i="79"/>
  <c r="V49" i="79"/>
  <c r="F42" i="78"/>
  <c r="F41" i="78"/>
  <c r="F34" i="78"/>
  <c r="F30" i="78"/>
  <c r="F21" i="78"/>
  <c r="F52" i="78"/>
  <c r="F44" i="78"/>
  <c r="F43" i="78"/>
  <c r="F36" i="78"/>
  <c r="F35" i="78"/>
  <c r="L12" i="78"/>
  <c r="F62" i="78"/>
  <c r="F60" i="78"/>
  <c r="F31" i="78"/>
  <c r="F64" i="78"/>
  <c r="F59" i="78"/>
  <c r="F54" i="78"/>
  <c r="F53" i="78"/>
  <c r="F22" i="78"/>
  <c r="F18" i="78"/>
  <c r="F17" i="78"/>
  <c r="F58" i="78"/>
  <c r="F45" i="78"/>
  <c r="F37" i="78"/>
  <c r="F38" i="78"/>
  <c r="D24" i="78"/>
  <c r="F49" i="78"/>
  <c r="F48" i="78"/>
  <c r="F33" i="78"/>
  <c r="F29" i="78"/>
  <c r="F40" i="78"/>
  <c r="F39" i="78"/>
  <c r="F20" i="78"/>
  <c r="F51" i="78"/>
  <c r="F50" i="78"/>
  <c r="F69" i="78"/>
  <c r="F56" i="78"/>
  <c r="F28" i="78"/>
  <c r="F26" i="78"/>
  <c r="F66" i="78"/>
  <c r="F32" i="78"/>
  <c r="F24" i="78"/>
  <c r="F46" i="78"/>
  <c r="F27" i="78"/>
  <c r="F19" i="78"/>
  <c r="F47" i="78"/>
  <c r="F57" i="78"/>
  <c r="L53" i="76"/>
  <c r="D99" i="76"/>
  <c r="T117" i="74"/>
  <c r="J100" i="70"/>
  <c r="J101" i="70"/>
  <c r="J94" i="70"/>
  <c r="J102" i="70"/>
  <c r="J96" i="70"/>
  <c r="J103" i="70"/>
  <c r="J97" i="70"/>
  <c r="J110" i="70"/>
  <c r="J106" i="70"/>
  <c r="J98" i="70"/>
  <c r="J115" i="70"/>
  <c r="J109" i="70"/>
  <c r="J108" i="70"/>
  <c r="J99" i="70"/>
  <c r="J86" i="70"/>
  <c r="J78" i="70"/>
  <c r="J66" i="70"/>
  <c r="J62" i="70"/>
  <c r="J40" i="70"/>
  <c r="J92" i="70"/>
  <c r="J87" i="70"/>
  <c r="J53" i="70"/>
  <c r="J49" i="70"/>
  <c r="J45" i="70"/>
  <c r="J41" i="70"/>
  <c r="J88" i="70"/>
  <c r="J72" i="70"/>
  <c r="J58" i="70"/>
  <c r="N12" i="70"/>
  <c r="J89" i="70"/>
  <c r="J79" i="70"/>
  <c r="J67" i="70"/>
  <c r="J63" i="70"/>
  <c r="J59" i="70"/>
  <c r="J57" i="70"/>
  <c r="J55" i="70"/>
  <c r="J80" i="70"/>
  <c r="J68" i="70"/>
  <c r="H55" i="70"/>
  <c r="J50" i="70"/>
  <c r="J46" i="70"/>
  <c r="J42" i="70"/>
  <c r="J93" i="70"/>
  <c r="J90" i="70"/>
  <c r="J81" i="70"/>
  <c r="J73" i="70"/>
  <c r="J69" i="70"/>
  <c r="J111" i="70"/>
  <c r="J104" i="70"/>
  <c r="J82" i="70"/>
  <c r="J64" i="70"/>
  <c r="J60" i="70"/>
  <c r="J84" i="70"/>
  <c r="J74" i="70"/>
  <c r="J70" i="70"/>
  <c r="J91" i="70"/>
  <c r="J85" i="70"/>
  <c r="J75" i="70"/>
  <c r="J65" i="70"/>
  <c r="J61" i="70"/>
  <c r="J76" i="70"/>
  <c r="J48" i="70"/>
  <c r="J52" i="70"/>
  <c r="J77" i="70"/>
  <c r="J71" i="70"/>
  <c r="J43" i="70"/>
  <c r="J105" i="70"/>
  <c r="J83" i="70"/>
  <c r="J47" i="70"/>
  <c r="J95" i="70"/>
  <c r="J44" i="70"/>
  <c r="J51" i="70"/>
  <c r="X16" i="67"/>
  <c r="P48" i="67"/>
  <c r="T62" i="69"/>
  <c r="V108" i="70"/>
  <c r="L16" i="63"/>
  <c r="D97" i="63"/>
  <c r="L16" i="56"/>
  <c r="D68" i="56"/>
  <c r="T58" i="59"/>
  <c r="Z16" i="59"/>
  <c r="P52" i="61"/>
  <c r="X48" i="61"/>
  <c r="L16" i="58"/>
  <c r="D71" i="58"/>
  <c r="D104" i="68"/>
  <c r="L61" i="68"/>
  <c r="R106" i="68"/>
  <c r="R96" i="68"/>
  <c r="R89" i="68"/>
  <c r="R88" i="68"/>
  <c r="R73" i="68"/>
  <c r="R72" i="68"/>
  <c r="R68" i="68"/>
  <c r="R80" i="68"/>
  <c r="R79" i="68"/>
  <c r="R64" i="68"/>
  <c r="R59" i="68"/>
  <c r="R55" i="68"/>
  <c r="R51" i="68"/>
  <c r="R47" i="68"/>
  <c r="R43" i="68"/>
  <c r="R90" i="68"/>
  <c r="R74" i="68"/>
  <c r="R63" i="68"/>
  <c r="R61" i="68"/>
  <c r="R97" i="68"/>
  <c r="R82" i="68"/>
  <c r="R81" i="68"/>
  <c r="R69" i="68"/>
  <c r="R65" i="68"/>
  <c r="P61" i="68"/>
  <c r="R56" i="68"/>
  <c r="R52" i="68"/>
  <c r="R48" i="68"/>
  <c r="R44" i="68"/>
  <c r="R92" i="68"/>
  <c r="R91" i="68"/>
  <c r="R83" i="68"/>
  <c r="R75" i="68"/>
  <c r="R93" i="68"/>
  <c r="R57" i="68"/>
  <c r="R53" i="68"/>
  <c r="R49" i="68"/>
  <c r="R45" i="68"/>
  <c r="R67" i="68"/>
  <c r="R78" i="68"/>
  <c r="R76" i="68"/>
  <c r="R71" i="68"/>
  <c r="R102" i="68"/>
  <c r="R98" i="68"/>
  <c r="R99" i="68"/>
  <c r="R46" i="68"/>
  <c r="R42" i="68"/>
  <c r="R94" i="68"/>
  <c r="R86" i="68"/>
  <c r="R66" i="68"/>
  <c r="R50" i="68"/>
  <c r="R70" i="68"/>
  <c r="R54" i="68"/>
  <c r="R100" i="68"/>
  <c r="R84" i="68"/>
  <c r="R77" i="68"/>
  <c r="R85" i="68"/>
  <c r="R87" i="68"/>
  <c r="R95" i="68"/>
  <c r="X12" i="68"/>
  <c r="Z12" i="68" s="1"/>
  <c r="R58" i="68"/>
  <c r="D99" i="51"/>
  <c r="L53" i="51"/>
  <c r="X94" i="51"/>
  <c r="Z94" i="51" s="1"/>
  <c r="R88" i="45"/>
  <c r="R69" i="45"/>
  <c r="R62" i="45"/>
  <c r="R61" i="45"/>
  <c r="R50" i="45"/>
  <c r="R49" i="45"/>
  <c r="R41" i="45"/>
  <c r="R37" i="45"/>
  <c r="R32" i="45"/>
  <c r="R28" i="45"/>
  <c r="R79" i="45"/>
  <c r="R75" i="45"/>
  <c r="R64" i="45"/>
  <c r="R63" i="45"/>
  <c r="R52" i="45"/>
  <c r="R51" i="45"/>
  <c r="R92" i="45"/>
  <c r="R70" i="45"/>
  <c r="R42" i="45"/>
  <c r="R38" i="45"/>
  <c r="R19" i="45"/>
  <c r="R65" i="45"/>
  <c r="R54" i="45"/>
  <c r="R53" i="45"/>
  <c r="R33" i="45"/>
  <c r="R29" i="45"/>
  <c r="R81" i="45"/>
  <c r="R80" i="45"/>
  <c r="R76" i="45"/>
  <c r="R20" i="45"/>
  <c r="R72" i="45"/>
  <c r="R71" i="45"/>
  <c r="R56" i="45"/>
  <c r="R55" i="45"/>
  <c r="R44" i="45"/>
  <c r="R43" i="45"/>
  <c r="R39" i="45"/>
  <c r="R83" i="45"/>
  <c r="R82" i="45"/>
  <c r="R66" i="45"/>
  <c r="R34" i="45"/>
  <c r="R30" i="45"/>
  <c r="R77" i="45"/>
  <c r="R73" i="45"/>
  <c r="R58" i="45"/>
  <c r="R57" i="45"/>
  <c r="R46" i="45"/>
  <c r="R45" i="45"/>
  <c r="R26" i="45"/>
  <c r="R21" i="45"/>
  <c r="R85" i="45"/>
  <c r="R84" i="45"/>
  <c r="R40" i="45"/>
  <c r="R25" i="45"/>
  <c r="X12" i="45"/>
  <c r="Z12" i="45" s="1"/>
  <c r="R68" i="45"/>
  <c r="R67" i="45"/>
  <c r="R60" i="45"/>
  <c r="R59" i="45"/>
  <c r="R48" i="45"/>
  <c r="R47" i="45"/>
  <c r="R36" i="45"/>
  <c r="R35" i="45"/>
  <c r="R31" i="45"/>
  <c r="R27" i="45"/>
  <c r="P23" i="45"/>
  <c r="R86" i="45"/>
  <c r="R74" i="45"/>
  <c r="R78" i="45"/>
  <c r="P121" i="36"/>
  <c r="X28" i="36"/>
  <c r="Z28" i="36" s="1"/>
  <c r="R28" i="36"/>
  <c r="N109" i="27"/>
  <c r="J95" i="27"/>
  <c r="J103" i="27"/>
  <c r="J104" i="27"/>
  <c r="J98" i="27"/>
  <c r="J88" i="27"/>
  <c r="J112" i="27"/>
  <c r="J106" i="27"/>
  <c r="J90" i="27"/>
  <c r="J109" i="27"/>
  <c r="J100" i="27"/>
  <c r="J77" i="27"/>
  <c r="J53" i="27"/>
  <c r="J49" i="27"/>
  <c r="J45" i="27"/>
  <c r="J99" i="27"/>
  <c r="J96" i="27"/>
  <c r="J89" i="27"/>
  <c r="J78" i="27"/>
  <c r="J72" i="27"/>
  <c r="N12" i="27"/>
  <c r="J86" i="27"/>
  <c r="J79" i="27"/>
  <c r="J67" i="27"/>
  <c r="J63" i="27"/>
  <c r="J41" i="27"/>
  <c r="J116" i="27"/>
  <c r="J97" i="27"/>
  <c r="J54" i="27"/>
  <c r="J50" i="27"/>
  <c r="J46" i="27"/>
  <c r="J42" i="27"/>
  <c r="J93" i="27"/>
  <c r="J73" i="27"/>
  <c r="J59" i="27"/>
  <c r="J102" i="27"/>
  <c r="J80" i="27"/>
  <c r="J68" i="27"/>
  <c r="J64" i="27"/>
  <c r="J60" i="27"/>
  <c r="J58" i="27"/>
  <c r="J110" i="27"/>
  <c r="J81" i="27"/>
  <c r="J69" i="27"/>
  <c r="H56" i="27"/>
  <c r="J51" i="27"/>
  <c r="J47" i="27"/>
  <c r="J43" i="27"/>
  <c r="J107" i="27"/>
  <c r="J91" i="27"/>
  <c r="J87" i="27"/>
  <c r="J82" i="27"/>
  <c r="J74" i="27"/>
  <c r="J70" i="27"/>
  <c r="J111" i="27"/>
  <c r="J75" i="27"/>
  <c r="J71" i="27"/>
  <c r="J105" i="27"/>
  <c r="J101" i="27"/>
  <c r="J92" i="27"/>
  <c r="J85" i="27"/>
  <c r="J76" i="27"/>
  <c r="J66" i="27"/>
  <c r="J62" i="27"/>
  <c r="J84" i="27"/>
  <c r="J48" i="27"/>
  <c r="J65" i="27"/>
  <c r="J83" i="27"/>
  <c r="J94" i="27"/>
  <c r="J52" i="27"/>
  <c r="J61" i="27"/>
  <c r="J44" i="27"/>
  <c r="R258" i="12"/>
  <c r="R215" i="12"/>
  <c r="R208" i="12"/>
  <c r="R207" i="12"/>
  <c r="R188" i="12"/>
  <c r="R187" i="12"/>
  <c r="R160" i="12"/>
  <c r="R155" i="12"/>
  <c r="R151" i="12"/>
  <c r="R147" i="12"/>
  <c r="R143" i="12"/>
  <c r="R139" i="12"/>
  <c r="R135" i="12"/>
  <c r="R131" i="12"/>
  <c r="R127" i="12"/>
  <c r="R123" i="12"/>
  <c r="R257" i="12"/>
  <c r="R227" i="12"/>
  <c r="R226" i="12"/>
  <c r="R222" i="12"/>
  <c r="R198" i="12"/>
  <c r="R179" i="12"/>
  <c r="R178" i="12"/>
  <c r="R174" i="12"/>
  <c r="R159" i="12"/>
  <c r="R256" i="12"/>
  <c r="R245" i="12"/>
  <c r="R238" i="12"/>
  <c r="R237" i="12"/>
  <c r="R233" i="12"/>
  <c r="R210" i="12"/>
  <c r="R209" i="12"/>
  <c r="R189" i="12"/>
  <c r="R169" i="12"/>
  <c r="R165" i="12"/>
  <c r="R161" i="12"/>
  <c r="P157" i="12"/>
  <c r="R262" i="12"/>
  <c r="R255" i="12"/>
  <c r="R228" i="12"/>
  <c r="R217" i="12"/>
  <c r="R216" i="12"/>
  <c r="R181" i="12"/>
  <c r="R180" i="12"/>
  <c r="R152" i="12"/>
  <c r="R148" i="12"/>
  <c r="R144" i="12"/>
  <c r="R140" i="12"/>
  <c r="R136" i="12"/>
  <c r="R132" i="12"/>
  <c r="R128" i="12"/>
  <c r="R124" i="12"/>
  <c r="R120" i="12"/>
  <c r="R116" i="12"/>
  <c r="R112" i="12"/>
  <c r="R108" i="12"/>
  <c r="R254" i="12"/>
  <c r="R239" i="12"/>
  <c r="R223" i="12"/>
  <c r="R212" i="12"/>
  <c r="R211" i="12"/>
  <c r="R200" i="12"/>
  <c r="R199" i="12"/>
  <c r="R175" i="12"/>
  <c r="R253" i="12"/>
  <c r="R247" i="12"/>
  <c r="R246" i="12"/>
  <c r="R234" i="12"/>
  <c r="R218" i="12"/>
  <c r="R191" i="12"/>
  <c r="R190" i="12"/>
  <c r="R183" i="12"/>
  <c r="R182" i="12"/>
  <c r="R171" i="12"/>
  <c r="R170" i="12"/>
  <c r="R166" i="12"/>
  <c r="R162" i="12"/>
  <c r="R251" i="12"/>
  <c r="R248" i="12"/>
  <c r="R241" i="12"/>
  <c r="R240" i="12"/>
  <c r="R224" i="12"/>
  <c r="R193" i="12"/>
  <c r="R192" i="12"/>
  <c r="R185" i="12"/>
  <c r="R184" i="12"/>
  <c r="R176" i="12"/>
  <c r="R172" i="12"/>
  <c r="X12" i="12"/>
  <c r="R250" i="12"/>
  <c r="R235" i="12"/>
  <c r="R231" i="12"/>
  <c r="R219" i="12"/>
  <c r="R204" i="12"/>
  <c r="R203" i="12"/>
  <c r="R167" i="12"/>
  <c r="R163" i="12"/>
  <c r="R225" i="12"/>
  <c r="R206" i="12"/>
  <c r="R205" i="12"/>
  <c r="R177" i="12"/>
  <c r="R173" i="12"/>
  <c r="R106" i="12"/>
  <c r="R244" i="12"/>
  <c r="R236" i="12"/>
  <c r="R232" i="12"/>
  <c r="R221" i="12"/>
  <c r="R220" i="12"/>
  <c r="R197" i="12"/>
  <c r="R196" i="12"/>
  <c r="R168" i="12"/>
  <c r="R164" i="12"/>
  <c r="R214" i="12"/>
  <c r="R146" i="12"/>
  <c r="R129" i="12"/>
  <c r="R118" i="12"/>
  <c r="R114" i="12"/>
  <c r="R252" i="12"/>
  <c r="R230" i="12"/>
  <c r="R201" i="12"/>
  <c r="R194" i="12"/>
  <c r="R150" i="12"/>
  <c r="R133" i="12"/>
  <c r="R122" i="12"/>
  <c r="R154" i="12"/>
  <c r="R137" i="12"/>
  <c r="R242" i="12"/>
  <c r="R126" i="12"/>
  <c r="R202" i="12"/>
  <c r="R141" i="12"/>
  <c r="R229" i="12"/>
  <c r="R213" i="12"/>
  <c r="R195" i="12"/>
  <c r="R145" i="12"/>
  <c r="R130" i="12"/>
  <c r="R115" i="12"/>
  <c r="R111" i="12"/>
  <c r="R109" i="12"/>
  <c r="R107" i="12"/>
  <c r="R243" i="12"/>
  <c r="R119" i="12"/>
  <c r="R117" i="12"/>
  <c r="R113" i="12"/>
  <c r="R149" i="12"/>
  <c r="R134" i="12"/>
  <c r="R121" i="12"/>
  <c r="R153" i="12"/>
  <c r="R138" i="12"/>
  <c r="R125" i="12"/>
  <c r="R186" i="12"/>
  <c r="R142" i="12"/>
  <c r="R110" i="12"/>
  <c r="H260" i="12"/>
  <c r="H27" i="110"/>
  <c r="N18" i="110"/>
  <c r="L18" i="110"/>
  <c r="D27" i="110"/>
  <c r="L18" i="112"/>
  <c r="D27" i="112"/>
  <c r="T27" i="49"/>
  <c r="Z18" i="49"/>
  <c r="N18" i="47"/>
  <c r="H27" i="47"/>
  <c r="H27" i="34"/>
  <c r="N18" i="34"/>
  <c r="L18" i="41"/>
  <c r="D27" i="41"/>
  <c r="T27" i="29"/>
  <c r="Z18" i="29"/>
  <c r="H27" i="32"/>
  <c r="N18" i="32"/>
  <c r="X18" i="23"/>
  <c r="P27" i="23"/>
  <c r="X18" i="20"/>
  <c r="P27" i="20"/>
  <c r="T27" i="16"/>
  <c r="Z18" i="16"/>
  <c r="L18" i="11"/>
  <c r="D27" i="11"/>
  <c r="H27" i="16"/>
  <c r="N18" i="16"/>
  <c r="X18" i="8"/>
  <c r="P27" i="8"/>
  <c r="H27" i="7"/>
  <c r="N18" i="7"/>
  <c r="T27" i="4"/>
  <c r="Z18" i="4"/>
  <c r="H84" i="105"/>
  <c r="D82" i="103"/>
  <c r="L21" i="103"/>
  <c r="N21" i="103" s="1"/>
  <c r="X20" i="93"/>
  <c r="P65" i="93"/>
  <c r="D72" i="72"/>
  <c r="L23" i="72"/>
  <c r="Z17" i="99"/>
  <c r="T43" i="99"/>
  <c r="N16" i="86"/>
  <c r="H22" i="86"/>
  <c r="X18" i="50"/>
  <c r="P27" i="50"/>
  <c r="X18" i="31"/>
  <c r="P27" i="31"/>
  <c r="P91" i="105"/>
  <c r="V75" i="105"/>
  <c r="V59" i="105"/>
  <c r="V77" i="105"/>
  <c r="V65" i="105"/>
  <c r="V79" i="105"/>
  <c r="V71" i="105"/>
  <c r="V67" i="105"/>
  <c r="V51" i="105"/>
  <c r="V61" i="105"/>
  <c r="V53" i="105"/>
  <c r="V63" i="105"/>
  <c r="V55" i="105"/>
  <c r="V76" i="105"/>
  <c r="V57" i="105"/>
  <c r="V54" i="105"/>
  <c r="V46" i="105"/>
  <c r="V38" i="105"/>
  <c r="V34" i="105"/>
  <c r="T21" i="105"/>
  <c r="V47" i="105"/>
  <c r="V33" i="105"/>
  <c r="V29" i="105"/>
  <c r="V25" i="105"/>
  <c r="V74" i="105"/>
  <c r="V82" i="105"/>
  <c r="V70" i="105"/>
  <c r="V66" i="105"/>
  <c r="V60" i="105"/>
  <c r="V39" i="105"/>
  <c r="V35" i="105"/>
  <c r="V72" i="105"/>
  <c r="V68" i="105"/>
  <c r="V30" i="105"/>
  <c r="V26" i="105"/>
  <c r="V52" i="105"/>
  <c r="V48" i="105"/>
  <c r="V41" i="105"/>
  <c r="V17" i="105"/>
  <c r="V58" i="105"/>
  <c r="V49" i="105"/>
  <c r="V40" i="105"/>
  <c r="V36" i="105"/>
  <c r="Z12" i="105"/>
  <c r="V86" i="105"/>
  <c r="V73" i="105"/>
  <c r="V64" i="105"/>
  <c r="V62" i="105"/>
  <c r="V42" i="105"/>
  <c r="V18" i="105"/>
  <c r="V69" i="105"/>
  <c r="V56" i="105"/>
  <c r="V45" i="105"/>
  <c r="V37" i="105"/>
  <c r="V78" i="105"/>
  <c r="V80" i="105"/>
  <c r="V44" i="105"/>
  <c r="V31" i="105"/>
  <c r="V19" i="105"/>
  <c r="V50" i="105"/>
  <c r="V28" i="105"/>
  <c r="V23" i="105"/>
  <c r="V43" i="105"/>
  <c r="V32" i="105"/>
  <c r="X12" i="105"/>
  <c r="V24" i="105"/>
  <c r="V27" i="105"/>
  <c r="D55" i="100"/>
  <c r="L19" i="100"/>
  <c r="L21" i="107"/>
  <c r="D83" i="107"/>
  <c r="R81" i="107"/>
  <c r="R67" i="107"/>
  <c r="R66" i="107"/>
  <c r="R59" i="107"/>
  <c r="R58" i="107"/>
  <c r="R47" i="107"/>
  <c r="R46" i="107"/>
  <c r="R38" i="107"/>
  <c r="R23" i="107"/>
  <c r="R34" i="107"/>
  <c r="R33" i="107"/>
  <c r="R29" i="107"/>
  <c r="R25" i="107"/>
  <c r="P21" i="107"/>
  <c r="R21" i="107" s="1"/>
  <c r="R72" i="107"/>
  <c r="R68" i="107"/>
  <c r="R61" i="107"/>
  <c r="R60" i="107"/>
  <c r="R49" i="107"/>
  <c r="R48" i="107"/>
  <c r="R85" i="107"/>
  <c r="R39" i="107"/>
  <c r="R35" i="107"/>
  <c r="R63" i="107"/>
  <c r="R62" i="107"/>
  <c r="R51" i="107"/>
  <c r="R50" i="107"/>
  <c r="R30" i="107"/>
  <c r="R26" i="107"/>
  <c r="R74" i="107"/>
  <c r="R73" i="107"/>
  <c r="R69" i="107"/>
  <c r="R64" i="107"/>
  <c r="R53" i="107"/>
  <c r="R52" i="107"/>
  <c r="R41" i="107"/>
  <c r="R40" i="107"/>
  <c r="R36" i="107"/>
  <c r="R17" i="107"/>
  <c r="X12" i="107"/>
  <c r="Z12" i="107" s="1"/>
  <c r="R70" i="107"/>
  <c r="R55" i="107"/>
  <c r="R54" i="107"/>
  <c r="R43" i="107"/>
  <c r="R42" i="107"/>
  <c r="R18" i="107"/>
  <c r="R78" i="107"/>
  <c r="R77" i="107"/>
  <c r="R65" i="107"/>
  <c r="R37" i="107"/>
  <c r="R57" i="107"/>
  <c r="R56" i="107"/>
  <c r="R45" i="107"/>
  <c r="R44" i="107"/>
  <c r="R32" i="107"/>
  <c r="R28" i="107"/>
  <c r="R71" i="107"/>
  <c r="R24" i="107"/>
  <c r="R79" i="107"/>
  <c r="R19" i="107"/>
  <c r="R75" i="107"/>
  <c r="R31" i="107"/>
  <c r="R27" i="107"/>
  <c r="R76" i="107"/>
  <c r="F21" i="107"/>
  <c r="Z72" i="101"/>
  <c r="X19" i="100"/>
  <c r="Z19" i="100" s="1"/>
  <c r="P55" i="100"/>
  <c r="Z16" i="98"/>
  <c r="T27" i="98"/>
  <c r="V20" i="97"/>
  <c r="V20" i="93"/>
  <c r="V18" i="85"/>
  <c r="D80" i="87"/>
  <c r="L20" i="87"/>
  <c r="N20" i="87" s="1"/>
  <c r="D27" i="82"/>
  <c r="L21" i="82"/>
  <c r="R80" i="83"/>
  <c r="R85" i="83"/>
  <c r="R82" i="83"/>
  <c r="R65" i="83"/>
  <c r="R64" i="83"/>
  <c r="R49" i="83"/>
  <c r="R48" i="83"/>
  <c r="R71" i="83"/>
  <c r="R70" i="83"/>
  <c r="R66" i="83"/>
  <c r="R59" i="83"/>
  <c r="R58" i="83"/>
  <c r="R74" i="83"/>
  <c r="R55" i="83"/>
  <c r="R54" i="83"/>
  <c r="R68" i="83"/>
  <c r="R63" i="83"/>
  <c r="R44" i="83"/>
  <c r="R43" i="83"/>
  <c r="R23" i="83"/>
  <c r="R18" i="83"/>
  <c r="R60" i="83"/>
  <c r="R38" i="83"/>
  <c r="R37" i="83"/>
  <c r="R33" i="83"/>
  <c r="R22" i="83"/>
  <c r="R20" i="83"/>
  <c r="R76" i="83"/>
  <c r="R45" i="83"/>
  <c r="R28" i="83"/>
  <c r="R24" i="83"/>
  <c r="P20" i="83"/>
  <c r="R57" i="83"/>
  <c r="R40" i="83"/>
  <c r="R39" i="83"/>
  <c r="R72" i="83"/>
  <c r="R61" i="83"/>
  <c r="R50" i="83"/>
  <c r="R34" i="83"/>
  <c r="R69" i="83"/>
  <c r="R51" i="83"/>
  <c r="R29" i="83"/>
  <c r="R25" i="83"/>
  <c r="R52" i="83"/>
  <c r="R42" i="83"/>
  <c r="R30" i="83"/>
  <c r="R26" i="83"/>
  <c r="R62" i="83"/>
  <c r="R53" i="83"/>
  <c r="R17" i="83"/>
  <c r="R36" i="83"/>
  <c r="X12" i="83"/>
  <c r="Z12" i="83" s="1"/>
  <c r="R56" i="83"/>
  <c r="R32" i="83"/>
  <c r="R31" i="83"/>
  <c r="R27" i="83"/>
  <c r="R78" i="83"/>
  <c r="R67" i="83"/>
  <c r="R47" i="83"/>
  <c r="R16" i="83"/>
  <c r="R46" i="83"/>
  <c r="R41" i="83"/>
  <c r="R35" i="83"/>
  <c r="R73" i="83"/>
  <c r="T34" i="82"/>
  <c r="V67" i="72"/>
  <c r="V43" i="72"/>
  <c r="V31" i="72"/>
  <c r="V27" i="72"/>
  <c r="V66" i="72"/>
  <c r="V54" i="72"/>
  <c r="V42" i="72"/>
  <c r="V61" i="72"/>
  <c r="V45" i="72"/>
  <c r="V37" i="72"/>
  <c r="V70" i="72"/>
  <c r="V68" i="72"/>
  <c r="V44" i="72"/>
  <c r="V32" i="72"/>
  <c r="V28" i="72"/>
  <c r="V55" i="72"/>
  <c r="V47" i="72"/>
  <c r="V19" i="72"/>
  <c r="V62" i="72"/>
  <c r="V46" i="72"/>
  <c r="V38" i="72"/>
  <c r="V57" i="72"/>
  <c r="V49" i="72"/>
  <c r="V33" i="72"/>
  <c r="V29" i="72"/>
  <c r="V63" i="72"/>
  <c r="V59" i="72"/>
  <c r="V51" i="72"/>
  <c r="V39" i="72"/>
  <c r="V35" i="72"/>
  <c r="V58" i="72"/>
  <c r="V50" i="72"/>
  <c r="V34" i="72"/>
  <c r="V30" i="72"/>
  <c r="V26" i="72"/>
  <c r="V65" i="72"/>
  <c r="V53" i="72"/>
  <c r="V41" i="72"/>
  <c r="V25" i="72"/>
  <c r="V21" i="72"/>
  <c r="V64" i="72"/>
  <c r="V60" i="72"/>
  <c r="V52" i="72"/>
  <c r="V40" i="72"/>
  <c r="V36" i="72"/>
  <c r="T23" i="72"/>
  <c r="V23" i="72" s="1"/>
  <c r="Z12" i="72"/>
  <c r="V20" i="72"/>
  <c r="V56" i="72"/>
  <c r="V74" i="72"/>
  <c r="V48" i="72"/>
  <c r="P68" i="57"/>
  <c r="P78" i="58"/>
  <c r="H99" i="51"/>
  <c r="N53" i="51"/>
  <c r="Z266" i="18"/>
  <c r="H98" i="21"/>
  <c r="L157" i="12"/>
  <c r="N157" i="12" s="1"/>
  <c r="D260" i="12"/>
  <c r="Z287" i="3"/>
  <c r="P300" i="3"/>
  <c r="R188" i="3"/>
  <c r="L18" i="111"/>
  <c r="D27" i="111"/>
  <c r="H27" i="112"/>
  <c r="N18" i="112"/>
  <c r="T27" i="53"/>
  <c r="Z18" i="53"/>
  <c r="X18" i="29"/>
  <c r="P27" i="29"/>
  <c r="L18" i="22"/>
  <c r="D27" i="22"/>
  <c r="H27" i="23"/>
  <c r="N18" i="23"/>
  <c r="X18" i="17"/>
  <c r="P27" i="17"/>
  <c r="H27" i="13"/>
  <c r="N18" i="13"/>
  <c r="N18" i="5"/>
  <c r="H27" i="5"/>
  <c r="H27" i="11"/>
  <c r="N18" i="11"/>
  <c r="P27" i="5"/>
  <c r="X18" i="5"/>
  <c r="D26" i="85"/>
  <c r="L18" i="85"/>
  <c r="J109" i="74"/>
  <c r="J103" i="74"/>
  <c r="J108" i="74"/>
  <c r="J94" i="74"/>
  <c r="J80" i="74"/>
  <c r="J76" i="74"/>
  <c r="J50" i="74"/>
  <c r="J104" i="74"/>
  <c r="J95" i="74"/>
  <c r="J81" i="74"/>
  <c r="J67" i="74"/>
  <c r="J63" i="74"/>
  <c r="J59" i="74"/>
  <c r="J55" i="74"/>
  <c r="J51" i="74"/>
  <c r="J119" i="74"/>
  <c r="J96" i="74"/>
  <c r="J86" i="74"/>
  <c r="J82" i="74"/>
  <c r="J72" i="74"/>
  <c r="J110" i="74"/>
  <c r="J97" i="74"/>
  <c r="J87" i="74"/>
  <c r="J77" i="74"/>
  <c r="J73" i="74"/>
  <c r="J71" i="74"/>
  <c r="J69" i="74"/>
  <c r="J105" i="74"/>
  <c r="J98" i="74"/>
  <c r="J88" i="74"/>
  <c r="H69" i="74"/>
  <c r="J64" i="74"/>
  <c r="J60" i="74"/>
  <c r="J56" i="74"/>
  <c r="J52" i="74"/>
  <c r="J111" i="74"/>
  <c r="J99" i="74"/>
  <c r="J89" i="74"/>
  <c r="J83" i="74"/>
  <c r="J90" i="74"/>
  <c r="J78" i="74"/>
  <c r="J74" i="74"/>
  <c r="J114" i="74"/>
  <c r="J106" i="74"/>
  <c r="J100" i="74"/>
  <c r="J84" i="74"/>
  <c r="J101" i="74"/>
  <c r="J91" i="74"/>
  <c r="J79" i="74"/>
  <c r="J75" i="74"/>
  <c r="L12" i="74"/>
  <c r="N12" i="74" s="1"/>
  <c r="J102" i="74"/>
  <c r="J92" i="74"/>
  <c r="J66" i="74"/>
  <c r="J62" i="74"/>
  <c r="J58" i="74"/>
  <c r="J54" i="74"/>
  <c r="J107" i="74"/>
  <c r="J93" i="74"/>
  <c r="J85" i="74"/>
  <c r="J113" i="74"/>
  <c r="J65" i="74"/>
  <c r="J57" i="74"/>
  <c r="J53" i="74"/>
  <c r="J115" i="74"/>
  <c r="J61" i="74"/>
  <c r="R98" i="27"/>
  <c r="R112" i="27"/>
  <c r="R106" i="27"/>
  <c r="R105" i="27"/>
  <c r="R111" i="27"/>
  <c r="R110" i="27"/>
  <c r="R107" i="27"/>
  <c r="R99" i="27"/>
  <c r="R92" i="27"/>
  <c r="R91" i="27"/>
  <c r="R116" i="27"/>
  <c r="R93" i="27"/>
  <c r="R102" i="27"/>
  <c r="R97" i="27"/>
  <c r="R59" i="27"/>
  <c r="R54" i="27"/>
  <c r="R50" i="27"/>
  <c r="R46" i="27"/>
  <c r="R42" i="27"/>
  <c r="R90" i="27"/>
  <c r="R73" i="27"/>
  <c r="R58" i="27"/>
  <c r="R81" i="27"/>
  <c r="R80" i="27"/>
  <c r="R69" i="27"/>
  <c r="R68" i="27"/>
  <c r="R64" i="27"/>
  <c r="R60" i="27"/>
  <c r="P56" i="27"/>
  <c r="R56" i="27" s="1"/>
  <c r="R104" i="27"/>
  <c r="R51" i="27"/>
  <c r="R47" i="27"/>
  <c r="R43" i="27"/>
  <c r="R100" i="27"/>
  <c r="R83" i="27"/>
  <c r="R82" i="27"/>
  <c r="R74" i="27"/>
  <c r="R70" i="27"/>
  <c r="R87" i="27"/>
  <c r="R65" i="27"/>
  <c r="R61" i="27"/>
  <c r="R94" i="27"/>
  <c r="R84" i="27"/>
  <c r="R52" i="27"/>
  <c r="R48" i="27"/>
  <c r="R44" i="27"/>
  <c r="R95" i="27"/>
  <c r="R88" i="27"/>
  <c r="R85" i="27"/>
  <c r="R76" i="27"/>
  <c r="R75" i="27"/>
  <c r="R71" i="27"/>
  <c r="R109" i="27"/>
  <c r="R96" i="27"/>
  <c r="R89" i="27"/>
  <c r="R72" i="27"/>
  <c r="R41" i="27"/>
  <c r="X12" i="27"/>
  <c r="R103" i="27"/>
  <c r="R86" i="27"/>
  <c r="R79" i="27"/>
  <c r="R67" i="27"/>
  <c r="R63" i="27"/>
  <c r="R77" i="27"/>
  <c r="R53" i="27"/>
  <c r="R45" i="27"/>
  <c r="R101" i="27"/>
  <c r="R62" i="27"/>
  <c r="R78" i="27"/>
  <c r="R49" i="27"/>
  <c r="R66" i="27"/>
  <c r="H27" i="50"/>
  <c r="N18" i="50"/>
  <c r="T27" i="47"/>
  <c r="Z18" i="47"/>
  <c r="D46" i="102"/>
  <c r="L16" i="102"/>
  <c r="J21" i="104"/>
  <c r="H86" i="95"/>
  <c r="N20" i="95"/>
  <c r="T85" i="91"/>
  <c r="Z16" i="91"/>
  <c r="J44" i="88"/>
  <c r="J30" i="88"/>
  <c r="J26" i="88"/>
  <c r="J16" i="88"/>
  <c r="J71" i="88"/>
  <c r="J53" i="88"/>
  <c r="J45" i="88"/>
  <c r="J17" i="88"/>
  <c r="J60" i="88"/>
  <c r="J54" i="88"/>
  <c r="J46" i="88"/>
  <c r="J36" i="88"/>
  <c r="N12" i="88"/>
  <c r="J55" i="88"/>
  <c r="J47" i="88"/>
  <c r="J31" i="88"/>
  <c r="J27" i="88"/>
  <c r="J56" i="88"/>
  <c r="J48" i="88"/>
  <c r="J32" i="88"/>
  <c r="J18" i="88"/>
  <c r="J61" i="88"/>
  <c r="J57" i="88"/>
  <c r="J62" i="88"/>
  <c r="J50" i="88"/>
  <c r="J64" i="88"/>
  <c r="J58" i="88"/>
  <c r="J65" i="88"/>
  <c r="J41" i="88"/>
  <c r="J29" i="88"/>
  <c r="J25" i="88"/>
  <c r="J52" i="88"/>
  <c r="J67" i="88"/>
  <c r="J59" i="88"/>
  <c r="J43" i="88"/>
  <c r="J35" i="88"/>
  <c r="H20" i="88"/>
  <c r="L20" i="88" s="1"/>
  <c r="J38" i="88"/>
  <c r="J24" i="88"/>
  <c r="J28" i="88"/>
  <c r="J34" i="88"/>
  <c r="J51" i="88"/>
  <c r="J23" i="88"/>
  <c r="J40" i="88"/>
  <c r="J49" i="88"/>
  <c r="J37" i="88"/>
  <c r="J33" i="88"/>
  <c r="J63" i="88"/>
  <c r="J22" i="88"/>
  <c r="J42" i="88"/>
  <c r="J39" i="88"/>
  <c r="D69" i="88"/>
  <c r="H69" i="92"/>
  <c r="F93" i="84"/>
  <c r="F61" i="84"/>
  <c r="F57" i="84"/>
  <c r="F56" i="84"/>
  <c r="F100" i="84"/>
  <c r="F84" i="84"/>
  <c r="F83" i="84"/>
  <c r="F72" i="84"/>
  <c r="F71" i="84"/>
  <c r="F55" i="84"/>
  <c r="F48" i="84"/>
  <c r="F44" i="84"/>
  <c r="F40" i="84"/>
  <c r="F67" i="84"/>
  <c r="D53" i="84"/>
  <c r="F53" i="84" s="1"/>
  <c r="F102" i="84"/>
  <c r="F101" i="84"/>
  <c r="F94" i="84"/>
  <c r="F86" i="84"/>
  <c r="F85" i="84"/>
  <c r="F74" i="84"/>
  <c r="F73" i="84"/>
  <c r="F62" i="84"/>
  <c r="F58" i="84"/>
  <c r="F104" i="84"/>
  <c r="F103" i="84"/>
  <c r="F96" i="84"/>
  <c r="F95" i="84"/>
  <c r="F88" i="84"/>
  <c r="F87" i="84"/>
  <c r="F76" i="84"/>
  <c r="F75" i="84"/>
  <c r="F68" i="84"/>
  <c r="L12" i="84"/>
  <c r="N12" i="84" s="1"/>
  <c r="F69" i="84"/>
  <c r="F92" i="84"/>
  <c r="F91" i="84"/>
  <c r="F80" i="84"/>
  <c r="F79" i="84"/>
  <c r="F64" i="84"/>
  <c r="F60" i="84"/>
  <c r="F108" i="84"/>
  <c r="F99" i="84"/>
  <c r="F51" i="84"/>
  <c r="F47" i="84"/>
  <c r="F43" i="84"/>
  <c r="F39" i="84"/>
  <c r="F38" i="84"/>
  <c r="F112" i="84"/>
  <c r="F82" i="84"/>
  <c r="F81" i="84"/>
  <c r="F70" i="84"/>
  <c r="F66" i="84"/>
  <c r="F65" i="84"/>
  <c r="F41" i="84"/>
  <c r="F106" i="84"/>
  <c r="F97" i="84"/>
  <c r="F59" i="84"/>
  <c r="F50" i="84"/>
  <c r="F90" i="84"/>
  <c r="F78" i="84"/>
  <c r="F45" i="84"/>
  <c r="F77" i="84"/>
  <c r="F89" i="84"/>
  <c r="F46" i="84"/>
  <c r="F105" i="84"/>
  <c r="F42" i="84"/>
  <c r="F63" i="84"/>
  <c r="F49" i="84"/>
  <c r="F98" i="84"/>
  <c r="V104" i="84"/>
  <c r="V96" i="84"/>
  <c r="V88" i="84"/>
  <c r="V76" i="84"/>
  <c r="V68" i="84"/>
  <c r="Z12" i="84"/>
  <c r="V91" i="84"/>
  <c r="V79" i="84"/>
  <c r="V63" i="84"/>
  <c r="V59" i="84"/>
  <c r="V108" i="84"/>
  <c r="V106" i="84"/>
  <c r="V98" i="84"/>
  <c r="V90" i="84"/>
  <c r="V78" i="84"/>
  <c r="V50" i="84"/>
  <c r="V46" i="84"/>
  <c r="V42" i="84"/>
  <c r="V38" i="84"/>
  <c r="V81" i="84"/>
  <c r="V69" i="84"/>
  <c r="V65" i="84"/>
  <c r="V92" i="84"/>
  <c r="V80" i="84"/>
  <c r="V99" i="84"/>
  <c r="V83" i="84"/>
  <c r="V71" i="84"/>
  <c r="V55" i="84"/>
  <c r="V51" i="84"/>
  <c r="V47" i="84"/>
  <c r="V43" i="84"/>
  <c r="V39" i="84"/>
  <c r="V100" i="84"/>
  <c r="V84" i="84"/>
  <c r="V72" i="84"/>
  <c r="V48" i="84"/>
  <c r="V44" i="84"/>
  <c r="V40" i="84"/>
  <c r="V103" i="84"/>
  <c r="V95" i="84"/>
  <c r="V87" i="84"/>
  <c r="V75" i="84"/>
  <c r="V67" i="84"/>
  <c r="V102" i="84"/>
  <c r="V94" i="84"/>
  <c r="V86" i="84"/>
  <c r="V74" i="84"/>
  <c r="V62" i="84"/>
  <c r="V58" i="84"/>
  <c r="V105" i="84"/>
  <c r="V97" i="84"/>
  <c r="V89" i="84"/>
  <c r="V77" i="84"/>
  <c r="V49" i="84"/>
  <c r="V45" i="84"/>
  <c r="V41" i="84"/>
  <c r="V61" i="84"/>
  <c r="V73" i="84"/>
  <c r="T53" i="84"/>
  <c r="V53" i="84" s="1"/>
  <c r="V85" i="84"/>
  <c r="V57" i="84"/>
  <c r="V112" i="84"/>
  <c r="V70" i="84"/>
  <c r="V66" i="84"/>
  <c r="V101" i="84"/>
  <c r="V82" i="84"/>
  <c r="V64" i="84"/>
  <c r="V56" i="84"/>
  <c r="V93" i="84"/>
  <c r="V60" i="84"/>
  <c r="V45" i="78"/>
  <c r="V37" i="78"/>
  <c r="T24" i="78"/>
  <c r="V48" i="78"/>
  <c r="V32" i="78"/>
  <c r="V28" i="78"/>
  <c r="V47" i="78"/>
  <c r="V39" i="78"/>
  <c r="V19" i="78"/>
  <c r="V50" i="78"/>
  <c r="V38" i="78"/>
  <c r="V49" i="78"/>
  <c r="V41" i="78"/>
  <c r="V33" i="78"/>
  <c r="V29" i="78"/>
  <c r="V40" i="78"/>
  <c r="V20" i="78"/>
  <c r="V59" i="78"/>
  <c r="V53" i="78"/>
  <c r="V21" i="78"/>
  <c r="V17" i="78"/>
  <c r="V58" i="78"/>
  <c r="V52" i="78"/>
  <c r="V44" i="78"/>
  <c r="V36" i="78"/>
  <c r="V57" i="78"/>
  <c r="V31" i="78"/>
  <c r="V27" i="78"/>
  <c r="V64" i="78"/>
  <c r="V56" i="78"/>
  <c r="V54" i="78"/>
  <c r="V46" i="78"/>
  <c r="V26" i="78"/>
  <c r="V24" i="78"/>
  <c r="V22" i="78"/>
  <c r="V18" i="78"/>
  <c r="V42" i="78"/>
  <c r="V34" i="78"/>
  <c r="V43" i="78"/>
  <c r="V35" i="78"/>
  <c r="V60" i="78"/>
  <c r="V30" i="78"/>
  <c r="V51" i="78"/>
  <c r="H68" i="79"/>
  <c r="N20" i="79"/>
  <c r="V49" i="73"/>
  <c r="Z22" i="62"/>
  <c r="T26" i="62"/>
  <c r="H49" i="60"/>
  <c r="N16" i="60"/>
  <c r="P58" i="59"/>
  <c r="X16" i="59"/>
  <c r="X68" i="56"/>
  <c r="P72" i="56"/>
  <c r="X16" i="57"/>
  <c r="X22" i="62"/>
  <c r="L17" i="48"/>
  <c r="N17" i="48" s="1"/>
  <c r="D62" i="48"/>
  <c r="X120" i="39"/>
  <c r="Z120" i="39" s="1"/>
  <c r="X27" i="42"/>
  <c r="Z27" i="42" s="1"/>
  <c r="P116" i="42"/>
  <c r="F123" i="30"/>
  <c r="F115" i="30"/>
  <c r="F114" i="30"/>
  <c r="F103" i="30"/>
  <c r="F75" i="30"/>
  <c r="F71" i="30"/>
  <c r="F67" i="30"/>
  <c r="F63" i="30"/>
  <c r="F59" i="30"/>
  <c r="F55" i="30"/>
  <c r="F138" i="30"/>
  <c r="F137" i="30"/>
  <c r="F130" i="30"/>
  <c r="F94" i="30"/>
  <c r="F90" i="30"/>
  <c r="F89" i="30"/>
  <c r="F117" i="30"/>
  <c r="F116" i="30"/>
  <c r="F105" i="30"/>
  <c r="F104" i="30"/>
  <c r="F85" i="30"/>
  <c r="F81" i="30"/>
  <c r="F80" i="30"/>
  <c r="F140" i="30"/>
  <c r="F139" i="30"/>
  <c r="F124" i="30"/>
  <c r="F96" i="30"/>
  <c r="F95" i="30"/>
  <c r="F79" i="30"/>
  <c r="F72" i="30"/>
  <c r="F68" i="30"/>
  <c r="F64" i="30"/>
  <c r="F60" i="30"/>
  <c r="F56" i="30"/>
  <c r="F144" i="30"/>
  <c r="F131" i="30"/>
  <c r="F119" i="30"/>
  <c r="F118" i="30"/>
  <c r="F107" i="30"/>
  <c r="F106" i="30"/>
  <c r="F91" i="30"/>
  <c r="D77" i="30"/>
  <c r="F77" i="30" s="1"/>
  <c r="F148" i="30"/>
  <c r="F143" i="30"/>
  <c r="F126" i="30"/>
  <c r="F125" i="30"/>
  <c r="F98" i="30"/>
  <c r="F97" i="30"/>
  <c r="F86" i="30"/>
  <c r="F82" i="30"/>
  <c r="F142" i="30"/>
  <c r="F109" i="30"/>
  <c r="F108" i="30"/>
  <c r="F73" i="30"/>
  <c r="F69" i="30"/>
  <c r="F65" i="30"/>
  <c r="F61" i="30"/>
  <c r="F57" i="30"/>
  <c r="F132" i="30"/>
  <c r="F128" i="30"/>
  <c r="F127" i="30"/>
  <c r="F120" i="30"/>
  <c r="F100" i="30"/>
  <c r="F99" i="30"/>
  <c r="F92" i="30"/>
  <c r="L12" i="30"/>
  <c r="F111" i="30"/>
  <c r="F110" i="30"/>
  <c r="F87" i="30"/>
  <c r="F83" i="30"/>
  <c r="F134" i="30"/>
  <c r="F133" i="30"/>
  <c r="F122" i="30"/>
  <c r="F121" i="30"/>
  <c r="F102" i="30"/>
  <c r="F101" i="30"/>
  <c r="F74" i="30"/>
  <c r="F70" i="30"/>
  <c r="F66" i="30"/>
  <c r="F62" i="30"/>
  <c r="F58" i="30"/>
  <c r="F54" i="30"/>
  <c r="F53" i="30"/>
  <c r="F129" i="30"/>
  <c r="F113" i="30"/>
  <c r="F112" i="30"/>
  <c r="F93" i="30"/>
  <c r="F84" i="30"/>
  <c r="F135" i="30"/>
  <c r="F136" i="30"/>
  <c r="F88" i="30"/>
  <c r="V111" i="27"/>
  <c r="V105" i="27"/>
  <c r="V89" i="27"/>
  <c r="V110" i="27"/>
  <c r="V109" i="27"/>
  <c r="V107" i="27"/>
  <c r="V116" i="27"/>
  <c r="V100" i="27"/>
  <c r="V97" i="27"/>
  <c r="V104" i="27"/>
  <c r="V96" i="27"/>
  <c r="V81" i="27"/>
  <c r="V73" i="27"/>
  <c r="V69" i="27"/>
  <c r="T56" i="27"/>
  <c r="V93" i="27"/>
  <c r="V80" i="27"/>
  <c r="V68" i="27"/>
  <c r="V64" i="27"/>
  <c r="V60" i="27"/>
  <c r="V83" i="27"/>
  <c r="V51" i="27"/>
  <c r="V47" i="27"/>
  <c r="V43" i="27"/>
  <c r="V102" i="27"/>
  <c r="V82" i="27"/>
  <c r="V74" i="27"/>
  <c r="V70" i="27"/>
  <c r="V91" i="27"/>
  <c r="V87" i="27"/>
  <c r="V65" i="27"/>
  <c r="V61" i="27"/>
  <c r="V98" i="27"/>
  <c r="V95" i="27"/>
  <c r="V94" i="27"/>
  <c r="V88" i="27"/>
  <c r="V85" i="27"/>
  <c r="V84" i="27"/>
  <c r="V76" i="27"/>
  <c r="V52" i="27"/>
  <c r="V48" i="27"/>
  <c r="V44" i="27"/>
  <c r="V75" i="27"/>
  <c r="V71" i="27"/>
  <c r="V101" i="27"/>
  <c r="V92" i="27"/>
  <c r="V78" i="27"/>
  <c r="V66" i="27"/>
  <c r="V62" i="27"/>
  <c r="V103" i="27"/>
  <c r="V99" i="27"/>
  <c r="V86" i="27"/>
  <c r="V79" i="27"/>
  <c r="V67" i="27"/>
  <c r="V63" i="27"/>
  <c r="V59" i="27"/>
  <c r="V106" i="27"/>
  <c r="V90" i="27"/>
  <c r="V58" i="27"/>
  <c r="V56" i="27"/>
  <c r="V54" i="27"/>
  <c r="V50" i="27"/>
  <c r="V46" i="27"/>
  <c r="V42" i="27"/>
  <c r="V77" i="27"/>
  <c r="V53" i="27"/>
  <c r="V45" i="27"/>
  <c r="V112" i="27"/>
  <c r="Z12" i="27"/>
  <c r="V72" i="27"/>
  <c r="V49" i="27"/>
  <c r="V41" i="27"/>
  <c r="V96" i="21"/>
  <c r="V94" i="21"/>
  <c r="V86" i="21"/>
  <c r="V82" i="21"/>
  <c r="V58" i="21"/>
  <c r="V46" i="21"/>
  <c r="V22" i="21"/>
  <c r="V69" i="21"/>
  <c r="V57" i="21"/>
  <c r="V49" i="21"/>
  <c r="V41" i="21"/>
  <c r="V76" i="21"/>
  <c r="V60" i="21"/>
  <c r="V48" i="21"/>
  <c r="V36" i="21"/>
  <c r="V32" i="21"/>
  <c r="V87" i="21"/>
  <c r="V83" i="21"/>
  <c r="V59" i="21"/>
  <c r="V51" i="21"/>
  <c r="V23" i="21"/>
  <c r="V100" i="21"/>
  <c r="V70" i="21"/>
  <c r="V62" i="21"/>
  <c r="V50" i="21"/>
  <c r="V42" i="21"/>
  <c r="V38" i="21"/>
  <c r="V89" i="21"/>
  <c r="V77" i="21"/>
  <c r="V61" i="21"/>
  <c r="V37" i="21"/>
  <c r="V33" i="21"/>
  <c r="V29" i="21"/>
  <c r="V88" i="21"/>
  <c r="V84" i="21"/>
  <c r="V72" i="21"/>
  <c r="V64" i="21"/>
  <c r="V52" i="21"/>
  <c r="V28" i="21"/>
  <c r="V26" i="21"/>
  <c r="V24" i="21"/>
  <c r="V91" i="21"/>
  <c r="V79" i="21"/>
  <c r="V71" i="21"/>
  <c r="V63" i="21"/>
  <c r="V43" i="21"/>
  <c r="V39" i="21"/>
  <c r="T26" i="21"/>
  <c r="V90" i="21"/>
  <c r="V78" i="21"/>
  <c r="V74" i="21"/>
  <c r="V66" i="21"/>
  <c r="V54" i="21"/>
  <c r="V34" i="21"/>
  <c r="V30" i="21"/>
  <c r="V92" i="21"/>
  <c r="V80" i="21"/>
  <c r="V68" i="21"/>
  <c r="V56" i="21"/>
  <c r="V44" i="21"/>
  <c r="V40" i="21"/>
  <c r="Z12" i="21"/>
  <c r="V75" i="21"/>
  <c r="V67" i="21"/>
  <c r="V55" i="21"/>
  <c r="V47" i="21"/>
  <c r="V35" i="21"/>
  <c r="V31" i="21"/>
  <c r="V93" i="21"/>
  <c r="V81" i="21"/>
  <c r="V45" i="21"/>
  <c r="V65" i="21"/>
  <c r="V53" i="21"/>
  <c r="V73" i="21"/>
  <c r="V85" i="21"/>
  <c r="R266" i="18"/>
  <c r="F287" i="3"/>
  <c r="F258" i="3"/>
  <c r="F246" i="3"/>
  <c r="F245" i="3"/>
  <c r="F234" i="3"/>
  <c r="F226" i="3"/>
  <c r="F225" i="3"/>
  <c r="F218" i="3"/>
  <c r="F186" i="3"/>
  <c r="F182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282" i="3"/>
  <c r="F270" i="3"/>
  <c r="F237" i="3"/>
  <c r="F298" i="3"/>
  <c r="F281" i="3"/>
  <c r="F280" i="3"/>
  <c r="F273" i="3"/>
  <c r="F269" i="3"/>
  <c r="F253" i="3"/>
  <c r="F252" i="3"/>
  <c r="F209" i="3"/>
  <c r="F205" i="3"/>
  <c r="F302" i="3"/>
  <c r="F297" i="3"/>
  <c r="F264" i="3"/>
  <c r="F248" i="3"/>
  <c r="F247" i="3"/>
  <c r="F236" i="3"/>
  <c r="F235" i="3"/>
  <c r="F228" i="3"/>
  <c r="F227" i="3"/>
  <c r="F200" i="3"/>
  <c r="F196" i="3"/>
  <c r="F192" i="3"/>
  <c r="F191" i="3"/>
  <c r="F274" i="3"/>
  <c r="F266" i="3"/>
  <c r="F254" i="3"/>
  <c r="F230" i="3"/>
  <c r="F296" i="3"/>
  <c r="F259" i="3"/>
  <c r="F219" i="3"/>
  <c r="F211" i="3"/>
  <c r="F210" i="3"/>
  <c r="F190" i="3"/>
  <c r="F188" i="3"/>
  <c r="F183" i="3"/>
  <c r="F179" i="3"/>
  <c r="F175" i="3"/>
  <c r="F171" i="3"/>
  <c r="F167" i="3"/>
  <c r="F163" i="3"/>
  <c r="F159" i="3"/>
  <c r="F155" i="3"/>
  <c r="F151" i="3"/>
  <c r="F147" i="3"/>
  <c r="F143" i="3"/>
  <c r="F139" i="3"/>
  <c r="F135" i="3"/>
  <c r="F131" i="3"/>
  <c r="F130" i="3"/>
  <c r="F229" i="3"/>
  <c r="F206" i="3"/>
  <c r="D188" i="3"/>
  <c r="F307" i="3"/>
  <c r="F306" i="3"/>
  <c r="F294" i="3"/>
  <c r="F249" i="3"/>
  <c r="F221" i="3"/>
  <c r="F220" i="3"/>
  <c r="F213" i="3"/>
  <c r="F212" i="3"/>
  <c r="F201" i="3"/>
  <c r="F197" i="3"/>
  <c r="F193" i="3"/>
  <c r="F290" i="3"/>
  <c r="F284" i="3"/>
  <c r="F277" i="3"/>
  <c r="F261" i="3"/>
  <c r="F233" i="3"/>
  <c r="F293" i="3"/>
  <c r="F276" i="3"/>
  <c r="F275" i="3"/>
  <c r="F260" i="3"/>
  <c r="F240" i="3"/>
  <c r="F239" i="3"/>
  <c r="F184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256" i="3"/>
  <c r="F292" i="3"/>
  <c r="F283" i="3"/>
  <c r="F271" i="3"/>
  <c r="F267" i="3"/>
  <c r="F255" i="3"/>
  <c r="F231" i="3"/>
  <c r="F215" i="3"/>
  <c r="F214" i="3"/>
  <c r="F207" i="3"/>
  <c r="F203" i="3"/>
  <c r="F202" i="3"/>
  <c r="F285" i="3"/>
  <c r="F257" i="3"/>
  <c r="F291" i="3"/>
  <c r="F250" i="3"/>
  <c r="F242" i="3"/>
  <c r="F241" i="3"/>
  <c r="F222" i="3"/>
  <c r="F198" i="3"/>
  <c r="F194" i="3"/>
  <c r="F289" i="3"/>
  <c r="F272" i="3"/>
  <c r="F268" i="3"/>
  <c r="F244" i="3"/>
  <c r="F243" i="3"/>
  <c r="F224" i="3"/>
  <c r="F223" i="3"/>
  <c r="F208" i="3"/>
  <c r="F204" i="3"/>
  <c r="L12" i="3"/>
  <c r="N12" i="3" s="1"/>
  <c r="F288" i="3"/>
  <c r="F279" i="3"/>
  <c r="F278" i="3"/>
  <c r="F263" i="3"/>
  <c r="F262" i="3"/>
  <c r="F251" i="3"/>
  <c r="F199" i="3"/>
  <c r="F195" i="3"/>
  <c r="F295" i="3"/>
  <c r="F265" i="3"/>
  <c r="F238" i="3"/>
  <c r="F232" i="3"/>
  <c r="F217" i="3"/>
  <c r="F157" i="3"/>
  <c r="F133" i="3"/>
  <c r="F177" i="3"/>
  <c r="F173" i="3"/>
  <c r="F165" i="3"/>
  <c r="F137" i="3"/>
  <c r="F145" i="3"/>
  <c r="F181" i="3"/>
  <c r="F216" i="3"/>
  <c r="F153" i="3"/>
  <c r="F161" i="3"/>
  <c r="F149" i="3"/>
  <c r="F169" i="3"/>
  <c r="F185" i="3"/>
  <c r="F141" i="3"/>
  <c r="X18" i="49"/>
  <c r="P27" i="49"/>
  <c r="T27" i="40"/>
  <c r="Z18" i="40"/>
  <c r="L18" i="37"/>
  <c r="D27" i="37"/>
  <c r="T27" i="31"/>
  <c r="Z18" i="31"/>
  <c r="Z18" i="37"/>
  <c r="T27" i="37"/>
  <c r="N18" i="28"/>
  <c r="H27" i="28"/>
  <c r="X18" i="26"/>
  <c r="P27" i="26"/>
  <c r="X18" i="19"/>
  <c r="P27" i="19"/>
  <c r="H27" i="19"/>
  <c r="N18" i="19"/>
  <c r="T27" i="22"/>
  <c r="Z18" i="22"/>
  <c r="F58" i="92"/>
  <c r="F34" i="92"/>
  <c r="F65" i="92"/>
  <c r="F64" i="92"/>
  <c r="F52" i="92"/>
  <c r="F59" i="92"/>
  <c r="F43" i="92"/>
  <c r="F42" i="92"/>
  <c r="F35" i="92"/>
  <c r="F69" i="92"/>
  <c r="F67" i="92"/>
  <c r="F54" i="92"/>
  <c r="F53" i="92"/>
  <c r="F30" i="92"/>
  <c r="F26" i="92"/>
  <c r="F71" i="92"/>
  <c r="F45" i="92"/>
  <c r="F44" i="92"/>
  <c r="F17" i="92"/>
  <c r="F16" i="92"/>
  <c r="F60" i="92"/>
  <c r="F36" i="92"/>
  <c r="F32" i="92"/>
  <c r="F31" i="92"/>
  <c r="L12" i="92"/>
  <c r="N12" i="92" s="1"/>
  <c r="F76" i="92"/>
  <c r="F73" i="92"/>
  <c r="F21" i="92"/>
  <c r="F19" i="92"/>
  <c r="F61" i="92"/>
  <c r="F57" i="92"/>
  <c r="F56" i="92"/>
  <c r="F49" i="92"/>
  <c r="F48" i="92"/>
  <c r="F37" i="92"/>
  <c r="F33" i="92"/>
  <c r="D19" i="92"/>
  <c r="F28" i="92"/>
  <c r="F24" i="92"/>
  <c r="F63" i="92"/>
  <c r="F62" i="92"/>
  <c r="F51" i="92"/>
  <c r="F50" i="92"/>
  <c r="F39" i="92"/>
  <c r="F38" i="92"/>
  <c r="F25" i="92"/>
  <c r="F47" i="92"/>
  <c r="F55" i="92"/>
  <c r="F41" i="92"/>
  <c r="F27" i="92"/>
  <c r="F22" i="92"/>
  <c r="F29" i="92"/>
  <c r="F46" i="92"/>
  <c r="F23" i="92"/>
  <c r="F40" i="92"/>
  <c r="X77" i="97"/>
  <c r="H52" i="61"/>
  <c r="H121" i="36"/>
  <c r="X16" i="9"/>
  <c r="P91" i="9"/>
  <c r="P82" i="103"/>
  <c r="X21" i="103"/>
  <c r="R21" i="103"/>
  <c r="T59" i="100"/>
  <c r="R54" i="92"/>
  <c r="R31" i="92"/>
  <c r="R30" i="92"/>
  <c r="R26" i="92"/>
  <c r="R71" i="92"/>
  <c r="R76" i="92"/>
  <c r="R73" i="92"/>
  <c r="R60" i="92"/>
  <c r="R36" i="92"/>
  <c r="R32" i="92"/>
  <c r="R21" i="92"/>
  <c r="R19" i="92"/>
  <c r="X12" i="92"/>
  <c r="Z12" i="92" s="1"/>
  <c r="R56" i="92"/>
  <c r="R55" i="92"/>
  <c r="R48" i="92"/>
  <c r="R47" i="92"/>
  <c r="R27" i="92"/>
  <c r="R23" i="92"/>
  <c r="R62" i="92"/>
  <c r="R61" i="92"/>
  <c r="R57" i="92"/>
  <c r="R50" i="92"/>
  <c r="R49" i="92"/>
  <c r="R38" i="92"/>
  <c r="R37" i="92"/>
  <c r="R33" i="92"/>
  <c r="R28" i="92"/>
  <c r="R24" i="92"/>
  <c r="R58" i="92"/>
  <c r="R34" i="92"/>
  <c r="R65" i="92"/>
  <c r="R42" i="92"/>
  <c r="R41" i="92"/>
  <c r="R29" i="92"/>
  <c r="R25" i="92"/>
  <c r="R69" i="92"/>
  <c r="R67" i="92"/>
  <c r="R53" i="92"/>
  <c r="R52" i="92"/>
  <c r="R59" i="92"/>
  <c r="R44" i="92"/>
  <c r="R43" i="92"/>
  <c r="R35" i="92"/>
  <c r="R64" i="92"/>
  <c r="R51" i="92"/>
  <c r="P19" i="92"/>
  <c r="R45" i="92"/>
  <c r="R22" i="92"/>
  <c r="R39" i="92"/>
  <c r="R17" i="92"/>
  <c r="R63" i="92"/>
  <c r="R16" i="92"/>
  <c r="R46" i="92"/>
  <c r="R40" i="92"/>
  <c r="D85" i="91"/>
  <c r="L16" i="91"/>
  <c r="Z16" i="86"/>
  <c r="T22" i="86"/>
  <c r="H27" i="82"/>
  <c r="N21" i="82"/>
  <c r="H74" i="75"/>
  <c r="J43" i="78"/>
  <c r="J35" i="78"/>
  <c r="J21" i="78"/>
  <c r="J60" i="78"/>
  <c r="J52" i="78"/>
  <c r="J44" i="78"/>
  <c r="J36" i="78"/>
  <c r="N12" i="78"/>
  <c r="J59" i="78"/>
  <c r="J53" i="78"/>
  <c r="J31" i="78"/>
  <c r="J17" i="78"/>
  <c r="J64" i="78"/>
  <c r="J58" i="78"/>
  <c r="J54" i="78"/>
  <c r="J22" i="78"/>
  <c r="J18" i="78"/>
  <c r="J57" i="78"/>
  <c r="J45" i="78"/>
  <c r="J37" i="78"/>
  <c r="J27" i="78"/>
  <c r="J56" i="78"/>
  <c r="J46" i="78"/>
  <c r="J32" i="78"/>
  <c r="J28" i="78"/>
  <c r="J26" i="78"/>
  <c r="J24" i="78"/>
  <c r="J49" i="78"/>
  <c r="J39" i="78"/>
  <c r="J33" i="78"/>
  <c r="J29" i="78"/>
  <c r="J50" i="78"/>
  <c r="J40" i="78"/>
  <c r="J20" i="78"/>
  <c r="J51" i="78"/>
  <c r="J41" i="78"/>
  <c r="J42" i="78"/>
  <c r="J34" i="78"/>
  <c r="J30" i="78"/>
  <c r="J48" i="78"/>
  <c r="H24" i="78"/>
  <c r="J38" i="78"/>
  <c r="J19" i="78"/>
  <c r="J47" i="78"/>
  <c r="D117" i="74"/>
  <c r="L69" i="74"/>
  <c r="V56" i="75"/>
  <c r="V48" i="75"/>
  <c r="V40" i="75"/>
  <c r="Z12" i="75"/>
  <c r="V47" i="75"/>
  <c r="V39" i="75"/>
  <c r="V76" i="75"/>
  <c r="V62" i="75"/>
  <c r="V58" i="75"/>
  <c r="V49" i="75"/>
  <c r="V41" i="75"/>
  <c r="T28" i="75"/>
  <c r="V28" i="75" s="1"/>
  <c r="V64" i="75"/>
  <c r="V63" i="75"/>
  <c r="V59" i="75"/>
  <c r="V51" i="75"/>
  <c r="V68" i="75"/>
  <c r="V60" i="75"/>
  <c r="V52" i="75"/>
  <c r="V67" i="75"/>
  <c r="V55" i="75"/>
  <c r="V43" i="75"/>
  <c r="V71" i="75"/>
  <c r="V69" i="75"/>
  <c r="V61" i="75"/>
  <c r="V57" i="75"/>
  <c r="V45" i="75"/>
  <c r="V66" i="75"/>
  <c r="V54" i="75"/>
  <c r="V50" i="75"/>
  <c r="V26" i="75"/>
  <c r="V44" i="75"/>
  <c r="V36" i="75"/>
  <c r="V72" i="75"/>
  <c r="V38" i="75"/>
  <c r="V32" i="75"/>
  <c r="V53" i="75"/>
  <c r="V34" i="75"/>
  <c r="V65" i="75"/>
  <c r="V37" i="75"/>
  <c r="V31" i="75"/>
  <c r="V46" i="75"/>
  <c r="V42" i="75"/>
  <c r="V35" i="75"/>
  <c r="V33" i="75"/>
  <c r="V30" i="75"/>
  <c r="J67" i="73"/>
  <c r="J59" i="73"/>
  <c r="J55" i="73"/>
  <c r="J33" i="73"/>
  <c r="L12" i="73"/>
  <c r="N12" i="73" s="1"/>
  <c r="J68" i="73"/>
  <c r="J60" i="73"/>
  <c r="J46" i="73"/>
  <c r="J42" i="73"/>
  <c r="J38" i="73"/>
  <c r="J34" i="73"/>
  <c r="J69" i="73"/>
  <c r="J61" i="73"/>
  <c r="J70" i="73"/>
  <c r="J56" i="73"/>
  <c r="J71" i="73"/>
  <c r="J47" i="73"/>
  <c r="J43" i="73"/>
  <c r="J39" i="73"/>
  <c r="J35" i="73"/>
  <c r="J62" i="73"/>
  <c r="J52" i="73"/>
  <c r="J73" i="73"/>
  <c r="J63" i="73"/>
  <c r="J57" i="73"/>
  <c r="J53" i="73"/>
  <c r="J51" i="73"/>
  <c r="J77" i="73"/>
  <c r="J65" i="73"/>
  <c r="J66" i="73"/>
  <c r="J58" i="73"/>
  <c r="J54" i="73"/>
  <c r="J45" i="73"/>
  <c r="J41" i="73"/>
  <c r="J37" i="73"/>
  <c r="J64" i="73"/>
  <c r="J44" i="73"/>
  <c r="J36" i="73"/>
  <c r="J40" i="73"/>
  <c r="H49" i="73"/>
  <c r="J49" i="73" s="1"/>
  <c r="D48" i="67"/>
  <c r="L16" i="67"/>
  <c r="L16" i="61"/>
  <c r="D48" i="61"/>
  <c r="N16" i="67"/>
  <c r="H48" i="67"/>
  <c r="V61" i="68"/>
  <c r="P113" i="70"/>
  <c r="X55" i="70"/>
  <c r="Z55" i="70" s="1"/>
  <c r="Z16" i="58"/>
  <c r="T71" i="58"/>
  <c r="X16" i="55"/>
  <c r="P38" i="55"/>
  <c r="T104" i="63"/>
  <c r="Z53" i="51"/>
  <c r="T99" i="51"/>
  <c r="Z59" i="48"/>
  <c r="V59" i="48"/>
  <c r="J114" i="39"/>
  <c r="J106" i="39"/>
  <c r="J102" i="39"/>
  <c r="J90" i="39"/>
  <c r="J84" i="39"/>
  <c r="J74" i="39"/>
  <c r="J64" i="39"/>
  <c r="J56" i="39"/>
  <c r="J50" i="39"/>
  <c r="J36" i="39"/>
  <c r="J91" i="39"/>
  <c r="J85" i="39"/>
  <c r="J65" i="39"/>
  <c r="J57" i="39"/>
  <c r="J45" i="39"/>
  <c r="J41" i="39"/>
  <c r="J37" i="39"/>
  <c r="J96" i="39"/>
  <c r="J92" i="39"/>
  <c r="J66" i="39"/>
  <c r="J58" i="39"/>
  <c r="J46" i="39"/>
  <c r="J115" i="39"/>
  <c r="J107" i="39"/>
  <c r="J103" i="39"/>
  <c r="J97" i="39"/>
  <c r="J75" i="39"/>
  <c r="J67" i="39"/>
  <c r="J59" i="39"/>
  <c r="J51" i="39"/>
  <c r="J47" i="39"/>
  <c r="J98" i="39"/>
  <c r="J86" i="39"/>
  <c r="J76" i="39"/>
  <c r="J68" i="39"/>
  <c r="J60" i="39"/>
  <c r="J42" i="39"/>
  <c r="J38" i="39"/>
  <c r="J99" i="39"/>
  <c r="J93" i="39"/>
  <c r="J77" i="39"/>
  <c r="J69" i="39"/>
  <c r="J61" i="39"/>
  <c r="J116" i="39"/>
  <c r="J108" i="39"/>
  <c r="J104" i="39"/>
  <c r="J100" i="39"/>
  <c r="J78" i="39"/>
  <c r="J70" i="39"/>
  <c r="J52" i="39"/>
  <c r="J48" i="39"/>
  <c r="J123" i="39"/>
  <c r="J117" i="39"/>
  <c r="J109" i="39"/>
  <c r="J87" i="39"/>
  <c r="J79" i="39"/>
  <c r="J71" i="39"/>
  <c r="J43" i="39"/>
  <c r="J39" i="39"/>
  <c r="J29" i="39"/>
  <c r="J122" i="39"/>
  <c r="J118" i="39"/>
  <c r="J110" i="39"/>
  <c r="J94" i="39"/>
  <c r="J88" i="39"/>
  <c r="J80" i="39"/>
  <c r="J62" i="39"/>
  <c r="J127" i="39"/>
  <c r="J121" i="39"/>
  <c r="J111" i="39"/>
  <c r="J105" i="39"/>
  <c r="J101" i="39"/>
  <c r="J89" i="39"/>
  <c r="J81" i="39"/>
  <c r="J53" i="39"/>
  <c r="J49" i="39"/>
  <c r="J120" i="39"/>
  <c r="J112" i="39"/>
  <c r="J82" i="39"/>
  <c r="J72" i="39"/>
  <c r="J54" i="39"/>
  <c r="J44" i="39"/>
  <c r="J40" i="39"/>
  <c r="N12" i="39"/>
  <c r="J31" i="39"/>
  <c r="J95" i="39"/>
  <c r="J63" i="39"/>
  <c r="J55" i="39"/>
  <c r="H33" i="39"/>
  <c r="J33" i="39" s="1"/>
  <c r="J35" i="39"/>
  <c r="J30" i="39"/>
  <c r="J73" i="39"/>
  <c r="J113" i="39"/>
  <c r="J83" i="39"/>
  <c r="D93" i="33"/>
  <c r="L36" i="33"/>
  <c r="T115" i="24"/>
  <c r="L26" i="21"/>
  <c r="N26" i="21" s="1"/>
  <c r="D98" i="21"/>
  <c r="X250" i="12"/>
  <c r="Z250" i="12" s="1"/>
  <c r="V256" i="12"/>
  <c r="V238" i="12"/>
  <c r="V226" i="12"/>
  <c r="V222" i="12"/>
  <c r="V210" i="12"/>
  <c r="V198" i="12"/>
  <c r="V178" i="12"/>
  <c r="V174" i="12"/>
  <c r="T157" i="12"/>
  <c r="V255" i="12"/>
  <c r="V245" i="12"/>
  <c r="V237" i="12"/>
  <c r="V233" i="12"/>
  <c r="V217" i="12"/>
  <c r="V209" i="12"/>
  <c r="V189" i="12"/>
  <c r="V181" i="12"/>
  <c r="V169" i="12"/>
  <c r="V165" i="12"/>
  <c r="V161" i="12"/>
  <c r="V262" i="12"/>
  <c r="V254" i="12"/>
  <c r="V228" i="12"/>
  <c r="V216" i="12"/>
  <c r="V212" i="12"/>
  <c r="V200" i="12"/>
  <c r="V180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253" i="12"/>
  <c r="V247" i="12"/>
  <c r="V239" i="12"/>
  <c r="V223" i="12"/>
  <c r="V211" i="12"/>
  <c r="V199" i="12"/>
  <c r="V191" i="12"/>
  <c r="V183" i="12"/>
  <c r="V175" i="12"/>
  <c r="V171" i="12"/>
  <c r="V252" i="12"/>
  <c r="V246" i="12"/>
  <c r="V234" i="12"/>
  <c r="V230" i="12"/>
  <c r="V218" i="12"/>
  <c r="V202" i="12"/>
  <c r="V190" i="12"/>
  <c r="V182" i="12"/>
  <c r="V170" i="12"/>
  <c r="V166" i="12"/>
  <c r="V162" i="12"/>
  <c r="V251" i="12"/>
  <c r="V241" i="12"/>
  <c r="V229" i="12"/>
  <c r="V213" i="12"/>
  <c r="V201" i="12"/>
  <c r="V193" i="12"/>
  <c r="V185" i="12"/>
  <c r="V153" i="12"/>
  <c r="V149" i="12"/>
  <c r="V145" i="12"/>
  <c r="V141" i="12"/>
  <c r="V137" i="12"/>
  <c r="V133" i="12"/>
  <c r="V129" i="12"/>
  <c r="V125" i="12"/>
  <c r="V121" i="12"/>
  <c r="V117" i="12"/>
  <c r="V113" i="12"/>
  <c r="V109" i="12"/>
  <c r="V243" i="12"/>
  <c r="V235" i="12"/>
  <c r="V231" i="12"/>
  <c r="V219" i="12"/>
  <c r="V203" i="12"/>
  <c r="V195" i="12"/>
  <c r="V167" i="12"/>
  <c r="V163" i="12"/>
  <c r="V242" i="12"/>
  <c r="V214" i="12"/>
  <c r="V206" i="12"/>
  <c r="V194" i="12"/>
  <c r="V186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258" i="12"/>
  <c r="V244" i="12"/>
  <c r="V236" i="12"/>
  <c r="V232" i="12"/>
  <c r="V220" i="12"/>
  <c r="V208" i="12"/>
  <c r="V196" i="12"/>
  <c r="V188" i="12"/>
  <c r="V168" i="12"/>
  <c r="V164" i="12"/>
  <c r="V160" i="12"/>
  <c r="V257" i="12"/>
  <c r="V227" i="12"/>
  <c r="V215" i="12"/>
  <c r="V207" i="12"/>
  <c r="V187" i="12"/>
  <c r="V179" i="12"/>
  <c r="V159" i="12"/>
  <c r="V157" i="12"/>
  <c r="V155" i="12"/>
  <c r="V151" i="12"/>
  <c r="V147" i="12"/>
  <c r="V143" i="12"/>
  <c r="V139" i="12"/>
  <c r="V135" i="12"/>
  <c r="V131" i="12"/>
  <c r="V127" i="12"/>
  <c r="V123" i="12"/>
  <c r="V119" i="12"/>
  <c r="V115" i="12"/>
  <c r="V111" i="12"/>
  <c r="V107" i="12"/>
  <c r="V250" i="12"/>
  <c r="V205" i="12"/>
  <c r="V192" i="12"/>
  <c r="V177" i="12"/>
  <c r="V240" i="12"/>
  <c r="Z12" i="12"/>
  <c r="V204" i="12"/>
  <c r="V221" i="12"/>
  <c r="V248" i="12"/>
  <c r="V225" i="12"/>
  <c r="V197" i="12"/>
  <c r="V173" i="12"/>
  <c r="V176" i="12"/>
  <c r="V224" i="12"/>
  <c r="V184" i="12"/>
  <c r="V172" i="12"/>
  <c r="N22" i="6"/>
  <c r="H26" i="6"/>
  <c r="X18" i="52"/>
  <c r="P27" i="52"/>
  <c r="L18" i="52"/>
  <c r="D27" i="52"/>
  <c r="P27" i="47"/>
  <c r="X18" i="47"/>
  <c r="X18" i="25"/>
  <c r="P27" i="25"/>
  <c r="L18" i="28"/>
  <c r="D27" i="28"/>
  <c r="L18" i="26"/>
  <c r="D27" i="26"/>
  <c r="D27" i="17"/>
  <c r="L18" i="17"/>
  <c r="Z18" i="11"/>
  <c r="T27" i="11"/>
  <c r="P27" i="11"/>
  <c r="X18" i="11"/>
  <c r="T27" i="7"/>
  <c r="Z18" i="7"/>
  <c r="R142" i="30"/>
  <c r="R131" i="30"/>
  <c r="R119" i="30"/>
  <c r="R108" i="30"/>
  <c r="R107" i="30"/>
  <c r="R91" i="30"/>
  <c r="R148" i="30"/>
  <c r="R127" i="30"/>
  <c r="R126" i="30"/>
  <c r="R99" i="30"/>
  <c r="R98" i="30"/>
  <c r="R86" i="30"/>
  <c r="R82" i="30"/>
  <c r="R110" i="30"/>
  <c r="R109" i="30"/>
  <c r="R73" i="30"/>
  <c r="R69" i="30"/>
  <c r="R65" i="30"/>
  <c r="R61" i="30"/>
  <c r="R57" i="30"/>
  <c r="R133" i="30"/>
  <c r="R132" i="30"/>
  <c r="R128" i="30"/>
  <c r="R121" i="30"/>
  <c r="R120" i="30"/>
  <c r="R101" i="30"/>
  <c r="R100" i="30"/>
  <c r="R92" i="30"/>
  <c r="R53" i="30"/>
  <c r="X12" i="30"/>
  <c r="Z12" i="30" s="1"/>
  <c r="R112" i="30"/>
  <c r="R111" i="30"/>
  <c r="R87" i="30"/>
  <c r="R83" i="30"/>
  <c r="R135" i="30"/>
  <c r="R134" i="30"/>
  <c r="R122" i="30"/>
  <c r="R102" i="30"/>
  <c r="R74" i="30"/>
  <c r="R70" i="30"/>
  <c r="R66" i="30"/>
  <c r="R62" i="30"/>
  <c r="R58" i="30"/>
  <c r="R54" i="30"/>
  <c r="R129" i="30"/>
  <c r="R114" i="30"/>
  <c r="R113" i="30"/>
  <c r="R93" i="30"/>
  <c r="R137" i="30"/>
  <c r="R136" i="30"/>
  <c r="R89" i="30"/>
  <c r="R88" i="30"/>
  <c r="R84" i="30"/>
  <c r="R123" i="30"/>
  <c r="R116" i="30"/>
  <c r="R115" i="30"/>
  <c r="R104" i="30"/>
  <c r="R103" i="30"/>
  <c r="R80" i="30"/>
  <c r="R75" i="30"/>
  <c r="R71" i="30"/>
  <c r="R67" i="30"/>
  <c r="R63" i="30"/>
  <c r="R59" i="30"/>
  <c r="R55" i="30"/>
  <c r="R139" i="30"/>
  <c r="R138" i="30"/>
  <c r="R130" i="30"/>
  <c r="R95" i="30"/>
  <c r="R94" i="30"/>
  <c r="R90" i="30"/>
  <c r="R79" i="30"/>
  <c r="R144" i="30"/>
  <c r="R118" i="30"/>
  <c r="R117" i="30"/>
  <c r="R106" i="30"/>
  <c r="R105" i="30"/>
  <c r="R85" i="30"/>
  <c r="R81" i="30"/>
  <c r="P77" i="30"/>
  <c r="R77" i="30" s="1"/>
  <c r="R124" i="30"/>
  <c r="R96" i="30"/>
  <c r="R68" i="30"/>
  <c r="R143" i="30"/>
  <c r="R60" i="30"/>
  <c r="R125" i="30"/>
  <c r="R72" i="30"/>
  <c r="R97" i="30"/>
  <c r="R56" i="30"/>
  <c r="R140" i="30"/>
  <c r="R64" i="30"/>
  <c r="X18" i="22"/>
  <c r="P27" i="22"/>
  <c r="J21" i="105"/>
  <c r="X17" i="109"/>
  <c r="P62" i="109"/>
  <c r="H35" i="108"/>
  <c r="N16" i="108"/>
  <c r="P75" i="101"/>
  <c r="X20" i="101"/>
  <c r="Z20" i="101" s="1"/>
  <c r="R77" i="97"/>
  <c r="R70" i="97"/>
  <c r="R66" i="97"/>
  <c r="R59" i="97"/>
  <c r="R58" i="97"/>
  <c r="R43" i="97"/>
  <c r="R42" i="97"/>
  <c r="R30" i="97"/>
  <c r="R26" i="97"/>
  <c r="R53" i="97"/>
  <c r="R17" i="97"/>
  <c r="R60" i="97"/>
  <c r="R45" i="97"/>
  <c r="R44" i="97"/>
  <c r="R36" i="97"/>
  <c r="X12" i="97"/>
  <c r="Z12" i="97" s="1"/>
  <c r="R87" i="97"/>
  <c r="R72" i="97"/>
  <c r="R71" i="97"/>
  <c r="R67" i="97"/>
  <c r="R32" i="97"/>
  <c r="R31" i="97"/>
  <c r="R27" i="97"/>
  <c r="R55" i="97"/>
  <c r="R54" i="97"/>
  <c r="R46" i="97"/>
  <c r="R23" i="97"/>
  <c r="R18" i="97"/>
  <c r="R82" i="97"/>
  <c r="R73" i="97"/>
  <c r="R61" i="97"/>
  <c r="R37" i="97"/>
  <c r="R33" i="97"/>
  <c r="R22" i="97"/>
  <c r="R20" i="97"/>
  <c r="R78" i="97"/>
  <c r="R68" i="97"/>
  <c r="R56" i="97"/>
  <c r="R28" i="97"/>
  <c r="R24" i="97"/>
  <c r="P20" i="97"/>
  <c r="R63" i="97"/>
  <c r="R62" i="97"/>
  <c r="R39" i="97"/>
  <c r="R38" i="97"/>
  <c r="R34" i="97"/>
  <c r="R69" i="97"/>
  <c r="R57" i="97"/>
  <c r="R50" i="97"/>
  <c r="R49" i="97"/>
  <c r="R47" i="97"/>
  <c r="R74" i="97"/>
  <c r="R65" i="97"/>
  <c r="R48" i="97"/>
  <c r="R52" i="97"/>
  <c r="R84" i="97"/>
  <c r="R40" i="97"/>
  <c r="R25" i="97"/>
  <c r="R75" i="97"/>
  <c r="R64" i="97"/>
  <c r="R29" i="97"/>
  <c r="R80" i="97"/>
  <c r="R51" i="97"/>
  <c r="R41" i="97"/>
  <c r="R35" i="97"/>
  <c r="R16" i="97"/>
  <c r="F20" i="95"/>
  <c r="R67" i="94"/>
  <c r="R66" i="94"/>
  <c r="R55" i="94"/>
  <c r="R54" i="94"/>
  <c r="R34" i="94"/>
  <c r="R61" i="94"/>
  <c r="R46" i="94"/>
  <c r="R45" i="94"/>
  <c r="R29" i="94"/>
  <c r="R25" i="94"/>
  <c r="R70" i="94"/>
  <c r="R48" i="94"/>
  <c r="R47" i="94"/>
  <c r="R62" i="94"/>
  <c r="R58" i="94"/>
  <c r="R31" i="94"/>
  <c r="R30" i="94"/>
  <c r="R26" i="94"/>
  <c r="R74" i="94"/>
  <c r="R32" i="94"/>
  <c r="X12" i="94"/>
  <c r="Z12" i="94" s="1"/>
  <c r="R42" i="94"/>
  <c r="R41" i="94"/>
  <c r="R33" i="94"/>
  <c r="R22" i="94"/>
  <c r="R20" i="94"/>
  <c r="R65" i="94"/>
  <c r="R64" i="94"/>
  <c r="R60" i="94"/>
  <c r="R53" i="94"/>
  <c r="R17" i="94"/>
  <c r="R40" i="94"/>
  <c r="R50" i="94"/>
  <c r="R23" i="94"/>
  <c r="R51" i="94"/>
  <c r="R37" i="94"/>
  <c r="R56" i="94"/>
  <c r="R28" i="94"/>
  <c r="R38" i="94"/>
  <c r="R18" i="94"/>
  <c r="R68" i="94"/>
  <c r="R43" i="94"/>
  <c r="R35" i="94"/>
  <c r="R16" i="94"/>
  <c r="R59" i="94"/>
  <c r="R57" i="94"/>
  <c r="R52" i="94"/>
  <c r="R49" i="94"/>
  <c r="R44" i="94"/>
  <c r="R39" i="94"/>
  <c r="R36" i="94"/>
  <c r="P20" i="94"/>
  <c r="R63" i="94"/>
  <c r="R27" i="94"/>
  <c r="R24" i="94"/>
  <c r="P69" i="88"/>
  <c r="X20" i="88"/>
  <c r="Z20" i="88" s="1"/>
  <c r="N23" i="72"/>
  <c r="H72" i="72"/>
  <c r="J74" i="83"/>
  <c r="J54" i="83"/>
  <c r="J69" i="83"/>
  <c r="J63" i="83"/>
  <c r="J57" i="83"/>
  <c r="J71" i="83"/>
  <c r="J59" i="83"/>
  <c r="J51" i="83"/>
  <c r="J41" i="83"/>
  <c r="J70" i="83"/>
  <c r="J62" i="83"/>
  <c r="J53" i="83"/>
  <c r="J17" i="83"/>
  <c r="J56" i="83"/>
  <c r="J48" i="83"/>
  <c r="J36" i="83"/>
  <c r="N12" i="83"/>
  <c r="J68" i="83"/>
  <c r="J43" i="83"/>
  <c r="J31" i="83"/>
  <c r="J27" i="83"/>
  <c r="J80" i="83"/>
  <c r="J66" i="83"/>
  <c r="J32" i="83"/>
  <c r="J18" i="83"/>
  <c r="J60" i="83"/>
  <c r="J49" i="83"/>
  <c r="J44" i="83"/>
  <c r="J37" i="83"/>
  <c r="J33" i="83"/>
  <c r="J23" i="83"/>
  <c r="J45" i="83"/>
  <c r="J38" i="83"/>
  <c r="J28" i="83"/>
  <c r="J24" i="83"/>
  <c r="J22" i="83"/>
  <c r="J20" i="83"/>
  <c r="J67" i="83"/>
  <c r="J55" i="83"/>
  <c r="J29" i="83"/>
  <c r="J25" i="83"/>
  <c r="J73" i="83"/>
  <c r="J46" i="83"/>
  <c r="J65" i="83"/>
  <c r="J58" i="83"/>
  <c r="J47" i="83"/>
  <c r="J35" i="83"/>
  <c r="J52" i="83"/>
  <c r="J42" i="83"/>
  <c r="J30" i="83"/>
  <c r="J26" i="83"/>
  <c r="J16" i="83"/>
  <c r="J61" i="83"/>
  <c r="J50" i="83"/>
  <c r="J72" i="83"/>
  <c r="J40" i="83"/>
  <c r="J34" i="83"/>
  <c r="H20" i="83"/>
  <c r="J64" i="83"/>
  <c r="J76" i="83"/>
  <c r="J39" i="83"/>
  <c r="F67" i="83"/>
  <c r="F74" i="83"/>
  <c r="F73" i="83"/>
  <c r="F68" i="83"/>
  <c r="F56" i="83"/>
  <c r="F55" i="83"/>
  <c r="F80" i="83"/>
  <c r="F62" i="83"/>
  <c r="F85" i="83"/>
  <c r="F70" i="83"/>
  <c r="F66" i="83"/>
  <c r="F65" i="83"/>
  <c r="F58" i="83"/>
  <c r="F50" i="83"/>
  <c r="F49" i="83"/>
  <c r="F52" i="83"/>
  <c r="F47" i="83"/>
  <c r="F30" i="83"/>
  <c r="F26" i="83"/>
  <c r="F42" i="83"/>
  <c r="F17" i="83"/>
  <c r="F16" i="83"/>
  <c r="F59" i="83"/>
  <c r="F53" i="83"/>
  <c r="F48" i="83"/>
  <c r="F36" i="83"/>
  <c r="L12" i="83"/>
  <c r="F43" i="83"/>
  <c r="F31" i="83"/>
  <c r="F27" i="83"/>
  <c r="F71" i="83"/>
  <c r="F63" i="83"/>
  <c r="F18" i="83"/>
  <c r="F60" i="83"/>
  <c r="F54" i="83"/>
  <c r="F37" i="83"/>
  <c r="F33" i="83"/>
  <c r="F32" i="83"/>
  <c r="F76" i="83"/>
  <c r="F72" i="83"/>
  <c r="F61" i="83"/>
  <c r="F34" i="83"/>
  <c r="D20" i="83"/>
  <c r="F78" i="83"/>
  <c r="F41" i="83"/>
  <c r="F40" i="83"/>
  <c r="F29" i="83"/>
  <c r="F25" i="83"/>
  <c r="F82" i="83"/>
  <c r="F51" i="83"/>
  <c r="F46" i="83"/>
  <c r="F35" i="83"/>
  <c r="F39" i="83"/>
  <c r="F57" i="83"/>
  <c r="F45" i="83"/>
  <c r="F22" i="83"/>
  <c r="F24" i="83"/>
  <c r="F38" i="83"/>
  <c r="F69" i="83"/>
  <c r="F44" i="83"/>
  <c r="F64" i="83"/>
  <c r="F23" i="83"/>
  <c r="F28" i="83"/>
  <c r="F20" i="83"/>
  <c r="R56" i="73"/>
  <c r="R71" i="73"/>
  <c r="R52" i="73"/>
  <c r="R47" i="73"/>
  <c r="R43" i="73"/>
  <c r="R39" i="73"/>
  <c r="R35" i="73"/>
  <c r="R75" i="73"/>
  <c r="R73" i="73"/>
  <c r="R63" i="73"/>
  <c r="R62" i="73"/>
  <c r="R51" i="73"/>
  <c r="R49" i="73"/>
  <c r="R57" i="73"/>
  <c r="R53" i="73"/>
  <c r="P49" i="73"/>
  <c r="R65" i="73"/>
  <c r="R64" i="73"/>
  <c r="R44" i="73"/>
  <c r="R40" i="73"/>
  <c r="R36" i="73"/>
  <c r="R77" i="73"/>
  <c r="R82" i="73"/>
  <c r="R79" i="73"/>
  <c r="R66" i="73"/>
  <c r="R58" i="73"/>
  <c r="R54" i="73"/>
  <c r="R33" i="73"/>
  <c r="X12" i="73"/>
  <c r="Z12" i="73" s="1"/>
  <c r="R68" i="73"/>
  <c r="R67" i="73"/>
  <c r="R60" i="73"/>
  <c r="R59" i="73"/>
  <c r="R55" i="73"/>
  <c r="R46" i="73"/>
  <c r="R42" i="73"/>
  <c r="R38" i="73"/>
  <c r="R34" i="73"/>
  <c r="R70" i="73"/>
  <c r="R69" i="73"/>
  <c r="R61" i="73"/>
  <c r="R41" i="73"/>
  <c r="R45" i="73"/>
  <c r="R37" i="73"/>
  <c r="H64" i="57"/>
  <c r="N16" i="57"/>
  <c r="X53" i="51"/>
  <c r="P99" i="51"/>
  <c r="Z116" i="36"/>
  <c r="V98" i="39"/>
  <c r="V86" i="39"/>
  <c r="V78" i="39"/>
  <c r="V70" i="39"/>
  <c r="V42" i="39"/>
  <c r="V38" i="39"/>
  <c r="V123" i="39"/>
  <c r="V117" i="39"/>
  <c r="V109" i="39"/>
  <c r="V93" i="39"/>
  <c r="V77" i="39"/>
  <c r="V69" i="39"/>
  <c r="V61" i="39"/>
  <c r="V122" i="39"/>
  <c r="V116" i="39"/>
  <c r="V108" i="39"/>
  <c r="V104" i="39"/>
  <c r="V100" i="39"/>
  <c r="V88" i="39"/>
  <c r="V80" i="39"/>
  <c r="V52" i="39"/>
  <c r="V48" i="39"/>
  <c r="V121" i="39"/>
  <c r="V111" i="39"/>
  <c r="V87" i="39"/>
  <c r="V79" i="39"/>
  <c r="V71" i="39"/>
  <c r="V43" i="39"/>
  <c r="V120" i="39"/>
  <c r="V118" i="39"/>
  <c r="V110" i="39"/>
  <c r="V94" i="39"/>
  <c r="V82" i="39"/>
  <c r="V62" i="39"/>
  <c r="V54" i="39"/>
  <c r="V127" i="39"/>
  <c r="V113" i="39"/>
  <c r="V105" i="39"/>
  <c r="V101" i="39"/>
  <c r="V89" i="39"/>
  <c r="V81" i="39"/>
  <c r="V73" i="39"/>
  <c r="V53" i="39"/>
  <c r="V49" i="39"/>
  <c r="V112" i="39"/>
  <c r="V84" i="39"/>
  <c r="V72" i="39"/>
  <c r="V64" i="39"/>
  <c r="V56" i="39"/>
  <c r="V44" i="39"/>
  <c r="V40" i="39"/>
  <c r="V95" i="39"/>
  <c r="V91" i="39"/>
  <c r="V83" i="39"/>
  <c r="V63" i="39"/>
  <c r="V55" i="39"/>
  <c r="V35" i="39"/>
  <c r="V31" i="39"/>
  <c r="V114" i="39"/>
  <c r="V106" i="39"/>
  <c r="V102" i="39"/>
  <c r="V90" i="39"/>
  <c r="V74" i="39"/>
  <c r="V66" i="39"/>
  <c r="V58" i="39"/>
  <c r="V50" i="39"/>
  <c r="V46" i="39"/>
  <c r="V97" i="39"/>
  <c r="V85" i="39"/>
  <c r="V65" i="39"/>
  <c r="V57" i="39"/>
  <c r="V45" i="39"/>
  <c r="V96" i="39"/>
  <c r="V92" i="39"/>
  <c r="V76" i="39"/>
  <c r="V68" i="39"/>
  <c r="V60" i="39"/>
  <c r="V39" i="39"/>
  <c r="T33" i="39"/>
  <c r="V33" i="39" s="1"/>
  <c r="V75" i="39"/>
  <c r="V47" i="39"/>
  <c r="V29" i="39"/>
  <c r="V99" i="39"/>
  <c r="V41" i="39"/>
  <c r="V36" i="39"/>
  <c r="V30" i="39"/>
  <c r="V67" i="39"/>
  <c r="V107" i="39"/>
  <c r="V59" i="39"/>
  <c r="Z12" i="39"/>
  <c r="V51" i="39"/>
  <c r="V37" i="39"/>
  <c r="V103" i="39"/>
  <c r="V115" i="39"/>
  <c r="T121" i="36"/>
  <c r="J80" i="33"/>
  <c r="J66" i="33"/>
  <c r="J56" i="33"/>
  <c r="J44" i="33"/>
  <c r="J40" i="33"/>
  <c r="J91" i="33"/>
  <c r="J81" i="33"/>
  <c r="J75" i="33"/>
  <c r="J67" i="33"/>
  <c r="J57" i="33"/>
  <c r="J90" i="33"/>
  <c r="J82" i="33"/>
  <c r="J68" i="33"/>
  <c r="J58" i="33"/>
  <c r="J50" i="33"/>
  <c r="J95" i="33"/>
  <c r="J89" i="33"/>
  <c r="J83" i="33"/>
  <c r="J69" i="33"/>
  <c r="J88" i="33"/>
  <c r="J84" i="33"/>
  <c r="J76" i="33"/>
  <c r="J70" i="33"/>
  <c r="J60" i="33"/>
  <c r="J87" i="33"/>
  <c r="J71" i="33"/>
  <c r="J61" i="33"/>
  <c r="J51" i="33"/>
  <c r="J86" i="33"/>
  <c r="J72" i="33"/>
  <c r="J62" i="33"/>
  <c r="J46" i="33"/>
  <c r="J42" i="33"/>
  <c r="J77" i="33"/>
  <c r="J73" i="33"/>
  <c r="J52" i="33"/>
  <c r="J78" i="33"/>
  <c r="J74" i="33"/>
  <c r="J64" i="33"/>
  <c r="J54" i="33"/>
  <c r="J48" i="33"/>
  <c r="J55" i="33"/>
  <c r="J33" i="33"/>
  <c r="N12" i="33"/>
  <c r="J29" i="33"/>
  <c r="J53" i="33"/>
  <c r="J49" i="33"/>
  <c r="J34" i="33"/>
  <c r="J30" i="33"/>
  <c r="J79" i="33"/>
  <c r="J47" i="33"/>
  <c r="J45" i="33"/>
  <c r="J43" i="33"/>
  <c r="J65" i="33"/>
  <c r="J63" i="33"/>
  <c r="J38" i="33"/>
  <c r="H36" i="33"/>
  <c r="J31" i="33"/>
  <c r="J59" i="33"/>
  <c r="J41" i="33"/>
  <c r="J39" i="33"/>
  <c r="J32" i="33"/>
  <c r="H115" i="24"/>
  <c r="N266" i="18"/>
  <c r="V70" i="24"/>
  <c r="Z16" i="6"/>
  <c r="T22" i="6"/>
  <c r="L18" i="53"/>
  <c r="D27" i="53"/>
  <c r="T27" i="46"/>
  <c r="Z18" i="46"/>
  <c r="X18" i="46"/>
  <c r="P27" i="46"/>
  <c r="H27" i="46"/>
  <c r="N18" i="46"/>
  <c r="D27" i="46"/>
  <c r="L18" i="46"/>
  <c r="P27" i="44"/>
  <c r="X18" i="44"/>
  <c r="H27" i="44"/>
  <c r="N18" i="44"/>
  <c r="Z18" i="43"/>
  <c r="T27" i="43"/>
  <c r="L18" i="35"/>
  <c r="D27" i="35"/>
  <c r="L18" i="19"/>
  <c r="D27" i="19"/>
  <c r="D27" i="23"/>
  <c r="L18" i="23"/>
  <c r="L18" i="16"/>
  <c r="D27" i="16"/>
  <c r="H27" i="4"/>
  <c r="N18" i="4"/>
  <c r="H27" i="8"/>
  <c r="N18" i="8"/>
  <c r="L18" i="8"/>
  <c r="D27" i="8"/>
  <c r="P39" i="108"/>
  <c r="R79" i="95"/>
  <c r="R78" i="95"/>
  <c r="R67" i="95"/>
  <c r="R66" i="95"/>
  <c r="R62" i="95"/>
  <c r="R55" i="95"/>
  <c r="R54" i="95"/>
  <c r="R73" i="95"/>
  <c r="R81" i="95"/>
  <c r="R80" i="95"/>
  <c r="R69" i="95"/>
  <c r="R68" i="95"/>
  <c r="R57" i="95"/>
  <c r="R56" i="95"/>
  <c r="R63" i="95"/>
  <c r="R84" i="95"/>
  <c r="R64" i="95"/>
  <c r="R49" i="95"/>
  <c r="R48" i="95"/>
  <c r="R88" i="95"/>
  <c r="R51" i="95"/>
  <c r="R50" i="95"/>
  <c r="R34" i="95"/>
  <c r="R76" i="95"/>
  <c r="R74" i="95"/>
  <c r="R61" i="95"/>
  <c r="R42" i="95"/>
  <c r="R41" i="95"/>
  <c r="R29" i="95"/>
  <c r="R25" i="95"/>
  <c r="R65" i="95"/>
  <c r="R72" i="95"/>
  <c r="R44" i="95"/>
  <c r="R43" i="95"/>
  <c r="R35" i="95"/>
  <c r="R16" i="95"/>
  <c r="R77" i="95"/>
  <c r="R59" i="95"/>
  <c r="R30" i="95"/>
  <c r="R26" i="95"/>
  <c r="R70" i="95"/>
  <c r="R45" i="95"/>
  <c r="R17" i="95"/>
  <c r="R36" i="95"/>
  <c r="X12" i="95"/>
  <c r="Z12" i="95" s="1"/>
  <c r="R52" i="95"/>
  <c r="R23" i="95"/>
  <c r="R18" i="95"/>
  <c r="R71" i="95"/>
  <c r="R46" i="95"/>
  <c r="R38" i="95"/>
  <c r="R37" i="95"/>
  <c r="R33" i="95"/>
  <c r="R22" i="95"/>
  <c r="R60" i="95"/>
  <c r="R28" i="95"/>
  <c r="R24" i="95"/>
  <c r="P20" i="95"/>
  <c r="R20" i="95" s="1"/>
  <c r="R53" i="95"/>
  <c r="R32" i="95"/>
  <c r="R27" i="95"/>
  <c r="R31" i="95"/>
  <c r="R58" i="95"/>
  <c r="R47" i="95"/>
  <c r="R82" i="95"/>
  <c r="R75" i="95"/>
  <c r="R40" i="95"/>
  <c r="R39" i="95"/>
  <c r="F65" i="75"/>
  <c r="F64" i="75"/>
  <c r="F37" i="75"/>
  <c r="F33" i="75"/>
  <c r="F60" i="75"/>
  <c r="F52" i="75"/>
  <c r="F67" i="75"/>
  <c r="F66" i="75"/>
  <c r="F54" i="75"/>
  <c r="F53" i="75"/>
  <c r="F38" i="75"/>
  <c r="F34" i="75"/>
  <c r="F69" i="75"/>
  <c r="F68" i="75"/>
  <c r="F61" i="75"/>
  <c r="F56" i="75"/>
  <c r="F55" i="75"/>
  <c r="L12" i="75"/>
  <c r="N12" i="75" s="1"/>
  <c r="F36" i="75"/>
  <c r="F32" i="75"/>
  <c r="F31" i="75"/>
  <c r="F42" i="75"/>
  <c r="D28" i="75"/>
  <c r="F28" i="75" s="1"/>
  <c r="F45" i="75"/>
  <c r="F76" i="75"/>
  <c r="F48" i="75"/>
  <c r="F39" i="75"/>
  <c r="F58" i="75"/>
  <c r="F35" i="75"/>
  <c r="F71" i="75"/>
  <c r="F30" i="75"/>
  <c r="F49" i="75"/>
  <c r="F62" i="75"/>
  <c r="F46" i="75"/>
  <c r="F40" i="75"/>
  <c r="F59" i="75"/>
  <c r="F57" i="75"/>
  <c r="F47" i="75"/>
  <c r="F72" i="75"/>
  <c r="F50" i="75"/>
  <c r="F41" i="75"/>
  <c r="F26" i="75"/>
  <c r="F51" i="75"/>
  <c r="F63" i="75"/>
  <c r="F44" i="75"/>
  <c r="F43" i="75"/>
  <c r="N16" i="54"/>
  <c r="H22" i="54"/>
  <c r="J60" i="69"/>
  <c r="J53" i="69"/>
  <c r="J45" i="69"/>
  <c r="J35" i="69"/>
  <c r="J64" i="69"/>
  <c r="J54" i="69"/>
  <c r="J46" i="69"/>
  <c r="J30" i="69"/>
  <c r="J26" i="69"/>
  <c r="J16" i="69"/>
  <c r="J47" i="69"/>
  <c r="J17" i="69"/>
  <c r="J48" i="69"/>
  <c r="J36" i="69"/>
  <c r="N12" i="69"/>
  <c r="J55" i="69"/>
  <c r="J37" i="69"/>
  <c r="J31" i="69"/>
  <c r="J27" i="69"/>
  <c r="J38" i="69"/>
  <c r="J32" i="69"/>
  <c r="J18" i="69"/>
  <c r="J56" i="69"/>
  <c r="J50" i="69"/>
  <c r="J40" i="69"/>
  <c r="J28" i="69"/>
  <c r="J24" i="69"/>
  <c r="J22" i="69"/>
  <c r="J20" i="69"/>
  <c r="J57" i="69"/>
  <c r="J51" i="69"/>
  <c r="J41" i="69"/>
  <c r="H20" i="69"/>
  <c r="J49" i="69"/>
  <c r="J34" i="69"/>
  <c r="J23" i="69"/>
  <c r="J43" i="69"/>
  <c r="J39" i="69"/>
  <c r="J52" i="69"/>
  <c r="J25" i="69"/>
  <c r="J58" i="69"/>
  <c r="J33" i="69"/>
  <c r="J44" i="69"/>
  <c r="J29" i="69"/>
  <c r="J42" i="69"/>
  <c r="X18" i="111"/>
  <c r="P27" i="111"/>
  <c r="X18" i="110"/>
  <c r="P27" i="110"/>
  <c r="T27" i="44"/>
  <c r="Z18" i="44"/>
  <c r="V59" i="103"/>
  <c r="V47" i="103"/>
  <c r="V80" i="103"/>
  <c r="V78" i="103"/>
  <c r="V60" i="103"/>
  <c r="V48" i="103"/>
  <c r="V71" i="103"/>
  <c r="V67" i="103"/>
  <c r="V51" i="103"/>
  <c r="V84" i="103"/>
  <c r="V62" i="103"/>
  <c r="V50" i="103"/>
  <c r="V73" i="103"/>
  <c r="V53" i="103"/>
  <c r="V41" i="103"/>
  <c r="V75" i="103"/>
  <c r="V63" i="103"/>
  <c r="V55" i="103"/>
  <c r="V43" i="103"/>
  <c r="V57" i="103"/>
  <c r="V54" i="103"/>
  <c r="V40" i="103"/>
  <c r="V36" i="103"/>
  <c r="Z12" i="103"/>
  <c r="V64" i="103"/>
  <c r="V49" i="103"/>
  <c r="V31" i="103"/>
  <c r="V27" i="103"/>
  <c r="V76" i="103"/>
  <c r="V18" i="103"/>
  <c r="V69" i="103"/>
  <c r="V46" i="103"/>
  <c r="V42" i="103"/>
  <c r="V37" i="103"/>
  <c r="V74" i="103"/>
  <c r="V65" i="103"/>
  <c r="V32" i="103"/>
  <c r="V28" i="103"/>
  <c r="V24" i="103"/>
  <c r="V52" i="103"/>
  <c r="V23" i="103"/>
  <c r="V21" i="103"/>
  <c r="V19" i="103"/>
  <c r="V77" i="103"/>
  <c r="V61" i="103"/>
  <c r="V58" i="103"/>
  <c r="V38" i="103"/>
  <c r="V34" i="103"/>
  <c r="T21" i="103"/>
  <c r="V72" i="103"/>
  <c r="V70" i="103"/>
  <c r="V56" i="103"/>
  <c r="V44" i="103"/>
  <c r="V39" i="103"/>
  <c r="V35" i="103"/>
  <c r="V68" i="103"/>
  <c r="V45" i="103"/>
  <c r="V29" i="103"/>
  <c r="V26" i="103"/>
  <c r="V33" i="103"/>
  <c r="V30" i="103"/>
  <c r="V25" i="103"/>
  <c r="V17" i="103"/>
  <c r="V66" i="103"/>
  <c r="H66" i="109"/>
  <c r="T47" i="104"/>
  <c r="X16" i="108"/>
  <c r="Z40" i="99"/>
  <c r="H55" i="100"/>
  <c r="N19" i="100"/>
  <c r="V20" i="94"/>
  <c r="T72" i="94"/>
  <c r="H75" i="101"/>
  <c r="N20" i="101"/>
  <c r="H85" i="91"/>
  <c r="N16" i="91"/>
  <c r="H26" i="85"/>
  <c r="N18" i="85"/>
  <c r="P110" i="84"/>
  <c r="J21" i="82"/>
  <c r="R72" i="75"/>
  <c r="R69" i="75"/>
  <c r="R61" i="75"/>
  <c r="R46" i="75"/>
  <c r="R45" i="75"/>
  <c r="R71" i="75"/>
  <c r="R57" i="75"/>
  <c r="R56" i="75"/>
  <c r="R76" i="75"/>
  <c r="R62" i="75"/>
  <c r="R58" i="75"/>
  <c r="R31" i="75"/>
  <c r="R36" i="75"/>
  <c r="R32" i="75"/>
  <c r="P28" i="75"/>
  <c r="R28" i="75" s="1"/>
  <c r="R66" i="75"/>
  <c r="R65" i="75"/>
  <c r="R60" i="75"/>
  <c r="R53" i="75"/>
  <c r="R52" i="75"/>
  <c r="R55" i="75"/>
  <c r="R54" i="75"/>
  <c r="R38" i="75"/>
  <c r="R34" i="75"/>
  <c r="R68" i="75"/>
  <c r="R42" i="75"/>
  <c r="R35" i="75"/>
  <c r="R33" i="75"/>
  <c r="R64" i="75"/>
  <c r="R49" i="75"/>
  <c r="R40" i="75"/>
  <c r="R50" i="75"/>
  <c r="R26" i="75"/>
  <c r="R43" i="75"/>
  <c r="R59" i="75"/>
  <c r="R47" i="75"/>
  <c r="R44" i="75"/>
  <c r="R41" i="75"/>
  <c r="R63" i="75"/>
  <c r="R48" i="75"/>
  <c r="R67" i="75"/>
  <c r="R30" i="75"/>
  <c r="X12" i="75"/>
  <c r="R39" i="75"/>
  <c r="R37" i="75"/>
  <c r="R51" i="75"/>
  <c r="V96" i="76"/>
  <c r="V90" i="76"/>
  <c r="V82" i="76"/>
  <c r="V74" i="76"/>
  <c r="V62" i="76"/>
  <c r="V58" i="76"/>
  <c r="V95" i="76"/>
  <c r="V85" i="76"/>
  <c r="V73" i="76"/>
  <c r="V49" i="76"/>
  <c r="V45" i="76"/>
  <c r="V41" i="76"/>
  <c r="V94" i="76"/>
  <c r="V92" i="76"/>
  <c r="V84" i="76"/>
  <c r="V76" i="76"/>
  <c r="V68" i="76"/>
  <c r="Z12" i="76"/>
  <c r="V101" i="76"/>
  <c r="V87" i="76"/>
  <c r="V75" i="76"/>
  <c r="V63" i="76"/>
  <c r="V59" i="76"/>
  <c r="V86" i="76"/>
  <c r="V78" i="76"/>
  <c r="V50" i="76"/>
  <c r="V46" i="76"/>
  <c r="V42" i="76"/>
  <c r="V38" i="76"/>
  <c r="V77" i="76"/>
  <c r="V69" i="76"/>
  <c r="V70" i="76"/>
  <c r="V66" i="76"/>
  <c r="T53" i="76"/>
  <c r="V89" i="76"/>
  <c r="V81" i="76"/>
  <c r="V65" i="76"/>
  <c r="V61" i="76"/>
  <c r="V57" i="76"/>
  <c r="V80" i="76"/>
  <c r="V72" i="76"/>
  <c r="V48" i="76"/>
  <c r="V44" i="76"/>
  <c r="V40" i="76"/>
  <c r="V97" i="76"/>
  <c r="V91" i="76"/>
  <c r="V83" i="76"/>
  <c r="V71" i="76"/>
  <c r="V67" i="76"/>
  <c r="V55" i="76"/>
  <c r="V79" i="76"/>
  <c r="V47" i="76"/>
  <c r="V39" i="76"/>
  <c r="V56" i="76"/>
  <c r="V53" i="76"/>
  <c r="V60" i="76"/>
  <c r="V51" i="76"/>
  <c r="V43" i="76"/>
  <c r="V88" i="76"/>
  <c r="V64" i="76"/>
  <c r="R17" i="82"/>
  <c r="X12" i="82"/>
  <c r="Z12" i="82" s="1"/>
  <c r="R18" i="82"/>
  <c r="P21" i="82"/>
  <c r="R29" i="82"/>
  <c r="R19" i="82"/>
  <c r="R23" i="82"/>
  <c r="R25" i="82"/>
  <c r="X20" i="69"/>
  <c r="Z20" i="69" s="1"/>
  <c r="P62" i="69"/>
  <c r="J85" i="68"/>
  <c r="J71" i="68"/>
  <c r="J67" i="68"/>
  <c r="J102" i="68"/>
  <c r="J94" i="68"/>
  <c r="J86" i="68"/>
  <c r="J58" i="68"/>
  <c r="J54" i="68"/>
  <c r="J50" i="68"/>
  <c r="J46" i="68"/>
  <c r="J95" i="68"/>
  <c r="J87" i="68"/>
  <c r="J77" i="68"/>
  <c r="J106" i="68"/>
  <c r="J96" i="68"/>
  <c r="J88" i="68"/>
  <c r="J78" i="68"/>
  <c r="J72" i="68"/>
  <c r="J68" i="68"/>
  <c r="J42" i="68"/>
  <c r="J89" i="68"/>
  <c r="J79" i="68"/>
  <c r="J73" i="68"/>
  <c r="J59" i="68"/>
  <c r="J55" i="68"/>
  <c r="J51" i="68"/>
  <c r="J47" i="68"/>
  <c r="J43" i="68"/>
  <c r="J90" i="68"/>
  <c r="J80" i="68"/>
  <c r="J74" i="68"/>
  <c r="J64" i="68"/>
  <c r="J82" i="68"/>
  <c r="H61" i="68"/>
  <c r="J56" i="68"/>
  <c r="J52" i="68"/>
  <c r="J48" i="68"/>
  <c r="J44" i="68"/>
  <c r="J65" i="68"/>
  <c r="J45" i="68"/>
  <c r="J93" i="68"/>
  <c r="J69" i="68"/>
  <c r="J49" i="68"/>
  <c r="J63" i="68"/>
  <c r="J53" i="68"/>
  <c r="J76" i="68"/>
  <c r="J57" i="68"/>
  <c r="J98" i="68"/>
  <c r="J91" i="68"/>
  <c r="J83" i="68"/>
  <c r="J99" i="68"/>
  <c r="J92" i="68"/>
  <c r="J70" i="68"/>
  <c r="J75" i="68"/>
  <c r="J84" i="68"/>
  <c r="J100" i="68"/>
  <c r="J81" i="68"/>
  <c r="J66" i="68"/>
  <c r="J97" i="68"/>
  <c r="N12" i="68"/>
  <c r="P99" i="76"/>
  <c r="P97" i="63"/>
  <c r="X16" i="63"/>
  <c r="L16" i="57"/>
  <c r="D64" i="57"/>
  <c r="H62" i="48"/>
  <c r="F52" i="69"/>
  <c r="F44" i="69"/>
  <c r="F43" i="69"/>
  <c r="F62" i="69"/>
  <c r="F60" i="69"/>
  <c r="F35" i="69"/>
  <c r="F64" i="69"/>
  <c r="F54" i="69"/>
  <c r="F53" i="69"/>
  <c r="F46" i="69"/>
  <c r="F45" i="69"/>
  <c r="F30" i="69"/>
  <c r="F26" i="69"/>
  <c r="F17" i="69"/>
  <c r="F16" i="69"/>
  <c r="F48" i="69"/>
  <c r="F47" i="69"/>
  <c r="F36" i="69"/>
  <c r="L12" i="69"/>
  <c r="F69" i="69"/>
  <c r="F66" i="69"/>
  <c r="F55" i="69"/>
  <c r="F31" i="69"/>
  <c r="F27" i="69"/>
  <c r="F49" i="69"/>
  <c r="F33" i="69"/>
  <c r="F32" i="69"/>
  <c r="F56" i="69"/>
  <c r="F40" i="69"/>
  <c r="F39" i="69"/>
  <c r="F28" i="69"/>
  <c r="F24" i="69"/>
  <c r="F23" i="69"/>
  <c r="F42" i="69"/>
  <c r="F22" i="69"/>
  <c r="F57" i="69"/>
  <c r="F34" i="69"/>
  <c r="F20" i="69"/>
  <c r="D20" i="69"/>
  <c r="F50" i="69"/>
  <c r="F41" i="69"/>
  <c r="F25" i="69"/>
  <c r="F58" i="69"/>
  <c r="F37" i="69"/>
  <c r="F29" i="69"/>
  <c r="F18" i="69"/>
  <c r="F38" i="69"/>
  <c r="F51" i="69"/>
  <c r="F53" i="51"/>
  <c r="H90" i="45"/>
  <c r="N23" i="45"/>
  <c r="J28" i="36"/>
  <c r="V86" i="33"/>
  <c r="R176" i="18"/>
  <c r="P252" i="15"/>
  <c r="X152" i="15"/>
  <c r="N242" i="15"/>
  <c r="J242" i="15"/>
  <c r="V291" i="3"/>
  <c r="V249" i="3"/>
  <c r="V241" i="3"/>
  <c r="V221" i="3"/>
  <c r="V213" i="3"/>
  <c r="V201" i="3"/>
  <c r="V197" i="3"/>
  <c r="V193" i="3"/>
  <c r="V277" i="3"/>
  <c r="V261" i="3"/>
  <c r="V185" i="3"/>
  <c r="V181" i="3"/>
  <c r="V177" i="3"/>
  <c r="V173" i="3"/>
  <c r="V290" i="3"/>
  <c r="V284" i="3"/>
  <c r="V276" i="3"/>
  <c r="V260" i="3"/>
  <c r="V256" i="3"/>
  <c r="V240" i="3"/>
  <c r="V232" i="3"/>
  <c r="V216" i="3"/>
  <c r="V184" i="3"/>
  <c r="V180" i="3"/>
  <c r="V176" i="3"/>
  <c r="V172" i="3"/>
  <c r="V168" i="3"/>
  <c r="V164" i="3"/>
  <c r="V160" i="3"/>
  <c r="V156" i="3"/>
  <c r="V152" i="3"/>
  <c r="V148" i="3"/>
  <c r="V144" i="3"/>
  <c r="V140" i="3"/>
  <c r="V136" i="3"/>
  <c r="V132" i="3"/>
  <c r="V289" i="3"/>
  <c r="V283" i="3"/>
  <c r="V271" i="3"/>
  <c r="V267" i="3"/>
  <c r="V255" i="3"/>
  <c r="V243" i="3"/>
  <c r="V231" i="3"/>
  <c r="V223" i="3"/>
  <c r="V215" i="3"/>
  <c r="V207" i="3"/>
  <c r="V203" i="3"/>
  <c r="V257" i="3"/>
  <c r="V233" i="3"/>
  <c r="V288" i="3"/>
  <c r="V278" i="3"/>
  <c r="V262" i="3"/>
  <c r="V250" i="3"/>
  <c r="V242" i="3"/>
  <c r="V222" i="3"/>
  <c r="V198" i="3"/>
  <c r="V194" i="3"/>
  <c r="V287" i="3"/>
  <c r="V245" i="3"/>
  <c r="V225" i="3"/>
  <c r="V217" i="3"/>
  <c r="V133" i="3"/>
  <c r="V298" i="3"/>
  <c r="V280" i="3"/>
  <c r="V272" i="3"/>
  <c r="V268" i="3"/>
  <c r="V252" i="3"/>
  <c r="V244" i="3"/>
  <c r="V224" i="3"/>
  <c r="V208" i="3"/>
  <c r="V204" i="3"/>
  <c r="Z12" i="3"/>
  <c r="V306" i="3"/>
  <c r="V264" i="3"/>
  <c r="V236" i="3"/>
  <c r="V297" i="3"/>
  <c r="V279" i="3"/>
  <c r="V263" i="3"/>
  <c r="V251" i="3"/>
  <c r="V247" i="3"/>
  <c r="V235" i="3"/>
  <c r="V227" i="3"/>
  <c r="V199" i="3"/>
  <c r="V195" i="3"/>
  <c r="V191" i="3"/>
  <c r="V307" i="3"/>
  <c r="V302" i="3"/>
  <c r="V248" i="3"/>
  <c r="V296" i="3"/>
  <c r="V258" i="3"/>
  <c r="V246" i="3"/>
  <c r="V234" i="3"/>
  <c r="V226" i="3"/>
  <c r="V218" i="3"/>
  <c r="V210" i="3"/>
  <c r="V190" i="3"/>
  <c r="V186" i="3"/>
  <c r="V182" i="3"/>
  <c r="V178" i="3"/>
  <c r="V174" i="3"/>
  <c r="V170" i="3"/>
  <c r="V166" i="3"/>
  <c r="V162" i="3"/>
  <c r="V158" i="3"/>
  <c r="V154" i="3"/>
  <c r="V150" i="3"/>
  <c r="V146" i="3"/>
  <c r="V142" i="3"/>
  <c r="V138" i="3"/>
  <c r="V134" i="3"/>
  <c r="V130" i="3"/>
  <c r="V295" i="3"/>
  <c r="V281" i="3"/>
  <c r="V273" i="3"/>
  <c r="V269" i="3"/>
  <c r="V265" i="3"/>
  <c r="V253" i="3"/>
  <c r="V237" i="3"/>
  <c r="V229" i="3"/>
  <c r="V209" i="3"/>
  <c r="V205" i="3"/>
  <c r="T188" i="3"/>
  <c r="V294" i="3"/>
  <c r="V293" i="3"/>
  <c r="V275" i="3"/>
  <c r="V259" i="3"/>
  <c r="V239" i="3"/>
  <c r="V219" i="3"/>
  <c r="V211" i="3"/>
  <c r="V183" i="3"/>
  <c r="V179" i="3"/>
  <c r="V175" i="3"/>
  <c r="V171" i="3"/>
  <c r="V167" i="3"/>
  <c r="V163" i="3"/>
  <c r="V159" i="3"/>
  <c r="V155" i="3"/>
  <c r="V151" i="3"/>
  <c r="V147" i="3"/>
  <c r="V143" i="3"/>
  <c r="V139" i="3"/>
  <c r="V135" i="3"/>
  <c r="V131" i="3"/>
  <c r="V292" i="3"/>
  <c r="V282" i="3"/>
  <c r="V274" i="3"/>
  <c r="V270" i="3"/>
  <c r="V266" i="3"/>
  <c r="V254" i="3"/>
  <c r="V238" i="3"/>
  <c r="V230" i="3"/>
  <c r="V214" i="3"/>
  <c r="V206" i="3"/>
  <c r="V202" i="3"/>
  <c r="V285" i="3"/>
  <c r="V169" i="3"/>
  <c r="V165" i="3"/>
  <c r="V161" i="3"/>
  <c r="V157" i="3"/>
  <c r="V153" i="3"/>
  <c r="V149" i="3"/>
  <c r="V145" i="3"/>
  <c r="V141" i="3"/>
  <c r="V137" i="3"/>
  <c r="V196" i="3"/>
  <c r="V212" i="3"/>
  <c r="V192" i="3"/>
  <c r="V200" i="3"/>
  <c r="V228" i="3"/>
  <c r="V220" i="3"/>
  <c r="T27" i="111"/>
  <c r="Z18" i="111"/>
  <c r="P27" i="53"/>
  <c r="X18" i="53"/>
  <c r="H27" i="52"/>
  <c r="N18" i="52"/>
  <c r="D27" i="49"/>
  <c r="L18" i="49"/>
  <c r="H27" i="43"/>
  <c r="N18" i="43"/>
  <c r="T27" i="41"/>
  <c r="Z18" i="41"/>
  <c r="X18" i="41"/>
  <c r="P27" i="41"/>
  <c r="H27" i="40"/>
  <c r="N18" i="40"/>
  <c r="H27" i="37"/>
  <c r="N18" i="37"/>
  <c r="P27" i="38"/>
  <c r="X18" i="38"/>
  <c r="X18" i="32"/>
  <c r="P27" i="32"/>
  <c r="D27" i="29"/>
  <c r="L18" i="29"/>
  <c r="T27" i="20"/>
  <c r="Z18" i="20"/>
  <c r="L18" i="20"/>
  <c r="D27" i="20"/>
  <c r="L18" i="14"/>
  <c r="D27" i="14"/>
  <c r="D27" i="13"/>
  <c r="L18" i="13"/>
  <c r="T300" i="3" l="1"/>
  <c r="X27" i="47"/>
  <c r="P31" i="47"/>
  <c r="Z27" i="47"/>
  <c r="T31" i="47"/>
  <c r="D26" i="54"/>
  <c r="L22" i="54"/>
  <c r="T39" i="108"/>
  <c r="T75" i="58"/>
  <c r="Z71" i="58"/>
  <c r="X71" i="58"/>
  <c r="N27" i="112"/>
  <c r="H31" i="112"/>
  <c r="P282" i="18"/>
  <c r="R278" i="18"/>
  <c r="X21" i="82"/>
  <c r="Z21" i="82" s="1"/>
  <c r="P27" i="82"/>
  <c r="T76" i="94"/>
  <c r="V72" i="94"/>
  <c r="Z27" i="111"/>
  <c r="T31" i="111"/>
  <c r="X97" i="63"/>
  <c r="Z97" i="63" s="1"/>
  <c r="P101" i="63"/>
  <c r="T99" i="76"/>
  <c r="N27" i="4"/>
  <c r="H31" i="4"/>
  <c r="N27" i="44"/>
  <c r="H31" i="44"/>
  <c r="H93" i="33"/>
  <c r="N36" i="33"/>
  <c r="P72" i="94"/>
  <c r="X20" i="94"/>
  <c r="Z20" i="94" s="1"/>
  <c r="Z27" i="7"/>
  <c r="T31" i="7"/>
  <c r="T260" i="12"/>
  <c r="H62" i="78"/>
  <c r="T26" i="86"/>
  <c r="Z22" i="86"/>
  <c r="P69" i="92"/>
  <c r="X19" i="92"/>
  <c r="Z19" i="92" s="1"/>
  <c r="T62" i="100"/>
  <c r="V59" i="100"/>
  <c r="H53" i="60"/>
  <c r="J20" i="88"/>
  <c r="L46" i="102"/>
  <c r="N46" i="102" s="1"/>
  <c r="D50" i="102"/>
  <c r="N27" i="5"/>
  <c r="H31" i="5"/>
  <c r="D76" i="72"/>
  <c r="L72" i="72"/>
  <c r="N27" i="7"/>
  <c r="H31" i="7"/>
  <c r="T31" i="49"/>
  <c r="Z27" i="49"/>
  <c r="N56" i="27"/>
  <c r="H114" i="27"/>
  <c r="L56" i="27"/>
  <c r="D101" i="63"/>
  <c r="L97" i="63"/>
  <c r="P72" i="79"/>
  <c r="R68" i="79"/>
  <c r="N27" i="29"/>
  <c r="H31" i="29"/>
  <c r="H31" i="111"/>
  <c r="N27" i="111"/>
  <c r="T278" i="18"/>
  <c r="P105" i="21"/>
  <c r="R102" i="21"/>
  <c r="L33" i="39"/>
  <c r="D125" i="39"/>
  <c r="T35" i="55"/>
  <c r="X31" i="55"/>
  <c r="Z31" i="55" s="1"/>
  <c r="H72" i="56"/>
  <c r="L80" i="97"/>
  <c r="N80" i="97" s="1"/>
  <c r="D84" i="97"/>
  <c r="N27" i="26"/>
  <c r="H31" i="26"/>
  <c r="P31" i="6"/>
  <c r="D38" i="55"/>
  <c r="H50" i="99"/>
  <c r="H282" i="18"/>
  <c r="J278" i="18"/>
  <c r="P117" i="74"/>
  <c r="X69" i="74"/>
  <c r="Z69" i="74" s="1"/>
  <c r="T79" i="101"/>
  <c r="V75" i="101"/>
  <c r="Z121" i="36"/>
  <c r="T125" i="36"/>
  <c r="V121" i="36"/>
  <c r="L27" i="37"/>
  <c r="D31" i="37"/>
  <c r="D121" i="27"/>
  <c r="F118" i="27"/>
  <c r="H94" i="45"/>
  <c r="J90" i="45"/>
  <c r="L27" i="52"/>
  <c r="D31" i="52"/>
  <c r="P86" i="103"/>
  <c r="R82" i="103"/>
  <c r="P125" i="36"/>
  <c r="X121" i="36"/>
  <c r="R121" i="36"/>
  <c r="L27" i="19"/>
  <c r="D31" i="19"/>
  <c r="L27" i="20"/>
  <c r="D31" i="20"/>
  <c r="T31" i="20"/>
  <c r="Z27" i="20"/>
  <c r="X53" i="76"/>
  <c r="Z53" i="76" s="1"/>
  <c r="T82" i="103"/>
  <c r="Z21" i="103"/>
  <c r="N22" i="54"/>
  <c r="H26" i="54"/>
  <c r="D31" i="16"/>
  <c r="L27" i="16"/>
  <c r="T26" i="6"/>
  <c r="Z22" i="6"/>
  <c r="H78" i="83"/>
  <c r="T119" i="24"/>
  <c r="V115" i="24"/>
  <c r="H125" i="36"/>
  <c r="J121" i="36"/>
  <c r="Z27" i="22"/>
  <c r="T31" i="22"/>
  <c r="T31" i="31"/>
  <c r="Z27" i="31"/>
  <c r="Z26" i="62"/>
  <c r="T29" i="62"/>
  <c r="X26" i="62"/>
  <c r="Z27" i="53"/>
  <c r="T31" i="53"/>
  <c r="H102" i="21"/>
  <c r="J98" i="21"/>
  <c r="L27" i="82"/>
  <c r="D31" i="82"/>
  <c r="F27" i="82"/>
  <c r="X27" i="8"/>
  <c r="P31" i="8"/>
  <c r="D31" i="112"/>
  <c r="L27" i="112"/>
  <c r="T121" i="74"/>
  <c r="V117" i="74"/>
  <c r="N27" i="25"/>
  <c r="H31" i="25"/>
  <c r="L27" i="34"/>
  <c r="D31" i="34"/>
  <c r="L43" i="99"/>
  <c r="N43" i="99" s="1"/>
  <c r="D47" i="99"/>
  <c r="P31" i="4"/>
  <c r="X27" i="4"/>
  <c r="P31" i="35"/>
  <c r="X27" i="35"/>
  <c r="D79" i="73"/>
  <c r="P50" i="99"/>
  <c r="L27" i="31"/>
  <c r="D31" i="31"/>
  <c r="N27" i="14"/>
  <c r="H31" i="14"/>
  <c r="Z27" i="14"/>
  <c r="T31" i="14"/>
  <c r="N27" i="38"/>
  <c r="H31" i="38"/>
  <c r="Z27" i="112"/>
  <c r="T31" i="112"/>
  <c r="T150" i="30"/>
  <c r="V146" i="30"/>
  <c r="D31" i="29"/>
  <c r="L27" i="29"/>
  <c r="X99" i="76"/>
  <c r="P103" i="76"/>
  <c r="R99" i="76"/>
  <c r="D103" i="76"/>
  <c r="F99" i="76"/>
  <c r="H34" i="98"/>
  <c r="L70" i="24"/>
  <c r="N70" i="24" s="1"/>
  <c r="D115" i="24"/>
  <c r="D51" i="104"/>
  <c r="L47" i="104"/>
  <c r="D78" i="83"/>
  <c r="L20" i="83"/>
  <c r="N20" i="83" s="1"/>
  <c r="Z27" i="11"/>
  <c r="T31" i="11"/>
  <c r="X27" i="31"/>
  <c r="P31" i="31"/>
  <c r="D62" i="78"/>
  <c r="L24" i="78"/>
  <c r="N24" i="78" s="1"/>
  <c r="T73" i="92"/>
  <c r="V69" i="92"/>
  <c r="D65" i="59"/>
  <c r="L27" i="5"/>
  <c r="D31" i="5"/>
  <c r="P93" i="33"/>
  <c r="X36" i="33"/>
  <c r="Z36" i="33" s="1"/>
  <c r="T68" i="57"/>
  <c r="H31" i="41"/>
  <c r="N27" i="41"/>
  <c r="P62" i="78"/>
  <c r="X24" i="78"/>
  <c r="H31" i="17"/>
  <c r="N27" i="17"/>
  <c r="T31" i="34"/>
  <c r="Z27" i="34"/>
  <c r="H95" i="9"/>
  <c r="P26" i="86"/>
  <c r="X22" i="86"/>
  <c r="H31" i="43"/>
  <c r="N27" i="43"/>
  <c r="D62" i="69"/>
  <c r="L20" i="69"/>
  <c r="P114" i="84"/>
  <c r="R110" i="84"/>
  <c r="D31" i="23"/>
  <c r="L27" i="23"/>
  <c r="D31" i="46"/>
  <c r="L27" i="46"/>
  <c r="J36" i="33"/>
  <c r="P79" i="101"/>
  <c r="X75" i="101"/>
  <c r="Z75" i="101" s="1"/>
  <c r="P31" i="19"/>
  <c r="X27" i="19"/>
  <c r="N27" i="50"/>
  <c r="H31" i="50"/>
  <c r="X27" i="17"/>
  <c r="P31" i="17"/>
  <c r="D31" i="111"/>
  <c r="L27" i="111"/>
  <c r="H103" i="51"/>
  <c r="J99" i="51"/>
  <c r="P78" i="83"/>
  <c r="X20" i="83"/>
  <c r="N27" i="16"/>
  <c r="H31" i="16"/>
  <c r="Z27" i="29"/>
  <c r="T31" i="29"/>
  <c r="J56" i="27"/>
  <c r="L71" i="58"/>
  <c r="D75" i="58"/>
  <c r="H113" i="70"/>
  <c r="Z27" i="8"/>
  <c r="T31" i="8"/>
  <c r="X176" i="18"/>
  <c r="Z176" i="18" s="1"/>
  <c r="Z27" i="13"/>
  <c r="T31" i="13"/>
  <c r="T31" i="35"/>
  <c r="Z27" i="35"/>
  <c r="D39" i="108"/>
  <c r="L35" i="108"/>
  <c r="Z27" i="28"/>
  <c r="T31" i="28"/>
  <c r="D116" i="42"/>
  <c r="L27" i="42"/>
  <c r="N27" i="42" s="1"/>
  <c r="N26" i="62"/>
  <c r="H29" i="62"/>
  <c r="N29" i="62" s="1"/>
  <c r="P76" i="72"/>
  <c r="D66" i="109"/>
  <c r="L62" i="109"/>
  <c r="N62" i="109" s="1"/>
  <c r="F62" i="109"/>
  <c r="H31" i="22"/>
  <c r="N27" i="22"/>
  <c r="X27" i="40"/>
  <c r="P31" i="40"/>
  <c r="T31" i="25"/>
  <c r="Z27" i="25"/>
  <c r="Z27" i="40"/>
  <c r="T31" i="40"/>
  <c r="T84" i="105"/>
  <c r="X21" i="105"/>
  <c r="Z21" i="105" s="1"/>
  <c r="P31" i="50"/>
  <c r="X27" i="50"/>
  <c r="D31" i="11"/>
  <c r="L27" i="11"/>
  <c r="D31" i="41"/>
  <c r="L27" i="41"/>
  <c r="X48" i="67"/>
  <c r="Z48" i="67" s="1"/>
  <c r="P52" i="67"/>
  <c r="L86" i="95"/>
  <c r="D90" i="95"/>
  <c r="F86" i="95"/>
  <c r="X27" i="10"/>
  <c r="P31" i="10"/>
  <c r="L27" i="43"/>
  <c r="D31" i="43"/>
  <c r="D121" i="36"/>
  <c r="L28" i="36"/>
  <c r="N28" i="36" s="1"/>
  <c r="N58" i="59"/>
  <c r="H62" i="59"/>
  <c r="D95" i="9"/>
  <c r="L91" i="9"/>
  <c r="N91" i="9" s="1"/>
  <c r="L26" i="62"/>
  <c r="D29" i="62"/>
  <c r="L29" i="62" s="1"/>
  <c r="V69" i="80"/>
  <c r="T73" i="80"/>
  <c r="D69" i="93"/>
  <c r="L65" i="93"/>
  <c r="D84" i="105"/>
  <c r="L21" i="105"/>
  <c r="N21" i="105" s="1"/>
  <c r="H69" i="93"/>
  <c r="N65" i="93"/>
  <c r="J65" i="93"/>
  <c r="H35" i="55"/>
  <c r="N31" i="55"/>
  <c r="H256" i="15"/>
  <c r="J252" i="15"/>
  <c r="L27" i="32"/>
  <c r="D31" i="32"/>
  <c r="Z27" i="41"/>
  <c r="T31" i="41"/>
  <c r="P31" i="11"/>
  <c r="X27" i="11"/>
  <c r="H55" i="61"/>
  <c r="R91" i="105"/>
  <c r="T117" i="70"/>
  <c r="V113" i="70"/>
  <c r="H31" i="10"/>
  <c r="N27" i="10"/>
  <c r="H59" i="100"/>
  <c r="L27" i="110"/>
  <c r="D31" i="110"/>
  <c r="P31" i="52"/>
  <c r="X27" i="52"/>
  <c r="D52" i="67"/>
  <c r="L48" i="67"/>
  <c r="D31" i="13"/>
  <c r="L27" i="13"/>
  <c r="P31" i="38"/>
  <c r="X27" i="38"/>
  <c r="L27" i="49"/>
  <c r="D31" i="49"/>
  <c r="H104" i="68"/>
  <c r="N61" i="68"/>
  <c r="H30" i="85"/>
  <c r="J26" i="85"/>
  <c r="Z27" i="44"/>
  <c r="T31" i="44"/>
  <c r="X35" i="108"/>
  <c r="Z35" i="108" s="1"/>
  <c r="N27" i="46"/>
  <c r="H31" i="46"/>
  <c r="H119" i="24"/>
  <c r="J115" i="24"/>
  <c r="T125" i="39"/>
  <c r="P103" i="51"/>
  <c r="X99" i="51"/>
  <c r="R99" i="51"/>
  <c r="H39" i="108"/>
  <c r="N35" i="108"/>
  <c r="D31" i="17"/>
  <c r="L27" i="17"/>
  <c r="P31" i="26"/>
  <c r="X27" i="26"/>
  <c r="P31" i="49"/>
  <c r="X27" i="49"/>
  <c r="T98" i="21"/>
  <c r="X26" i="21"/>
  <c r="Z26" i="21" s="1"/>
  <c r="T62" i="78"/>
  <c r="Z24" i="78"/>
  <c r="H73" i="92"/>
  <c r="J69" i="92"/>
  <c r="T72" i="72"/>
  <c r="X72" i="72" s="1"/>
  <c r="Z23" i="72"/>
  <c r="V21" i="105"/>
  <c r="L82" i="103"/>
  <c r="D86" i="103"/>
  <c r="F82" i="103"/>
  <c r="N27" i="110"/>
  <c r="H31" i="110"/>
  <c r="P260" i="12"/>
  <c r="X157" i="12"/>
  <c r="Z157" i="12" s="1"/>
  <c r="R157" i="12"/>
  <c r="T69" i="93"/>
  <c r="V65" i="93"/>
  <c r="T30" i="85"/>
  <c r="V26" i="85"/>
  <c r="X27" i="28"/>
  <c r="P31" i="28"/>
  <c r="H304" i="3"/>
  <c r="J300" i="3"/>
  <c r="H120" i="42"/>
  <c r="J116" i="42"/>
  <c r="T55" i="67"/>
  <c r="T31" i="32"/>
  <c r="Z27" i="32"/>
  <c r="F21" i="105"/>
  <c r="Z27" i="17"/>
  <c r="T31" i="17"/>
  <c r="N27" i="35"/>
  <c r="H31" i="35"/>
  <c r="T78" i="83"/>
  <c r="Z20" i="83"/>
  <c r="L27" i="10"/>
  <c r="D31" i="10"/>
  <c r="D31" i="47"/>
  <c r="L27" i="47"/>
  <c r="L22" i="6"/>
  <c r="D26" i="6"/>
  <c r="N53" i="76"/>
  <c r="H99" i="76"/>
  <c r="H114" i="84"/>
  <c r="J110" i="84"/>
  <c r="Z27" i="5"/>
  <c r="T31" i="5"/>
  <c r="H146" i="30"/>
  <c r="L93" i="33"/>
  <c r="D97" i="33"/>
  <c r="F93" i="33"/>
  <c r="N27" i="19"/>
  <c r="H31" i="19"/>
  <c r="H72" i="94"/>
  <c r="V188" i="3"/>
  <c r="P73" i="88"/>
  <c r="X69" i="88"/>
  <c r="L27" i="14"/>
  <c r="D31" i="14"/>
  <c r="P66" i="69"/>
  <c r="X62" i="69"/>
  <c r="T51" i="104"/>
  <c r="V47" i="104"/>
  <c r="X27" i="110"/>
  <c r="P31" i="110"/>
  <c r="L27" i="8"/>
  <c r="D31" i="8"/>
  <c r="L27" i="35"/>
  <c r="D31" i="35"/>
  <c r="X27" i="46"/>
  <c r="P31" i="46"/>
  <c r="P66" i="109"/>
  <c r="R62" i="109"/>
  <c r="L27" i="26"/>
  <c r="D31" i="26"/>
  <c r="H31" i="6"/>
  <c r="N26" i="6"/>
  <c r="T114" i="27"/>
  <c r="P75" i="56"/>
  <c r="T89" i="91"/>
  <c r="D30" i="85"/>
  <c r="L26" i="85"/>
  <c r="N26" i="85" s="1"/>
  <c r="N27" i="23"/>
  <c r="H31" i="23"/>
  <c r="P304" i="3"/>
  <c r="X300" i="3"/>
  <c r="R300" i="3"/>
  <c r="X64" i="57"/>
  <c r="Z64" i="57" s="1"/>
  <c r="V34" i="82"/>
  <c r="P83" i="107"/>
  <c r="X21" i="107"/>
  <c r="Z21" i="107" s="1"/>
  <c r="N22" i="86"/>
  <c r="H26" i="86"/>
  <c r="H264" i="12"/>
  <c r="J260" i="12"/>
  <c r="P90" i="45"/>
  <c r="X23" i="45"/>
  <c r="Z23" i="45" s="1"/>
  <c r="R23" i="45"/>
  <c r="D103" i="51"/>
  <c r="L99" i="51"/>
  <c r="N99" i="51" s="1"/>
  <c r="F99" i="51"/>
  <c r="P55" i="61"/>
  <c r="T68" i="79"/>
  <c r="Z20" i="79"/>
  <c r="P31" i="98"/>
  <c r="X27" i="98"/>
  <c r="X27" i="14"/>
  <c r="P31" i="14"/>
  <c r="D31" i="40"/>
  <c r="L27" i="40"/>
  <c r="D31" i="44"/>
  <c r="L27" i="44"/>
  <c r="R36" i="33"/>
  <c r="Z22" i="54"/>
  <c r="T26" i="54"/>
  <c r="H53" i="102"/>
  <c r="T31" i="23"/>
  <c r="Z27" i="23"/>
  <c r="T72" i="56"/>
  <c r="Z68" i="56"/>
  <c r="L75" i="101"/>
  <c r="D79" i="101"/>
  <c r="T97" i="33"/>
  <c r="V93" i="33"/>
  <c r="T69" i="48"/>
  <c r="V66" i="48"/>
  <c r="P31" i="44"/>
  <c r="X27" i="44"/>
  <c r="P75" i="73"/>
  <c r="X49" i="73"/>
  <c r="Z49" i="73" s="1"/>
  <c r="L55" i="100"/>
  <c r="N55" i="100" s="1"/>
  <c r="D59" i="100"/>
  <c r="N27" i="32"/>
  <c r="H31" i="32"/>
  <c r="P87" i="87"/>
  <c r="X53" i="84"/>
  <c r="L77" i="30"/>
  <c r="N77" i="30" s="1"/>
  <c r="D146" i="30"/>
  <c r="N27" i="13"/>
  <c r="H31" i="13"/>
  <c r="D84" i="87"/>
  <c r="L80" i="87"/>
  <c r="X65" i="93"/>
  <c r="Z65" i="93" s="1"/>
  <c r="P69" i="93"/>
  <c r="L104" i="68"/>
  <c r="D108" i="68"/>
  <c r="F104" i="68"/>
  <c r="N27" i="53"/>
  <c r="H31" i="53"/>
  <c r="X39" i="108"/>
  <c r="P42" i="108"/>
  <c r="Z28" i="75"/>
  <c r="T74" i="75"/>
  <c r="N27" i="37"/>
  <c r="H31" i="37"/>
  <c r="N27" i="52"/>
  <c r="H31" i="52"/>
  <c r="H66" i="48"/>
  <c r="J62" i="48"/>
  <c r="P74" i="75"/>
  <c r="X28" i="75"/>
  <c r="H89" i="91"/>
  <c r="P80" i="97"/>
  <c r="X20" i="97"/>
  <c r="Z20" i="97" s="1"/>
  <c r="Z99" i="51"/>
  <c r="T103" i="51"/>
  <c r="V99" i="51"/>
  <c r="X113" i="70"/>
  <c r="Z113" i="70" s="1"/>
  <c r="P117" i="70"/>
  <c r="R113" i="70"/>
  <c r="N49" i="73"/>
  <c r="H75" i="73"/>
  <c r="L75" i="73" s="1"/>
  <c r="D121" i="74"/>
  <c r="F117" i="74"/>
  <c r="N27" i="28"/>
  <c r="H31" i="28"/>
  <c r="D73" i="88"/>
  <c r="D31" i="22"/>
  <c r="L27" i="22"/>
  <c r="X188" i="3"/>
  <c r="Z188" i="3" s="1"/>
  <c r="P71" i="57"/>
  <c r="X68" i="57"/>
  <c r="H88" i="105"/>
  <c r="J84" i="105"/>
  <c r="Z27" i="16"/>
  <c r="T31" i="16"/>
  <c r="N27" i="34"/>
  <c r="H31" i="34"/>
  <c r="P53" i="102"/>
  <c r="P69" i="80"/>
  <c r="X20" i="80"/>
  <c r="Z20" i="80" s="1"/>
  <c r="N27" i="31"/>
  <c r="H31" i="31"/>
  <c r="T252" i="15"/>
  <c r="Z152" i="15"/>
  <c r="F70" i="24"/>
  <c r="N27" i="20"/>
  <c r="H31" i="20"/>
  <c r="T31" i="52"/>
  <c r="Z27" i="52"/>
  <c r="L90" i="45"/>
  <c r="N90" i="45" s="1"/>
  <c r="D94" i="45"/>
  <c r="F90" i="45"/>
  <c r="T79" i="73"/>
  <c r="V75" i="73"/>
  <c r="N21" i="107"/>
  <c r="H83" i="107"/>
  <c r="L27" i="4"/>
  <c r="D31" i="4"/>
  <c r="Z48" i="61"/>
  <c r="T52" i="61"/>
  <c r="X52" i="61" s="1"/>
  <c r="H101" i="63"/>
  <c r="N97" i="63"/>
  <c r="L68" i="79"/>
  <c r="N68" i="79" s="1"/>
  <c r="D72" i="79"/>
  <c r="F68" i="79"/>
  <c r="N80" i="87"/>
  <c r="H84" i="87"/>
  <c r="J80" i="87"/>
  <c r="T84" i="97"/>
  <c r="V80" i="97"/>
  <c r="D31" i="7"/>
  <c r="L27" i="7"/>
  <c r="Z27" i="38"/>
  <c r="T31" i="38"/>
  <c r="P86" i="95"/>
  <c r="X20" i="95"/>
  <c r="Z20" i="95" s="1"/>
  <c r="D68" i="57"/>
  <c r="L64" i="57"/>
  <c r="R21" i="82"/>
  <c r="X27" i="111"/>
  <c r="P31" i="111"/>
  <c r="H68" i="57"/>
  <c r="N64" i="57"/>
  <c r="D31" i="28"/>
  <c r="L27" i="28"/>
  <c r="H125" i="39"/>
  <c r="N33" i="39"/>
  <c r="H78" i="75"/>
  <c r="J74" i="75"/>
  <c r="L188" i="3"/>
  <c r="N188" i="3" s="1"/>
  <c r="D300" i="3"/>
  <c r="H72" i="79"/>
  <c r="J68" i="79"/>
  <c r="H90" i="95"/>
  <c r="N86" i="95"/>
  <c r="J86" i="95"/>
  <c r="P31" i="5"/>
  <c r="X27" i="5"/>
  <c r="Z27" i="98"/>
  <c r="T31" i="98"/>
  <c r="Z43" i="99"/>
  <c r="T47" i="99"/>
  <c r="X47" i="99" s="1"/>
  <c r="P31" i="20"/>
  <c r="X27" i="20"/>
  <c r="N27" i="47"/>
  <c r="H31" i="47"/>
  <c r="X61" i="68"/>
  <c r="Z61" i="68" s="1"/>
  <c r="P104" i="68"/>
  <c r="T62" i="59"/>
  <c r="L31" i="98"/>
  <c r="N31" i="98" s="1"/>
  <c r="D34" i="98"/>
  <c r="L34" i="98" s="1"/>
  <c r="X27" i="16"/>
  <c r="P31" i="16"/>
  <c r="L27" i="50"/>
  <c r="D31" i="50"/>
  <c r="T94" i="45"/>
  <c r="V90" i="45"/>
  <c r="D73" i="80"/>
  <c r="L69" i="80"/>
  <c r="L27" i="38"/>
  <c r="D31" i="38"/>
  <c r="P66" i="48"/>
  <c r="X62" i="48"/>
  <c r="Z62" i="48" s="1"/>
  <c r="R62" i="48"/>
  <c r="P89" i="91"/>
  <c r="X85" i="91"/>
  <c r="Z85" i="91" s="1"/>
  <c r="T120" i="42"/>
  <c r="V116" i="42"/>
  <c r="X27" i="112"/>
  <c r="P31" i="112"/>
  <c r="L49" i="60"/>
  <c r="N49" i="60" s="1"/>
  <c r="D53" i="60"/>
  <c r="P56" i="60"/>
  <c r="X56" i="60" s="1"/>
  <c r="Z56" i="60" s="1"/>
  <c r="X53" i="60"/>
  <c r="Z53" i="60" s="1"/>
  <c r="T31" i="26"/>
  <c r="Z27" i="26"/>
  <c r="N27" i="49"/>
  <c r="H31" i="49"/>
  <c r="T95" i="9"/>
  <c r="J53" i="76"/>
  <c r="X27" i="7"/>
  <c r="P31" i="7"/>
  <c r="P31" i="37"/>
  <c r="X27" i="37"/>
  <c r="L48" i="61"/>
  <c r="N48" i="61" s="1"/>
  <c r="D52" i="61"/>
  <c r="D66" i="48"/>
  <c r="L62" i="48"/>
  <c r="N62" i="48" s="1"/>
  <c r="F62" i="48"/>
  <c r="T110" i="84"/>
  <c r="Z53" i="84"/>
  <c r="D278" i="18"/>
  <c r="L176" i="18"/>
  <c r="N176" i="18" s="1"/>
  <c r="P31" i="32"/>
  <c r="X27" i="32"/>
  <c r="Z62" i="69"/>
  <c r="T66" i="69"/>
  <c r="V62" i="69"/>
  <c r="P31" i="34"/>
  <c r="X27" i="34"/>
  <c r="H69" i="109"/>
  <c r="J66" i="109"/>
  <c r="Z27" i="43"/>
  <c r="T31" i="43"/>
  <c r="H31" i="40"/>
  <c r="N27" i="40"/>
  <c r="P31" i="53"/>
  <c r="X27" i="53"/>
  <c r="P256" i="15"/>
  <c r="X252" i="15"/>
  <c r="R252" i="15"/>
  <c r="J61" i="68"/>
  <c r="H79" i="101"/>
  <c r="N75" i="101"/>
  <c r="J75" i="101"/>
  <c r="N27" i="8"/>
  <c r="H31" i="8"/>
  <c r="Z27" i="46"/>
  <c r="T31" i="46"/>
  <c r="P31" i="22"/>
  <c r="X27" i="22"/>
  <c r="D102" i="21"/>
  <c r="L98" i="21"/>
  <c r="N98" i="21" s="1"/>
  <c r="F98" i="21"/>
  <c r="N48" i="67"/>
  <c r="H52" i="67"/>
  <c r="P95" i="9"/>
  <c r="X91" i="9"/>
  <c r="Z91" i="9" s="1"/>
  <c r="Z27" i="37"/>
  <c r="T31" i="37"/>
  <c r="P62" i="59"/>
  <c r="X58" i="59"/>
  <c r="Z58" i="59" s="1"/>
  <c r="X27" i="29"/>
  <c r="P31" i="29"/>
  <c r="L260" i="12"/>
  <c r="N260" i="12" s="1"/>
  <c r="D264" i="12"/>
  <c r="F260" i="12"/>
  <c r="Z27" i="4"/>
  <c r="T31" i="4"/>
  <c r="L68" i="56"/>
  <c r="N68" i="56" s="1"/>
  <c r="D72" i="56"/>
  <c r="T108" i="68"/>
  <c r="V104" i="68"/>
  <c r="V176" i="18"/>
  <c r="D256" i="15"/>
  <c r="L252" i="15"/>
  <c r="N252" i="15" s="1"/>
  <c r="F252" i="15"/>
  <c r="Z69" i="88"/>
  <c r="T73" i="88"/>
  <c r="V69" i="88"/>
  <c r="L20" i="94"/>
  <c r="N20" i="94" s="1"/>
  <c r="D72" i="94"/>
  <c r="T31" i="19"/>
  <c r="Z27" i="19"/>
  <c r="X22" i="54"/>
  <c r="D29" i="86"/>
  <c r="L26" i="86"/>
  <c r="T50" i="102"/>
  <c r="Z46" i="102"/>
  <c r="X27" i="13"/>
  <c r="P31" i="13"/>
  <c r="L27" i="25"/>
  <c r="D31" i="25"/>
  <c r="J77" i="30"/>
  <c r="P125" i="39"/>
  <c r="X33" i="39"/>
  <c r="Z33" i="39" s="1"/>
  <c r="D113" i="70"/>
  <c r="L55" i="70"/>
  <c r="N55" i="70" s="1"/>
  <c r="R30" i="85"/>
  <c r="P33" i="85"/>
  <c r="X30" i="85"/>
  <c r="H87" i="97"/>
  <c r="J84" i="97"/>
  <c r="H76" i="72"/>
  <c r="N72" i="72"/>
  <c r="J72" i="72"/>
  <c r="L85" i="91"/>
  <c r="N85" i="91" s="1"/>
  <c r="D89" i="91"/>
  <c r="P47" i="104"/>
  <c r="X21" i="104"/>
  <c r="Z21" i="104" s="1"/>
  <c r="D74" i="75"/>
  <c r="L28" i="75"/>
  <c r="N28" i="75" s="1"/>
  <c r="X27" i="41"/>
  <c r="P31" i="41"/>
  <c r="H62" i="69"/>
  <c r="N20" i="69"/>
  <c r="L27" i="53"/>
  <c r="D31" i="53"/>
  <c r="X77" i="30"/>
  <c r="Z77" i="30" s="1"/>
  <c r="P146" i="30"/>
  <c r="P31" i="25"/>
  <c r="X27" i="25"/>
  <c r="H31" i="82"/>
  <c r="N27" i="82"/>
  <c r="J27" i="82"/>
  <c r="D69" i="92"/>
  <c r="L19" i="92"/>
  <c r="N19" i="92" s="1"/>
  <c r="X116" i="42"/>
  <c r="Z116" i="42" s="1"/>
  <c r="P120" i="42"/>
  <c r="R116" i="42"/>
  <c r="L53" i="84"/>
  <c r="N53" i="84" s="1"/>
  <c r="D110" i="84"/>
  <c r="H69" i="88"/>
  <c r="L69" i="88" s="1"/>
  <c r="N20" i="88"/>
  <c r="P114" i="27"/>
  <c r="X56" i="27"/>
  <c r="Z56" i="27" s="1"/>
  <c r="H117" i="74"/>
  <c r="L117" i="74" s="1"/>
  <c r="N69" i="74"/>
  <c r="N27" i="11"/>
  <c r="H31" i="11"/>
  <c r="P59" i="100"/>
  <c r="X55" i="100"/>
  <c r="Z55" i="100" s="1"/>
  <c r="L83" i="107"/>
  <c r="D87" i="107"/>
  <c r="F83" i="107"/>
  <c r="X27" i="23"/>
  <c r="P31" i="23"/>
  <c r="H51" i="104"/>
  <c r="N47" i="104"/>
  <c r="J47" i="104"/>
  <c r="N69" i="80"/>
  <c r="H73" i="80"/>
  <c r="J69" i="80"/>
  <c r="T80" i="87"/>
  <c r="X20" i="87"/>
  <c r="Z20" i="87" s="1"/>
  <c r="J20" i="94"/>
  <c r="X27" i="43"/>
  <c r="P31" i="43"/>
  <c r="V152" i="15"/>
  <c r="T90" i="95"/>
  <c r="V86" i="95"/>
  <c r="T87" i="107"/>
  <c r="V83" i="107"/>
  <c r="X22" i="6"/>
  <c r="P31" i="54"/>
  <c r="X26" i="54"/>
  <c r="N71" i="58"/>
  <c r="H75" i="58"/>
  <c r="L22" i="86"/>
  <c r="Z27" i="110"/>
  <c r="T31" i="110"/>
  <c r="X26" i="85"/>
  <c r="Z26" i="85" s="1"/>
  <c r="H86" i="103"/>
  <c r="N82" i="103"/>
  <c r="J82" i="103"/>
  <c r="T62" i="109"/>
  <c r="Z17" i="109"/>
  <c r="Z27" i="10"/>
  <c r="T31" i="10"/>
  <c r="Z27" i="50"/>
  <c r="T31" i="50"/>
  <c r="X70" i="24"/>
  <c r="Z70" i="24" s="1"/>
  <c r="P115" i="24"/>
  <c r="T36" i="10" l="1"/>
  <c r="Z36" i="10" s="1"/>
  <c r="Z31" i="10"/>
  <c r="H54" i="104"/>
  <c r="J51" i="104"/>
  <c r="L69" i="92"/>
  <c r="N69" i="92" s="1"/>
  <c r="D73" i="92"/>
  <c r="H79" i="72"/>
  <c r="N76" i="72"/>
  <c r="J76" i="72"/>
  <c r="X125" i="39"/>
  <c r="P129" i="39"/>
  <c r="R125" i="39"/>
  <c r="X31" i="29"/>
  <c r="P36" i="29"/>
  <c r="H82" i="101"/>
  <c r="J79" i="101"/>
  <c r="J69" i="109"/>
  <c r="L278" i="18"/>
  <c r="N278" i="18" s="1"/>
  <c r="D282" i="18"/>
  <c r="F278" i="18"/>
  <c r="D304" i="3"/>
  <c r="L300" i="3"/>
  <c r="N300" i="3" s="1"/>
  <c r="F300" i="3"/>
  <c r="H71" i="57"/>
  <c r="T36" i="52"/>
  <c r="Z36" i="52" s="1"/>
  <c r="Z31" i="52"/>
  <c r="N31" i="34"/>
  <c r="H36" i="34"/>
  <c r="N36" i="34" s="1"/>
  <c r="N31" i="52"/>
  <c r="H36" i="52"/>
  <c r="N36" i="52" s="1"/>
  <c r="N31" i="32"/>
  <c r="H36" i="32"/>
  <c r="N36" i="32" s="1"/>
  <c r="X31" i="98"/>
  <c r="P34" i="98"/>
  <c r="H267" i="12"/>
  <c r="J264" i="12"/>
  <c r="T82" i="83"/>
  <c r="V78" i="83"/>
  <c r="H123" i="42"/>
  <c r="J120" i="42"/>
  <c r="H76" i="92"/>
  <c r="J73" i="92"/>
  <c r="L52" i="67"/>
  <c r="D55" i="67"/>
  <c r="T76" i="80"/>
  <c r="V73" i="80"/>
  <c r="X31" i="17"/>
  <c r="P36" i="17"/>
  <c r="D36" i="46"/>
  <c r="L31" i="46"/>
  <c r="D119" i="24"/>
  <c r="L115" i="24"/>
  <c r="N115" i="24" s="1"/>
  <c r="F115" i="24"/>
  <c r="H82" i="83"/>
  <c r="J78" i="83"/>
  <c r="L31" i="20"/>
  <c r="D36" i="20"/>
  <c r="L31" i="52"/>
  <c r="D36" i="52"/>
  <c r="L84" i="97"/>
  <c r="N84" i="97" s="1"/>
  <c r="D87" i="97"/>
  <c r="L87" i="97" s="1"/>
  <c r="R105" i="21"/>
  <c r="D104" i="63"/>
  <c r="L101" i="63"/>
  <c r="N31" i="5"/>
  <c r="H36" i="5"/>
  <c r="N36" i="5" s="1"/>
  <c r="X72" i="94"/>
  <c r="Z72" i="94" s="1"/>
  <c r="P76" i="94"/>
  <c r="R72" i="94"/>
  <c r="X31" i="23"/>
  <c r="P36" i="23"/>
  <c r="X114" i="27"/>
  <c r="P118" i="27"/>
  <c r="R114" i="27"/>
  <c r="H66" i="69"/>
  <c r="J62" i="69"/>
  <c r="T98" i="9"/>
  <c r="X31" i="112"/>
  <c r="P36" i="112"/>
  <c r="P69" i="48"/>
  <c r="X66" i="48"/>
  <c r="Z66" i="48" s="1"/>
  <c r="R66" i="48"/>
  <c r="Z31" i="98"/>
  <c r="T34" i="98"/>
  <c r="X31" i="111"/>
  <c r="P36" i="111"/>
  <c r="T87" i="97"/>
  <c r="V84" i="97"/>
  <c r="L31" i="4"/>
  <c r="D36" i="4"/>
  <c r="N31" i="20"/>
  <c r="H36" i="20"/>
  <c r="N36" i="20" s="1"/>
  <c r="D76" i="88"/>
  <c r="T106" i="51"/>
  <c r="V103" i="51"/>
  <c r="P72" i="93"/>
  <c r="X69" i="93"/>
  <c r="T100" i="33"/>
  <c r="V97" i="33"/>
  <c r="P309" i="3"/>
  <c r="R304" i="3"/>
  <c r="X31" i="110"/>
  <c r="P36" i="110"/>
  <c r="N31" i="35"/>
  <c r="H36" i="35"/>
  <c r="N36" i="35" s="1"/>
  <c r="P106" i="51"/>
  <c r="X103" i="51"/>
  <c r="Z103" i="51" s="1"/>
  <c r="R103" i="51"/>
  <c r="H259" i="15"/>
  <c r="J256" i="15"/>
  <c r="X31" i="10"/>
  <c r="P36" i="10"/>
  <c r="P36" i="50"/>
  <c r="X31" i="50"/>
  <c r="T36" i="25"/>
  <c r="Z36" i="25" s="1"/>
  <c r="Z31" i="25"/>
  <c r="Z31" i="29"/>
  <c r="T36" i="29"/>
  <c r="Z36" i="29" s="1"/>
  <c r="X26" i="86"/>
  <c r="P29" i="86"/>
  <c r="T76" i="92"/>
  <c r="V73" i="92"/>
  <c r="L31" i="31"/>
  <c r="D36" i="31"/>
  <c r="L31" i="34"/>
  <c r="D36" i="34"/>
  <c r="T128" i="36"/>
  <c r="V125" i="36"/>
  <c r="H285" i="18"/>
  <c r="J282" i="18"/>
  <c r="Z26" i="86"/>
  <c r="T29" i="86"/>
  <c r="Z29" i="86" s="1"/>
  <c r="Z75" i="58"/>
  <c r="T78" i="58"/>
  <c r="X75" i="58"/>
  <c r="X31" i="41"/>
  <c r="P36" i="41"/>
  <c r="N87" i="97"/>
  <c r="J87" i="97"/>
  <c r="L31" i="25"/>
  <c r="D36" i="25"/>
  <c r="T36" i="19"/>
  <c r="Z36" i="19" s="1"/>
  <c r="Z31" i="19"/>
  <c r="T111" i="68"/>
  <c r="V108" i="68"/>
  <c r="T114" i="84"/>
  <c r="V110" i="84"/>
  <c r="L31" i="38"/>
  <c r="D36" i="38"/>
  <c r="Z31" i="16"/>
  <c r="T36" i="16"/>
  <c r="Z36" i="16" s="1"/>
  <c r="N31" i="28"/>
  <c r="H36" i="28"/>
  <c r="N36" i="28" s="1"/>
  <c r="N31" i="37"/>
  <c r="H36" i="37"/>
  <c r="N36" i="37" s="1"/>
  <c r="L59" i="100"/>
  <c r="N59" i="100" s="1"/>
  <c r="D62" i="100"/>
  <c r="L62" i="100" s="1"/>
  <c r="D82" i="101"/>
  <c r="L82" i="101" s="1"/>
  <c r="L79" i="101"/>
  <c r="N79" i="101" s="1"/>
  <c r="D36" i="44"/>
  <c r="L31" i="44"/>
  <c r="T72" i="79"/>
  <c r="V68" i="79"/>
  <c r="H29" i="86"/>
  <c r="N29" i="86" s="1"/>
  <c r="N26" i="86"/>
  <c r="N31" i="23"/>
  <c r="H36" i="23"/>
  <c r="N36" i="23" s="1"/>
  <c r="L31" i="26"/>
  <c r="D36" i="26"/>
  <c r="H76" i="94"/>
  <c r="J72" i="94"/>
  <c r="H117" i="84"/>
  <c r="J114" i="84"/>
  <c r="P264" i="12"/>
  <c r="X260" i="12"/>
  <c r="R260" i="12"/>
  <c r="N30" i="85"/>
  <c r="H33" i="85"/>
  <c r="J30" i="85"/>
  <c r="P36" i="52"/>
  <c r="X31" i="52"/>
  <c r="N31" i="50"/>
  <c r="H36" i="50"/>
  <c r="N36" i="50" s="1"/>
  <c r="D36" i="23"/>
  <c r="L31" i="23"/>
  <c r="N95" i="9"/>
  <c r="H98" i="9"/>
  <c r="N34" i="98"/>
  <c r="T36" i="31"/>
  <c r="Z36" i="31" s="1"/>
  <c r="Z31" i="31"/>
  <c r="Z26" i="6"/>
  <c r="T31" i="6"/>
  <c r="L31" i="19"/>
  <c r="D36" i="19"/>
  <c r="T282" i="18"/>
  <c r="X282" i="18" s="1"/>
  <c r="Z278" i="18"/>
  <c r="V278" i="18"/>
  <c r="L50" i="102"/>
  <c r="N50" i="102" s="1"/>
  <c r="D53" i="102"/>
  <c r="L53" i="102" s="1"/>
  <c r="H97" i="33"/>
  <c r="N93" i="33"/>
  <c r="J93" i="33"/>
  <c r="Z39" i="108"/>
  <c r="T42" i="108"/>
  <c r="H73" i="88"/>
  <c r="N69" i="88"/>
  <c r="J69" i="88"/>
  <c r="H34" i="82"/>
  <c r="J31" i="82"/>
  <c r="L72" i="94"/>
  <c r="N72" i="94" s="1"/>
  <c r="D76" i="94"/>
  <c r="D105" i="21"/>
  <c r="L102" i="21"/>
  <c r="F102" i="21"/>
  <c r="P36" i="34"/>
  <c r="X31" i="34"/>
  <c r="N31" i="49"/>
  <c r="H36" i="49"/>
  <c r="N36" i="49" s="1"/>
  <c r="N83" i="107"/>
  <c r="H87" i="107"/>
  <c r="J83" i="107"/>
  <c r="N31" i="19"/>
  <c r="H36" i="19"/>
  <c r="N36" i="19" s="1"/>
  <c r="H103" i="76"/>
  <c r="J99" i="76"/>
  <c r="Z31" i="17"/>
  <c r="T36" i="17"/>
  <c r="Z36" i="17" s="1"/>
  <c r="H309" i="3"/>
  <c r="J304" i="3"/>
  <c r="N31" i="110"/>
  <c r="H36" i="110"/>
  <c r="N36" i="110" s="1"/>
  <c r="T66" i="78"/>
  <c r="V62" i="78"/>
  <c r="T129" i="39"/>
  <c r="Z125" i="39"/>
  <c r="V125" i="39"/>
  <c r="L31" i="110"/>
  <c r="D36" i="110"/>
  <c r="N31" i="16"/>
  <c r="H36" i="16"/>
  <c r="N36" i="16" s="1"/>
  <c r="Z68" i="57"/>
  <c r="T71" i="57"/>
  <c r="L62" i="78"/>
  <c r="D66" i="78"/>
  <c r="X50" i="99"/>
  <c r="N31" i="25"/>
  <c r="H36" i="25"/>
  <c r="N36" i="25" s="1"/>
  <c r="L31" i="82"/>
  <c r="N31" i="82" s="1"/>
  <c r="D34" i="82"/>
  <c r="F31" i="82"/>
  <c r="Z31" i="22"/>
  <c r="T36" i="22"/>
  <c r="Z36" i="22" s="1"/>
  <c r="H97" i="45"/>
  <c r="J94" i="45"/>
  <c r="H75" i="56"/>
  <c r="N72" i="56"/>
  <c r="N62" i="78"/>
  <c r="H66" i="78"/>
  <c r="J62" i="78"/>
  <c r="N31" i="44"/>
  <c r="H36" i="44"/>
  <c r="N36" i="44" s="1"/>
  <c r="T79" i="94"/>
  <c r="V76" i="94"/>
  <c r="D90" i="107"/>
  <c r="L87" i="107"/>
  <c r="F87" i="107"/>
  <c r="D114" i="84"/>
  <c r="L110" i="84"/>
  <c r="N110" i="84" s="1"/>
  <c r="F110" i="84"/>
  <c r="X31" i="13"/>
  <c r="P36" i="13"/>
  <c r="X256" i="15"/>
  <c r="P259" i="15"/>
  <c r="R256" i="15"/>
  <c r="T123" i="42"/>
  <c r="V120" i="42"/>
  <c r="T65" i="59"/>
  <c r="H87" i="87"/>
  <c r="J84" i="87"/>
  <c r="X80" i="97"/>
  <c r="Z80" i="97" s="1"/>
  <c r="P84" i="97"/>
  <c r="T78" i="75"/>
  <c r="V74" i="75"/>
  <c r="L84" i="87"/>
  <c r="N84" i="87" s="1"/>
  <c r="D87" i="87"/>
  <c r="L87" i="87" s="1"/>
  <c r="T54" i="104"/>
  <c r="V51" i="104"/>
  <c r="X31" i="28"/>
  <c r="P36" i="28"/>
  <c r="H108" i="68"/>
  <c r="N104" i="68"/>
  <c r="J104" i="68"/>
  <c r="H38" i="55"/>
  <c r="L90" i="95"/>
  <c r="N90" i="95" s="1"/>
  <c r="D93" i="95"/>
  <c r="F90" i="95"/>
  <c r="T88" i="105"/>
  <c r="X84" i="105"/>
  <c r="Z84" i="105" s="1"/>
  <c r="V84" i="105"/>
  <c r="X31" i="40"/>
  <c r="P36" i="40"/>
  <c r="D120" i="42"/>
  <c r="L116" i="42"/>
  <c r="N116" i="42" s="1"/>
  <c r="F116" i="42"/>
  <c r="Z31" i="8"/>
  <c r="T36" i="8"/>
  <c r="Z36" i="8" s="1"/>
  <c r="X114" i="84"/>
  <c r="P117" i="84"/>
  <c r="R114" i="84"/>
  <c r="X31" i="31"/>
  <c r="P36" i="31"/>
  <c r="T153" i="30"/>
  <c r="V150" i="30"/>
  <c r="D36" i="16"/>
  <c r="L31" i="16"/>
  <c r="L35" i="55"/>
  <c r="N35" i="55" s="1"/>
  <c r="N114" i="27"/>
  <c r="H118" i="27"/>
  <c r="J114" i="27"/>
  <c r="L114" i="27"/>
  <c r="P31" i="82"/>
  <c r="X27" i="82"/>
  <c r="Z27" i="82" s="1"/>
  <c r="R27" i="82"/>
  <c r="P36" i="25"/>
  <c r="X31" i="25"/>
  <c r="L74" i="75"/>
  <c r="N74" i="75" s="1"/>
  <c r="D78" i="75"/>
  <c r="F74" i="75"/>
  <c r="R33" i="85"/>
  <c r="D75" i="56"/>
  <c r="L72" i="56"/>
  <c r="X62" i="59"/>
  <c r="Z62" i="59" s="1"/>
  <c r="P65" i="59"/>
  <c r="X65" i="59" s="1"/>
  <c r="P36" i="22"/>
  <c r="X31" i="22"/>
  <c r="Z66" i="69"/>
  <c r="T69" i="69"/>
  <c r="V66" i="69"/>
  <c r="L66" i="48"/>
  <c r="D69" i="48"/>
  <c r="F66" i="48"/>
  <c r="D76" i="80"/>
  <c r="L73" i="80"/>
  <c r="P108" i="68"/>
  <c r="X104" i="68"/>
  <c r="Z104" i="68" s="1"/>
  <c r="R104" i="68"/>
  <c r="P36" i="5"/>
  <c r="X31" i="5"/>
  <c r="H81" i="75"/>
  <c r="J78" i="75"/>
  <c r="L68" i="57"/>
  <c r="N68" i="57" s="1"/>
  <c r="D71" i="57"/>
  <c r="L71" i="57" s="1"/>
  <c r="T256" i="15"/>
  <c r="Z252" i="15"/>
  <c r="V252" i="15"/>
  <c r="H92" i="91"/>
  <c r="N31" i="13"/>
  <c r="H36" i="13"/>
  <c r="N36" i="13" s="1"/>
  <c r="X75" i="73"/>
  <c r="Z75" i="73" s="1"/>
  <c r="P79" i="73"/>
  <c r="T75" i="56"/>
  <c r="P87" i="107"/>
  <c r="X83" i="107"/>
  <c r="Z83" i="107" s="1"/>
  <c r="R83" i="107"/>
  <c r="L30" i="85"/>
  <c r="D33" i="85"/>
  <c r="P69" i="109"/>
  <c r="R66" i="109"/>
  <c r="L26" i="6"/>
  <c r="D31" i="6"/>
  <c r="L31" i="6" s="1"/>
  <c r="N31" i="6" s="1"/>
  <c r="L31" i="49"/>
  <c r="D36" i="49"/>
  <c r="H62" i="100"/>
  <c r="P36" i="11"/>
  <c r="X31" i="11"/>
  <c r="Z31" i="28"/>
  <c r="T36" i="28"/>
  <c r="Z36" i="28" s="1"/>
  <c r="P36" i="19"/>
  <c r="X31" i="19"/>
  <c r="X110" i="84"/>
  <c r="Z110" i="84" s="1"/>
  <c r="T36" i="34"/>
  <c r="Z36" i="34" s="1"/>
  <c r="Z31" i="34"/>
  <c r="L99" i="76"/>
  <c r="N99" i="76" s="1"/>
  <c r="Z31" i="112"/>
  <c r="T36" i="112"/>
  <c r="Z36" i="112" s="1"/>
  <c r="N26" i="54"/>
  <c r="H31" i="54"/>
  <c r="T82" i="101"/>
  <c r="V79" i="101"/>
  <c r="L38" i="55"/>
  <c r="H36" i="111"/>
  <c r="N36" i="111" s="1"/>
  <c r="N31" i="111"/>
  <c r="N31" i="4"/>
  <c r="H36" i="4"/>
  <c r="N36" i="4" s="1"/>
  <c r="D31" i="54"/>
  <c r="L26" i="54"/>
  <c r="T66" i="109"/>
  <c r="X66" i="109" s="1"/>
  <c r="V62" i="109"/>
  <c r="H89" i="103"/>
  <c r="J86" i="103"/>
  <c r="T90" i="107"/>
  <c r="V87" i="107"/>
  <c r="N73" i="80"/>
  <c r="H76" i="80"/>
  <c r="J73" i="80"/>
  <c r="P150" i="30"/>
  <c r="X146" i="30"/>
  <c r="Z146" i="30" s="1"/>
  <c r="R146" i="30"/>
  <c r="T76" i="88"/>
  <c r="Z73" i="88"/>
  <c r="V73" i="88"/>
  <c r="Z31" i="37"/>
  <c r="T36" i="37"/>
  <c r="Z36" i="37" s="1"/>
  <c r="Z31" i="46"/>
  <c r="T36" i="46"/>
  <c r="Z36" i="46" s="1"/>
  <c r="P36" i="53"/>
  <c r="X31" i="53"/>
  <c r="L52" i="61"/>
  <c r="N52" i="61" s="1"/>
  <c r="D55" i="61"/>
  <c r="L55" i="61" s="1"/>
  <c r="N55" i="61" s="1"/>
  <c r="T36" i="26"/>
  <c r="Z36" i="26" s="1"/>
  <c r="Z31" i="26"/>
  <c r="N31" i="31"/>
  <c r="H36" i="31"/>
  <c r="N36" i="31" s="1"/>
  <c r="H91" i="105"/>
  <c r="J88" i="105"/>
  <c r="D124" i="74"/>
  <c r="F121" i="74"/>
  <c r="X42" i="108"/>
  <c r="X62" i="109"/>
  <c r="Z62" i="109" s="1"/>
  <c r="L97" i="33"/>
  <c r="D100" i="33"/>
  <c r="F97" i="33"/>
  <c r="D89" i="103"/>
  <c r="L86" i="103"/>
  <c r="N86" i="103" s="1"/>
  <c r="F86" i="103"/>
  <c r="T102" i="21"/>
  <c r="X98" i="21"/>
  <c r="Z98" i="21" s="1"/>
  <c r="V98" i="21"/>
  <c r="D36" i="17"/>
  <c r="L31" i="17"/>
  <c r="H122" i="24"/>
  <c r="J119" i="24"/>
  <c r="Z31" i="41"/>
  <c r="T36" i="41"/>
  <c r="Z36" i="41" s="1"/>
  <c r="D98" i="9"/>
  <c r="L95" i="9"/>
  <c r="P55" i="67"/>
  <c r="X55" i="67" s="1"/>
  <c r="X52" i="67"/>
  <c r="Z52" i="67" s="1"/>
  <c r="P82" i="83"/>
  <c r="X78" i="83"/>
  <c r="Z78" i="83" s="1"/>
  <c r="P97" i="33"/>
  <c r="X93" i="33"/>
  <c r="Z93" i="33" s="1"/>
  <c r="R93" i="33"/>
  <c r="Z31" i="11"/>
  <c r="T36" i="11"/>
  <c r="Z36" i="11" s="1"/>
  <c r="D106" i="76"/>
  <c r="F103" i="76"/>
  <c r="D82" i="73"/>
  <c r="L79" i="73"/>
  <c r="N102" i="21"/>
  <c r="H105" i="21"/>
  <c r="J102" i="21"/>
  <c r="X31" i="6"/>
  <c r="N31" i="29"/>
  <c r="H36" i="29"/>
  <c r="N36" i="29" s="1"/>
  <c r="H56" i="60"/>
  <c r="Z31" i="47"/>
  <c r="T36" i="47"/>
  <c r="Z36" i="47" s="1"/>
  <c r="T84" i="87"/>
  <c r="Z80" i="87"/>
  <c r="V80" i="87"/>
  <c r="X80" i="87"/>
  <c r="P62" i="100"/>
  <c r="X62" i="100" s="1"/>
  <c r="Z62" i="100" s="1"/>
  <c r="X59" i="100"/>
  <c r="Z59" i="100" s="1"/>
  <c r="X47" i="104"/>
  <c r="Z47" i="104" s="1"/>
  <c r="P51" i="104"/>
  <c r="Z31" i="4"/>
  <c r="T36" i="4"/>
  <c r="Z36" i="4" s="1"/>
  <c r="X89" i="91"/>
  <c r="P92" i="91"/>
  <c r="H36" i="47"/>
  <c r="N36" i="47" s="1"/>
  <c r="N31" i="47"/>
  <c r="X86" i="95"/>
  <c r="Z86" i="95" s="1"/>
  <c r="P90" i="95"/>
  <c r="R86" i="95"/>
  <c r="L72" i="79"/>
  <c r="D75" i="79"/>
  <c r="F72" i="79"/>
  <c r="T82" i="73"/>
  <c r="V79" i="73"/>
  <c r="N75" i="73"/>
  <c r="H79" i="73"/>
  <c r="J75" i="73"/>
  <c r="L146" i="30"/>
  <c r="D150" i="30"/>
  <c r="F146" i="30"/>
  <c r="P36" i="44"/>
  <c r="X31" i="44"/>
  <c r="Z31" i="23"/>
  <c r="T36" i="23"/>
  <c r="Z36" i="23" s="1"/>
  <c r="L103" i="51"/>
  <c r="D106" i="51"/>
  <c r="F103" i="51"/>
  <c r="T92" i="91"/>
  <c r="Z89" i="91"/>
  <c r="X31" i="46"/>
  <c r="P36" i="46"/>
  <c r="P69" i="69"/>
  <c r="X66" i="69"/>
  <c r="T36" i="32"/>
  <c r="Z36" i="32" s="1"/>
  <c r="Z31" i="32"/>
  <c r="T33" i="85"/>
  <c r="Z30" i="85"/>
  <c r="V30" i="85"/>
  <c r="N31" i="46"/>
  <c r="H36" i="46"/>
  <c r="N36" i="46" s="1"/>
  <c r="H72" i="93"/>
  <c r="J69" i="93"/>
  <c r="H65" i="59"/>
  <c r="H36" i="22"/>
  <c r="N36" i="22" s="1"/>
  <c r="N31" i="22"/>
  <c r="D66" i="69"/>
  <c r="L62" i="69"/>
  <c r="N62" i="69" s="1"/>
  <c r="H36" i="17"/>
  <c r="N36" i="17" s="1"/>
  <c r="N31" i="17"/>
  <c r="L31" i="5"/>
  <c r="D36" i="5"/>
  <c r="N31" i="38"/>
  <c r="H36" i="38"/>
  <c r="N36" i="38" s="1"/>
  <c r="T124" i="74"/>
  <c r="V121" i="74"/>
  <c r="H128" i="36"/>
  <c r="J125" i="36"/>
  <c r="F121" i="27"/>
  <c r="P121" i="74"/>
  <c r="X117" i="74"/>
  <c r="Z117" i="74" s="1"/>
  <c r="R117" i="74"/>
  <c r="X26" i="6"/>
  <c r="T36" i="49"/>
  <c r="Z36" i="49" s="1"/>
  <c r="Z31" i="49"/>
  <c r="X278" i="18"/>
  <c r="T93" i="95"/>
  <c r="V90" i="95"/>
  <c r="N31" i="11"/>
  <c r="H36" i="11"/>
  <c r="N36" i="11" s="1"/>
  <c r="L31" i="53"/>
  <c r="D36" i="53"/>
  <c r="L89" i="91"/>
  <c r="N89" i="91" s="1"/>
  <c r="D92" i="91"/>
  <c r="L92" i="91" s="1"/>
  <c r="N31" i="8"/>
  <c r="H36" i="8"/>
  <c r="N36" i="8" s="1"/>
  <c r="H36" i="40"/>
  <c r="N36" i="40" s="1"/>
  <c r="N31" i="40"/>
  <c r="T97" i="45"/>
  <c r="V94" i="45"/>
  <c r="H93" i="95"/>
  <c r="J90" i="95"/>
  <c r="H129" i="39"/>
  <c r="J125" i="39"/>
  <c r="Z31" i="38"/>
  <c r="T36" i="38"/>
  <c r="Z36" i="38" s="1"/>
  <c r="X71" i="57"/>
  <c r="P78" i="75"/>
  <c r="X74" i="75"/>
  <c r="Z74" i="75" s="1"/>
  <c r="R74" i="75"/>
  <c r="N31" i="53"/>
  <c r="H36" i="53"/>
  <c r="N36" i="53" s="1"/>
  <c r="N53" i="102"/>
  <c r="D36" i="40"/>
  <c r="L31" i="40"/>
  <c r="X75" i="56"/>
  <c r="L31" i="14"/>
  <c r="D36" i="14"/>
  <c r="D36" i="47"/>
  <c r="L31" i="47"/>
  <c r="Z55" i="67"/>
  <c r="P36" i="49"/>
  <c r="X31" i="49"/>
  <c r="H42" i="108"/>
  <c r="P36" i="38"/>
  <c r="X31" i="38"/>
  <c r="H36" i="10"/>
  <c r="N36" i="10" s="1"/>
  <c r="N31" i="10"/>
  <c r="L31" i="32"/>
  <c r="D36" i="32"/>
  <c r="D42" i="108"/>
  <c r="L42" i="108" s="1"/>
  <c r="L39" i="108"/>
  <c r="N39" i="108" s="1"/>
  <c r="P106" i="76"/>
  <c r="R103" i="76"/>
  <c r="P36" i="35"/>
  <c r="X31" i="35"/>
  <c r="Z31" i="53"/>
  <c r="T36" i="53"/>
  <c r="Z36" i="53" s="1"/>
  <c r="T86" i="103"/>
  <c r="V82" i="103"/>
  <c r="P128" i="36"/>
  <c r="X125" i="36"/>
  <c r="Z125" i="36" s="1"/>
  <c r="R125" i="36"/>
  <c r="L31" i="37"/>
  <c r="D36" i="37"/>
  <c r="N31" i="26"/>
  <c r="H36" i="26"/>
  <c r="N36" i="26" s="1"/>
  <c r="T38" i="55"/>
  <c r="X35" i="55"/>
  <c r="Z35" i="55" s="1"/>
  <c r="N31" i="7"/>
  <c r="H36" i="7"/>
  <c r="N36" i="7" s="1"/>
  <c r="T264" i="12"/>
  <c r="Z260" i="12"/>
  <c r="V260" i="12"/>
  <c r="T103" i="76"/>
  <c r="Z99" i="76"/>
  <c r="V99" i="76"/>
  <c r="P285" i="18"/>
  <c r="R282" i="18"/>
  <c r="X31" i="47"/>
  <c r="P36" i="47"/>
  <c r="X120" i="42"/>
  <c r="Z120" i="42" s="1"/>
  <c r="P123" i="42"/>
  <c r="R120" i="42"/>
  <c r="T53" i="102"/>
  <c r="P98" i="9"/>
  <c r="X98" i="9" s="1"/>
  <c r="X95" i="9"/>
  <c r="Z95" i="9" s="1"/>
  <c r="T36" i="43"/>
  <c r="Z36" i="43" s="1"/>
  <c r="Z31" i="43"/>
  <c r="P36" i="37"/>
  <c r="X31" i="37"/>
  <c r="L31" i="50"/>
  <c r="D36" i="50"/>
  <c r="L94" i="45"/>
  <c r="N94" i="45" s="1"/>
  <c r="D97" i="45"/>
  <c r="F94" i="45"/>
  <c r="P73" i="80"/>
  <c r="X69" i="80"/>
  <c r="Z69" i="80" s="1"/>
  <c r="V69" i="48"/>
  <c r="X31" i="14"/>
  <c r="P36" i="14"/>
  <c r="X72" i="56"/>
  <c r="Z72" i="56" s="1"/>
  <c r="L31" i="35"/>
  <c r="D36" i="35"/>
  <c r="N146" i="30"/>
  <c r="H150" i="30"/>
  <c r="J146" i="30"/>
  <c r="L31" i="10"/>
  <c r="D36" i="10"/>
  <c r="L84" i="105"/>
  <c r="N84" i="105" s="1"/>
  <c r="D88" i="105"/>
  <c r="F84" i="105"/>
  <c r="D36" i="41"/>
  <c r="L31" i="41"/>
  <c r="H117" i="70"/>
  <c r="J113" i="70"/>
  <c r="N103" i="51"/>
  <c r="H106" i="51"/>
  <c r="J103" i="51"/>
  <c r="X79" i="101"/>
  <c r="Z79" i="101" s="1"/>
  <c r="P82" i="101"/>
  <c r="X82" i="101" s="1"/>
  <c r="H36" i="43"/>
  <c r="N36" i="43" s="1"/>
  <c r="N31" i="43"/>
  <c r="P66" i="78"/>
  <c r="X62" i="78"/>
  <c r="Z62" i="78" s="1"/>
  <c r="L62" i="59"/>
  <c r="N62" i="59" s="1"/>
  <c r="L78" i="83"/>
  <c r="N78" i="83" s="1"/>
  <c r="D82" i="83"/>
  <c r="Z31" i="14"/>
  <c r="T36" i="14"/>
  <c r="Z36" i="14" s="1"/>
  <c r="D36" i="112"/>
  <c r="L31" i="112"/>
  <c r="T122" i="24"/>
  <c r="V119" i="24"/>
  <c r="D129" i="39"/>
  <c r="L125" i="39"/>
  <c r="N125" i="39" s="1"/>
  <c r="F125" i="39"/>
  <c r="X68" i="79"/>
  <c r="Z68" i="79" s="1"/>
  <c r="V62" i="100"/>
  <c r="Z31" i="7"/>
  <c r="T36" i="7"/>
  <c r="Z36" i="7" s="1"/>
  <c r="X101" i="63"/>
  <c r="Z101" i="63" s="1"/>
  <c r="P104" i="63"/>
  <c r="X104" i="63" s="1"/>
  <c r="Z104" i="63" s="1"/>
  <c r="N31" i="112"/>
  <c r="H36" i="112"/>
  <c r="N36" i="112" s="1"/>
  <c r="P119" i="24"/>
  <c r="X115" i="24"/>
  <c r="Z115" i="24" s="1"/>
  <c r="R115" i="24"/>
  <c r="Z31" i="50"/>
  <c r="T36" i="50"/>
  <c r="Z36" i="50" s="1"/>
  <c r="D117" i="70"/>
  <c r="L113" i="70"/>
  <c r="N113" i="70" s="1"/>
  <c r="F113" i="70"/>
  <c r="D259" i="15"/>
  <c r="L256" i="15"/>
  <c r="N256" i="15" s="1"/>
  <c r="F256" i="15"/>
  <c r="L264" i="12"/>
  <c r="N264" i="12" s="1"/>
  <c r="D267" i="12"/>
  <c r="F264" i="12"/>
  <c r="N52" i="67"/>
  <c r="H55" i="67"/>
  <c r="P36" i="32"/>
  <c r="X31" i="32"/>
  <c r="X31" i="7"/>
  <c r="P36" i="7"/>
  <c r="P36" i="20"/>
  <c r="X31" i="20"/>
  <c r="N72" i="79"/>
  <c r="H75" i="79"/>
  <c r="J72" i="79"/>
  <c r="D36" i="28"/>
  <c r="L31" i="28"/>
  <c r="H104" i="63"/>
  <c r="N101" i="63"/>
  <c r="X50" i="102"/>
  <c r="Z50" i="102" s="1"/>
  <c r="X117" i="70"/>
  <c r="Z117" i="70" s="1"/>
  <c r="P120" i="70"/>
  <c r="R117" i="70"/>
  <c r="Z26" i="54"/>
  <c r="T31" i="54"/>
  <c r="X31" i="54" s="1"/>
  <c r="P94" i="45"/>
  <c r="X90" i="45"/>
  <c r="Z90" i="45" s="1"/>
  <c r="R90" i="45"/>
  <c r="Z31" i="5"/>
  <c r="T36" i="5"/>
  <c r="Z36" i="5" s="1"/>
  <c r="Z72" i="72"/>
  <c r="T76" i="72"/>
  <c r="V72" i="72"/>
  <c r="P36" i="26"/>
  <c r="X31" i="26"/>
  <c r="Z31" i="44"/>
  <c r="T36" i="44"/>
  <c r="Z36" i="44" s="1"/>
  <c r="D36" i="13"/>
  <c r="L31" i="13"/>
  <c r="T120" i="70"/>
  <c r="V117" i="70"/>
  <c r="D125" i="36"/>
  <c r="L121" i="36"/>
  <c r="N121" i="36" s="1"/>
  <c r="F121" i="36"/>
  <c r="Z31" i="40"/>
  <c r="T36" i="40"/>
  <c r="Z36" i="40" s="1"/>
  <c r="L66" i="109"/>
  <c r="N66" i="109" s="1"/>
  <c r="D69" i="109"/>
  <c r="F66" i="109"/>
  <c r="T36" i="35"/>
  <c r="Z36" i="35" s="1"/>
  <c r="Z31" i="35"/>
  <c r="L75" i="58"/>
  <c r="N75" i="58" s="1"/>
  <c r="D78" i="58"/>
  <c r="L78" i="58" s="1"/>
  <c r="L65" i="59"/>
  <c r="P36" i="4"/>
  <c r="X31" i="4"/>
  <c r="X31" i="8"/>
  <c r="P36" i="8"/>
  <c r="P89" i="103"/>
  <c r="R86" i="103"/>
  <c r="X72" i="79"/>
  <c r="P75" i="79"/>
  <c r="R72" i="79"/>
  <c r="Z300" i="3"/>
  <c r="T304" i="3"/>
  <c r="X304" i="3" s="1"/>
  <c r="V300" i="3"/>
  <c r="Z31" i="110"/>
  <c r="T36" i="110"/>
  <c r="Z36" i="110" s="1"/>
  <c r="H78" i="58"/>
  <c r="X31" i="43"/>
  <c r="P36" i="43"/>
  <c r="N117" i="74"/>
  <c r="H121" i="74"/>
  <c r="J117" i="74"/>
  <c r="L29" i="86"/>
  <c r="L53" i="60"/>
  <c r="N53" i="60" s="1"/>
  <c r="D56" i="60"/>
  <c r="L56" i="60" s="1"/>
  <c r="X31" i="16"/>
  <c r="P36" i="16"/>
  <c r="Z47" i="99"/>
  <c r="T50" i="99"/>
  <c r="D36" i="7"/>
  <c r="L31" i="7"/>
  <c r="T55" i="61"/>
  <c r="Z52" i="61"/>
  <c r="X53" i="102"/>
  <c r="D36" i="22"/>
  <c r="L31" i="22"/>
  <c r="N66" i="48"/>
  <c r="H69" i="48"/>
  <c r="J66" i="48"/>
  <c r="L108" i="68"/>
  <c r="D111" i="68"/>
  <c r="F108" i="68"/>
  <c r="T118" i="27"/>
  <c r="Z114" i="27"/>
  <c r="V114" i="27"/>
  <c r="L31" i="8"/>
  <c r="D36" i="8"/>
  <c r="P76" i="88"/>
  <c r="X73" i="88"/>
  <c r="T72" i="93"/>
  <c r="Z69" i="93"/>
  <c r="V69" i="93"/>
  <c r="D72" i="93"/>
  <c r="L69" i="93"/>
  <c r="N69" i="93" s="1"/>
  <c r="L31" i="43"/>
  <c r="D36" i="43"/>
  <c r="D36" i="11"/>
  <c r="L31" i="11"/>
  <c r="P79" i="72"/>
  <c r="Z31" i="13"/>
  <c r="T36" i="13"/>
  <c r="Z36" i="13" s="1"/>
  <c r="D36" i="111"/>
  <c r="L31" i="111"/>
  <c r="H36" i="41"/>
  <c r="N36" i="41" s="1"/>
  <c r="N31" i="41"/>
  <c r="D54" i="104"/>
  <c r="L54" i="104" s="1"/>
  <c r="L51" i="104"/>
  <c r="N51" i="104" s="1"/>
  <c r="D36" i="29"/>
  <c r="L31" i="29"/>
  <c r="H36" i="14"/>
  <c r="N36" i="14" s="1"/>
  <c r="N31" i="14"/>
  <c r="L47" i="99"/>
  <c r="N47" i="99" s="1"/>
  <c r="D50" i="99"/>
  <c r="L50" i="99" s="1"/>
  <c r="N50" i="99" s="1"/>
  <c r="Z29" i="62"/>
  <c r="X29" i="62"/>
  <c r="T36" i="20"/>
  <c r="Z36" i="20" s="1"/>
  <c r="Z31" i="20"/>
  <c r="X82" i="103"/>
  <c r="Z82" i="103" s="1"/>
  <c r="L76" i="72"/>
  <c r="D79" i="72"/>
  <c r="L79" i="72" s="1"/>
  <c r="P73" i="92"/>
  <c r="X69" i="92"/>
  <c r="Z69" i="92" s="1"/>
  <c r="Z31" i="111"/>
  <c r="T36" i="111"/>
  <c r="Z36" i="111" s="1"/>
  <c r="L36" i="8" l="1"/>
  <c r="L36" i="50"/>
  <c r="L36" i="7"/>
  <c r="X36" i="19"/>
  <c r="X36" i="52"/>
  <c r="X36" i="10"/>
  <c r="X36" i="22"/>
  <c r="L36" i="11"/>
  <c r="L36" i="22"/>
  <c r="L36" i="37"/>
  <c r="X36" i="47"/>
  <c r="X36" i="26"/>
  <c r="L36" i="16"/>
  <c r="X36" i="37"/>
  <c r="L36" i="5"/>
  <c r="L36" i="43"/>
  <c r="X36" i="4"/>
  <c r="X36" i="41"/>
  <c r="X36" i="43"/>
  <c r="X36" i="16"/>
  <c r="L36" i="20"/>
  <c r="L36" i="32"/>
  <c r="L36" i="112"/>
  <c r="X36" i="7"/>
  <c r="L36" i="47"/>
  <c r="X36" i="31"/>
  <c r="L36" i="28"/>
  <c r="L36" i="34"/>
  <c r="X36" i="17"/>
  <c r="X36" i="14"/>
  <c r="X36" i="25"/>
  <c r="L36" i="29"/>
  <c r="X36" i="46"/>
  <c r="X36" i="112"/>
  <c r="L36" i="4"/>
  <c r="X36" i="32"/>
  <c r="L36" i="53"/>
  <c r="L36" i="35"/>
  <c r="L36" i="46"/>
  <c r="X120" i="70"/>
  <c r="R120" i="70"/>
  <c r="L97" i="45"/>
  <c r="F97" i="45"/>
  <c r="L93" i="95"/>
  <c r="F93" i="95"/>
  <c r="X128" i="36"/>
  <c r="R128" i="36"/>
  <c r="H106" i="76"/>
  <c r="J103" i="76"/>
  <c r="X76" i="88"/>
  <c r="L267" i="12"/>
  <c r="F267" i="12"/>
  <c r="X73" i="80"/>
  <c r="Z73" i="80" s="1"/>
  <c r="P76" i="80"/>
  <c r="X76" i="80" s="1"/>
  <c r="T106" i="76"/>
  <c r="V103" i="76"/>
  <c r="X106" i="76"/>
  <c r="R106" i="76"/>
  <c r="N93" i="95"/>
  <c r="J93" i="95"/>
  <c r="X36" i="44"/>
  <c r="X51" i="104"/>
  <c r="Z51" i="104" s="1"/>
  <c r="P54" i="104"/>
  <c r="X54" i="104" s="1"/>
  <c r="R117" i="84"/>
  <c r="T91" i="105"/>
  <c r="V88" i="105"/>
  <c r="X88" i="105"/>
  <c r="Z88" i="105" s="1"/>
  <c r="Z54" i="104"/>
  <c r="V54" i="104"/>
  <c r="Z65" i="59"/>
  <c r="H69" i="78"/>
  <c r="J66" i="78"/>
  <c r="H79" i="94"/>
  <c r="J76" i="94"/>
  <c r="J259" i="15"/>
  <c r="X36" i="23"/>
  <c r="L119" i="24"/>
  <c r="N119" i="24" s="1"/>
  <c r="D122" i="24"/>
  <c r="F119" i="24"/>
  <c r="L304" i="3"/>
  <c r="N304" i="3" s="1"/>
  <c r="D309" i="3"/>
  <c r="F304" i="3"/>
  <c r="X129" i="39"/>
  <c r="P132" i="39"/>
  <c r="R129" i="39"/>
  <c r="J33" i="85"/>
  <c r="L82" i="83"/>
  <c r="D85" i="83"/>
  <c r="L85" i="83" s="1"/>
  <c r="Z76" i="88"/>
  <c r="V76" i="88"/>
  <c r="Z304" i="3"/>
  <c r="T309" i="3"/>
  <c r="V304" i="3"/>
  <c r="L125" i="36"/>
  <c r="N125" i="36" s="1"/>
  <c r="D128" i="36"/>
  <c r="F125" i="36"/>
  <c r="X36" i="20"/>
  <c r="J106" i="51"/>
  <c r="Z53" i="102"/>
  <c r="X103" i="76"/>
  <c r="Z103" i="76" s="1"/>
  <c r="X36" i="49"/>
  <c r="L89" i="103"/>
  <c r="F89" i="103"/>
  <c r="V90" i="107"/>
  <c r="X79" i="73"/>
  <c r="Z79" i="73" s="1"/>
  <c r="P82" i="73"/>
  <c r="X82" i="73" s="1"/>
  <c r="D81" i="75"/>
  <c r="L78" i="75"/>
  <c r="N78" i="75" s="1"/>
  <c r="F78" i="75"/>
  <c r="H121" i="27"/>
  <c r="N118" i="27"/>
  <c r="J118" i="27"/>
  <c r="L118" i="27"/>
  <c r="L36" i="26"/>
  <c r="Z114" i="84"/>
  <c r="T117" i="84"/>
  <c r="V114" i="84"/>
  <c r="Z128" i="36"/>
  <c r="V128" i="36"/>
  <c r="X309" i="3"/>
  <c r="R309" i="3"/>
  <c r="X69" i="48"/>
  <c r="Z69" i="48" s="1"/>
  <c r="R69" i="48"/>
  <c r="L36" i="52"/>
  <c r="J72" i="93"/>
  <c r="T267" i="12"/>
  <c r="V264" i="12"/>
  <c r="L66" i="69"/>
  <c r="D69" i="69"/>
  <c r="J122" i="24"/>
  <c r="X106" i="51"/>
  <c r="R106" i="51"/>
  <c r="H124" i="74"/>
  <c r="J121" i="74"/>
  <c r="R75" i="79"/>
  <c r="T79" i="72"/>
  <c r="V76" i="72"/>
  <c r="L259" i="15"/>
  <c r="N259" i="15" s="1"/>
  <c r="F259" i="15"/>
  <c r="P122" i="24"/>
  <c r="X119" i="24"/>
  <c r="Z119" i="24" s="1"/>
  <c r="R119" i="24"/>
  <c r="D132" i="39"/>
  <c r="L129" i="39"/>
  <c r="F129" i="39"/>
  <c r="J105" i="21"/>
  <c r="X69" i="109"/>
  <c r="R69" i="109"/>
  <c r="X36" i="5"/>
  <c r="L66" i="78"/>
  <c r="N66" i="78" s="1"/>
  <c r="D69" i="78"/>
  <c r="L69" i="78" s="1"/>
  <c r="X36" i="34"/>
  <c r="Z42" i="108"/>
  <c r="L36" i="19"/>
  <c r="V100" i="33"/>
  <c r="Z98" i="9"/>
  <c r="N79" i="72"/>
  <c r="J79" i="72"/>
  <c r="X90" i="95"/>
  <c r="Z90" i="95" s="1"/>
  <c r="P93" i="95"/>
  <c r="R90" i="95"/>
  <c r="J123" i="42"/>
  <c r="X123" i="42"/>
  <c r="R123" i="42"/>
  <c r="J128" i="36"/>
  <c r="P100" i="33"/>
  <c r="X97" i="33"/>
  <c r="Z97" i="33" s="1"/>
  <c r="R97" i="33"/>
  <c r="H76" i="88"/>
  <c r="J73" i="88"/>
  <c r="L72" i="93"/>
  <c r="N72" i="93" s="1"/>
  <c r="T121" i="27"/>
  <c r="V118" i="27"/>
  <c r="Z120" i="70"/>
  <c r="V120" i="70"/>
  <c r="H120" i="70"/>
  <c r="J117" i="70"/>
  <c r="L36" i="14"/>
  <c r="N79" i="73"/>
  <c r="H82" i="73"/>
  <c r="J79" i="73"/>
  <c r="P85" i="83"/>
  <c r="X82" i="83"/>
  <c r="Z82" i="83" s="1"/>
  <c r="N89" i="103"/>
  <c r="J89" i="103"/>
  <c r="Z82" i="101"/>
  <c r="V82" i="101"/>
  <c r="N92" i="91"/>
  <c r="N38" i="55"/>
  <c r="F90" i="107"/>
  <c r="L36" i="23"/>
  <c r="X78" i="58"/>
  <c r="Z78" i="58" s="1"/>
  <c r="L36" i="31"/>
  <c r="L73" i="92"/>
  <c r="N73" i="92" s="1"/>
  <c r="D76" i="92"/>
  <c r="L76" i="92" s="1"/>
  <c r="L150" i="30"/>
  <c r="N150" i="30" s="1"/>
  <c r="D153" i="30"/>
  <c r="F150" i="30"/>
  <c r="T89" i="103"/>
  <c r="V86" i="103"/>
  <c r="V124" i="74"/>
  <c r="X92" i="91"/>
  <c r="Z92" i="91" s="1"/>
  <c r="L36" i="17"/>
  <c r="L33" i="85"/>
  <c r="N33" i="85" s="1"/>
  <c r="L120" i="42"/>
  <c r="N120" i="42" s="1"/>
  <c r="D123" i="42"/>
  <c r="F120" i="42"/>
  <c r="T81" i="75"/>
  <c r="V78" i="75"/>
  <c r="R259" i="15"/>
  <c r="N97" i="45"/>
  <c r="J97" i="45"/>
  <c r="Z71" i="57"/>
  <c r="T69" i="78"/>
  <c r="Z66" i="78"/>
  <c r="V66" i="78"/>
  <c r="Z31" i="6"/>
  <c r="X264" i="12"/>
  <c r="Z264" i="12" s="1"/>
  <c r="P267" i="12"/>
  <c r="R264" i="12"/>
  <c r="X72" i="93"/>
  <c r="V87" i="97"/>
  <c r="H85" i="83"/>
  <c r="N82" i="83"/>
  <c r="J82" i="83"/>
  <c r="Z76" i="80"/>
  <c r="V76" i="80"/>
  <c r="T85" i="83"/>
  <c r="V82" i="83"/>
  <c r="X78" i="75"/>
  <c r="Z78" i="75" s="1"/>
  <c r="P81" i="75"/>
  <c r="R78" i="75"/>
  <c r="X76" i="94"/>
  <c r="Z76" i="94" s="1"/>
  <c r="P79" i="94"/>
  <c r="R76" i="94"/>
  <c r="L36" i="41"/>
  <c r="Z33" i="85"/>
  <c r="V33" i="85"/>
  <c r="L106" i="51"/>
  <c r="N106" i="51" s="1"/>
  <c r="F106" i="51"/>
  <c r="T87" i="87"/>
  <c r="V84" i="87"/>
  <c r="X84" i="87"/>
  <c r="Z84" i="87" s="1"/>
  <c r="L82" i="73"/>
  <c r="Z66" i="109"/>
  <c r="T69" i="109"/>
  <c r="V66" i="109"/>
  <c r="N31" i="54"/>
  <c r="P111" i="68"/>
  <c r="X108" i="68"/>
  <c r="Z108" i="68" s="1"/>
  <c r="R108" i="68"/>
  <c r="X36" i="40"/>
  <c r="X84" i="97"/>
  <c r="Z84" i="97" s="1"/>
  <c r="P87" i="97"/>
  <c r="X87" i="97" s="1"/>
  <c r="Z87" i="97" s="1"/>
  <c r="V79" i="94"/>
  <c r="X55" i="61"/>
  <c r="Z55" i="61" s="1"/>
  <c r="L105" i="21"/>
  <c r="N105" i="21" s="1"/>
  <c r="F105" i="21"/>
  <c r="V111" i="68"/>
  <c r="X36" i="50"/>
  <c r="X36" i="111"/>
  <c r="N82" i="101"/>
  <c r="J82" i="101"/>
  <c r="J81" i="75"/>
  <c r="D117" i="84"/>
  <c r="L114" i="84"/>
  <c r="N114" i="84" s="1"/>
  <c r="F114" i="84"/>
  <c r="D120" i="70"/>
  <c r="L117" i="70"/>
  <c r="N117" i="70" s="1"/>
  <c r="F117" i="70"/>
  <c r="P69" i="78"/>
  <c r="X69" i="78" s="1"/>
  <c r="X66" i="78"/>
  <c r="F111" i="68"/>
  <c r="Z50" i="99"/>
  <c r="N78" i="58"/>
  <c r="X86" i="103"/>
  <c r="Z86" i="103" s="1"/>
  <c r="L36" i="13"/>
  <c r="Z82" i="73"/>
  <c r="V82" i="73"/>
  <c r="L124" i="74"/>
  <c r="F124" i="74"/>
  <c r="X36" i="53"/>
  <c r="P153" i="30"/>
  <c r="X150" i="30"/>
  <c r="Z150" i="30" s="1"/>
  <c r="R150" i="30"/>
  <c r="X36" i="11"/>
  <c r="P34" i="82"/>
  <c r="X31" i="82"/>
  <c r="Z31" i="82" s="1"/>
  <c r="R31" i="82"/>
  <c r="V153" i="30"/>
  <c r="N108" i="68"/>
  <c r="H111" i="68"/>
  <c r="J108" i="68"/>
  <c r="L76" i="94"/>
  <c r="N76" i="94" s="1"/>
  <c r="D79" i="94"/>
  <c r="L79" i="94" s="1"/>
  <c r="N97" i="33"/>
  <c r="H100" i="33"/>
  <c r="J97" i="33"/>
  <c r="X36" i="110"/>
  <c r="Z106" i="51"/>
  <c r="V106" i="51"/>
  <c r="N66" i="69"/>
  <c r="H69" i="69"/>
  <c r="J66" i="69"/>
  <c r="L104" i="63"/>
  <c r="N104" i="63" s="1"/>
  <c r="L55" i="67"/>
  <c r="H153" i="30"/>
  <c r="J150" i="30"/>
  <c r="V97" i="45"/>
  <c r="T285" i="18"/>
  <c r="X285" i="18" s="1"/>
  <c r="Z282" i="18"/>
  <c r="V282" i="18"/>
  <c r="X89" i="103"/>
  <c r="R89" i="103"/>
  <c r="X36" i="8"/>
  <c r="N55" i="67"/>
  <c r="L88" i="105"/>
  <c r="N88" i="105" s="1"/>
  <c r="D91" i="105"/>
  <c r="F88" i="105"/>
  <c r="R285" i="18"/>
  <c r="X36" i="38"/>
  <c r="L36" i="40"/>
  <c r="H132" i="39"/>
  <c r="N129" i="39"/>
  <c r="J129" i="39"/>
  <c r="L103" i="76"/>
  <c r="N103" i="76" s="1"/>
  <c r="L121" i="74"/>
  <c r="N121" i="74" s="1"/>
  <c r="N62" i="100"/>
  <c r="T259" i="15"/>
  <c r="Z256" i="15"/>
  <c r="V256" i="15"/>
  <c r="L76" i="80"/>
  <c r="N76" i="80" s="1"/>
  <c r="L75" i="56"/>
  <c r="N75" i="56" s="1"/>
  <c r="X36" i="28"/>
  <c r="N87" i="107"/>
  <c r="H90" i="107"/>
  <c r="J87" i="107"/>
  <c r="J117" i="84"/>
  <c r="Z72" i="79"/>
  <c r="T75" i="79"/>
  <c r="V72" i="79"/>
  <c r="Z76" i="92"/>
  <c r="V76" i="92"/>
  <c r="N267" i="12"/>
  <c r="J267" i="12"/>
  <c r="N71" i="57"/>
  <c r="X36" i="29"/>
  <c r="N54" i="104"/>
  <c r="J54" i="104"/>
  <c r="V69" i="69"/>
  <c r="L282" i="18"/>
  <c r="N282" i="18" s="1"/>
  <c r="D285" i="18"/>
  <c r="F282" i="18"/>
  <c r="V93" i="95"/>
  <c r="F100" i="33"/>
  <c r="P76" i="92"/>
  <c r="X76" i="92" s="1"/>
  <c r="X73" i="92"/>
  <c r="Z73" i="92" s="1"/>
  <c r="L69" i="109"/>
  <c r="N69" i="109" s="1"/>
  <c r="F69" i="109"/>
  <c r="X79" i="72"/>
  <c r="Z72" i="93"/>
  <c r="V72" i="93"/>
  <c r="X94" i="45"/>
  <c r="Z94" i="45" s="1"/>
  <c r="P97" i="45"/>
  <c r="R94" i="45"/>
  <c r="J75" i="79"/>
  <c r="V122" i="24"/>
  <c r="X36" i="35"/>
  <c r="N42" i="108"/>
  <c r="F106" i="76"/>
  <c r="T105" i="21"/>
  <c r="V102" i="21"/>
  <c r="X102" i="21"/>
  <c r="Z102" i="21" s="1"/>
  <c r="J76" i="80"/>
  <c r="L31" i="54"/>
  <c r="X87" i="107"/>
  <c r="Z87" i="107" s="1"/>
  <c r="P90" i="107"/>
  <c r="R87" i="107"/>
  <c r="X33" i="85"/>
  <c r="N87" i="87"/>
  <c r="J87" i="87"/>
  <c r="X36" i="13"/>
  <c r="L36" i="110"/>
  <c r="J309" i="3"/>
  <c r="L36" i="38"/>
  <c r="L36" i="25"/>
  <c r="J285" i="18"/>
  <c r="X29" i="86"/>
  <c r="L76" i="88"/>
  <c r="X118" i="27"/>
  <c r="Z118" i="27" s="1"/>
  <c r="P121" i="27"/>
  <c r="R118" i="27"/>
  <c r="X34" i="98"/>
  <c r="Z34" i="98" s="1"/>
  <c r="Z129" i="39"/>
  <c r="T132" i="39"/>
  <c r="V129" i="39"/>
  <c r="Z123" i="42"/>
  <c r="V123" i="42"/>
  <c r="L36" i="111"/>
  <c r="X38" i="55"/>
  <c r="Z38" i="55" s="1"/>
  <c r="X76" i="72"/>
  <c r="Z76" i="72" s="1"/>
  <c r="N69" i="48"/>
  <c r="J69" i="48"/>
  <c r="Z31" i="54"/>
  <c r="L36" i="10"/>
  <c r="P124" i="74"/>
  <c r="X121" i="74"/>
  <c r="Z121" i="74" s="1"/>
  <c r="R121" i="74"/>
  <c r="N65" i="59"/>
  <c r="X69" i="69"/>
  <c r="Z69" i="69" s="1"/>
  <c r="L75" i="79"/>
  <c r="N75" i="79" s="1"/>
  <c r="F75" i="79"/>
  <c r="N56" i="60"/>
  <c r="L98" i="9"/>
  <c r="N98" i="9" s="1"/>
  <c r="J91" i="105"/>
  <c r="L36" i="49"/>
  <c r="Z75" i="56"/>
  <c r="L69" i="48"/>
  <c r="F69" i="48"/>
  <c r="L34" i="82"/>
  <c r="F34" i="82"/>
  <c r="N34" i="82"/>
  <c r="J34" i="82"/>
  <c r="L36" i="44"/>
  <c r="L73" i="88"/>
  <c r="N73" i="88" s="1"/>
  <c r="N76" i="92"/>
  <c r="J76" i="92"/>
  <c r="J132" i="39" l="1"/>
  <c r="J111" i="68"/>
  <c r="V85" i="83"/>
  <c r="X93" i="95"/>
  <c r="Z93" i="95" s="1"/>
  <c r="R93" i="95"/>
  <c r="X97" i="45"/>
  <c r="Z97" i="45" s="1"/>
  <c r="R97" i="45"/>
  <c r="J69" i="69"/>
  <c r="X111" i="68"/>
  <c r="Z111" i="68" s="1"/>
  <c r="R111" i="68"/>
  <c r="L123" i="42"/>
  <c r="N123" i="42" s="1"/>
  <c r="F123" i="42"/>
  <c r="L153" i="30"/>
  <c r="F153" i="30"/>
  <c r="L122" i="24"/>
  <c r="N122" i="24" s="1"/>
  <c r="F122" i="24"/>
  <c r="Z69" i="78"/>
  <c r="V69" i="78"/>
  <c r="L69" i="69"/>
  <c r="N69" i="69" s="1"/>
  <c r="Z105" i="21"/>
  <c r="V105" i="21"/>
  <c r="X105" i="21"/>
  <c r="J106" i="76"/>
  <c r="Z69" i="109"/>
  <c r="V69" i="109"/>
  <c r="X100" i="33"/>
  <c r="Z100" i="33" s="1"/>
  <c r="R100" i="33"/>
  <c r="Z79" i="72"/>
  <c r="V79" i="72"/>
  <c r="L106" i="76"/>
  <c r="N106" i="76" s="1"/>
  <c r="Z75" i="79"/>
  <c r="V75" i="79"/>
  <c r="X79" i="94"/>
  <c r="Z79" i="94" s="1"/>
  <c r="R79" i="94"/>
  <c r="N85" i="83"/>
  <c r="J85" i="83"/>
  <c r="L81" i="75"/>
  <c r="N81" i="75" s="1"/>
  <c r="F81" i="75"/>
  <c r="Z106" i="76"/>
  <c r="V106" i="76"/>
  <c r="Z285" i="18"/>
  <c r="V285" i="18"/>
  <c r="Z259" i="15"/>
  <c r="V259" i="15"/>
  <c r="L91" i="105"/>
  <c r="N91" i="105" s="1"/>
  <c r="F91" i="105"/>
  <c r="X34" i="82"/>
  <c r="Z34" i="82" s="1"/>
  <c r="R34" i="82"/>
  <c r="L117" i="84"/>
  <c r="N117" i="84" s="1"/>
  <c r="F117" i="84"/>
  <c r="X85" i="83"/>
  <c r="Z85" i="83" s="1"/>
  <c r="Z267" i="12"/>
  <c r="V267" i="12"/>
  <c r="Z117" i="84"/>
  <c r="V117" i="84"/>
  <c r="V91" i="105"/>
  <c r="X91" i="105"/>
  <c r="Z91" i="105" s="1"/>
  <c r="J121" i="27"/>
  <c r="L121" i="27"/>
  <c r="N121" i="27" s="1"/>
  <c r="X121" i="27"/>
  <c r="Z121" i="27" s="1"/>
  <c r="R121" i="27"/>
  <c r="L120" i="70"/>
  <c r="F120" i="70"/>
  <c r="X90" i="107"/>
  <c r="Z90" i="107" s="1"/>
  <c r="R90" i="107"/>
  <c r="J100" i="33"/>
  <c r="V121" i="27"/>
  <c r="L132" i="39"/>
  <c r="N132" i="39" s="1"/>
  <c r="F132" i="39"/>
  <c r="X75" i="79"/>
  <c r="L128" i="36"/>
  <c r="N128" i="36" s="1"/>
  <c r="F128" i="36"/>
  <c r="X132" i="39"/>
  <c r="Z132" i="39" s="1"/>
  <c r="R132" i="39"/>
  <c r="N120" i="70"/>
  <c r="J120" i="70"/>
  <c r="X81" i="75"/>
  <c r="R81" i="75"/>
  <c r="X259" i="15"/>
  <c r="N82" i="73"/>
  <c r="J82" i="73"/>
  <c r="N79" i="94"/>
  <c r="J79" i="94"/>
  <c r="X117" i="84"/>
  <c r="N153" i="30"/>
  <c r="J153" i="30"/>
  <c r="Z89" i="103"/>
  <c r="V89" i="103"/>
  <c r="N124" i="74"/>
  <c r="J124" i="74"/>
  <c r="X124" i="74"/>
  <c r="Z124" i="74" s="1"/>
  <c r="R124" i="74"/>
  <c r="J90" i="107"/>
  <c r="X153" i="30"/>
  <c r="Z153" i="30" s="1"/>
  <c r="R153" i="30"/>
  <c r="L111" i="68"/>
  <c r="N111" i="68" s="1"/>
  <c r="Z87" i="87"/>
  <c r="V87" i="87"/>
  <c r="X87" i="87"/>
  <c r="X267" i="12"/>
  <c r="R267" i="12"/>
  <c r="Z81" i="75"/>
  <c r="V81" i="75"/>
  <c r="L90" i="107"/>
  <c r="N90" i="107" s="1"/>
  <c r="X122" i="24"/>
  <c r="Z122" i="24" s="1"/>
  <c r="R122" i="24"/>
  <c r="Z309" i="3"/>
  <c r="V309" i="3"/>
  <c r="L309" i="3"/>
  <c r="N309" i="3" s="1"/>
  <c r="F309" i="3"/>
  <c r="N69" i="78"/>
  <c r="J69" i="78"/>
  <c r="L285" i="18"/>
  <c r="N285" i="18" s="1"/>
  <c r="F285" i="18"/>
  <c r="V132" i="39"/>
  <c r="L100" i="33"/>
  <c r="N100" i="33" s="1"/>
  <c r="N76" i="88"/>
  <c r="J76" i="88"/>
</calcChain>
</file>

<file path=xl/sharedStrings.xml><?xml version="1.0" encoding="utf-8"?>
<sst xmlns="http://schemas.openxmlformats.org/spreadsheetml/2006/main" count="2974" uniqueCount="314">
  <si>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</si>
  <si>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</si>
  <si>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</si>
  <si>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</si>
  <si>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</si>
  <si>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</si>
  <si>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</si>
  <si>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</si>
  <si>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</si>
  <si>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</si>
  <si>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</si>
  <si>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</si>
  <si>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</si>
  <si>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</si>
  <si>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</si>
  <si>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</si>
  <si>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</si>
  <si>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</si>
  <si>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</si>
  <si>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</si>
  <si>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</si>
  <si>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</si>
  <si>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</si>
  <si>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</si>
  <si>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</si>
  <si>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</si>
  <si>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</si>
  <si>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</si>
  <si>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</si>
  <si>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</si>
  <si>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</si>
  <si>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</si>
  <si>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</si>
  <si>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</si>
  <si>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</si>
  <si>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</si>
  <si>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</si>
  <si>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</si>
  <si>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</si>
  <si>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</si>
  <si>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</si>
  <si>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</si>
  <si>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</si>
  <si>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</si>
  <si>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</si>
  <si>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</si>
  <si>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</si>
  <si>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</si>
  <si>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</si>
  <si>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</si>
  <si>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</si>
  <si>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</si>
  <si>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</si>
  <si>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</si>
  <si>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</si>
  <si>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</si>
  <si>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</si>
  <si>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</si>
  <si>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</si>
  <si>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</si>
  <si>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</si>
  <si>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</si>
  <si>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</si>
  <si>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</si>
  <si>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</si>
  <si>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</si>
  <si>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</si>
  <si>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</si>
  <si>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</si>
  <si>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</si>
  <si>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</si>
  <si>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</si>
  <si>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</si>
  <si>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</si>
  <si>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</si>
  <si>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</si>
  <si>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</si>
  <si>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</si>
  <si>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</si>
  <si>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</si>
  <si>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</si>
  <si>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</si>
  <si>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</si>
  <si>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</si>
  <si>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</si>
  <si>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</si>
  <si>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</si>
  <si>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</si>
  <si>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</si>
  <si>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</si>
  <si>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</si>
  <si>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</si>
  <si>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</si>
  <si>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</si>
  <si>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</si>
  <si>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</si>
  <si>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</si>
  <si>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</si>
  <si>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</si>
  <si>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</si>
  <si>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</si>
  <si>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</si>
  <si>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</si>
  <si>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</si>
  <si>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</si>
  <si>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</si>
  <si>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</si>
  <si>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</si>
  <si>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</si>
  <si>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</si>
  <si>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</si>
  <si>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</si>
  <si>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</si>
  <si>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</si>
  <si>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</si>
  <si>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</si>
  <si>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</si>
  <si>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</si>
  <si>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</si>
  <si>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</si>
  <si>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</si>
  <si>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</si>
  <si>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</si>
  <si>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</si>
  <si>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</si>
  <si>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</si>
  <si>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</si>
  <si>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</si>
  <si>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</si>
  <si>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</si>
  <si>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</si>
  <si>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</si>
  <si>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</si>
  <si>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</si>
  <si>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</si>
  <si>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</si>
  <si>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</si>
  <si>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</si>
  <si>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</si>
  <si>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</si>
  <si>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</si>
  <si>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</si>
  <si>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</si>
  <si>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</si>
  <si>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</si>
  <si>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</si>
  <si>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</si>
  <si>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</si>
  <si>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</si>
  <si>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</si>
  <si>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</si>
  <si>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</si>
  <si>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</si>
  <si>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</si>
  <si>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</si>
  <si>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</si>
  <si>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</si>
  <si>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</si>
  <si>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</si>
  <si>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</si>
  <si>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</si>
  <si>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</si>
  <si>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</si>
  <si>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</si>
  <si>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</si>
  <si>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</si>
  <si>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</si>
  <si>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</si>
  <si>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</si>
  <si>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</si>
  <si>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</si>
  <si>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</si>
  <si>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</si>
  <si>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</si>
  <si>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</si>
  <si>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</si>
  <si>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</si>
  <si>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</si>
  <si>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</si>
  <si>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</si>
  <si>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</si>
  <si>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</si>
  <si>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</si>
  <si>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</si>
  <si>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</si>
  <si>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</si>
  <si>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</si>
  <si>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</si>
  <si>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</si>
  <si>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</si>
  <si>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</si>
  <si>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</si>
  <si>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</si>
  <si>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</si>
  <si>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</si>
  <si>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</si>
  <si>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</si>
  <si>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</si>
  <si>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</si>
  <si>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</si>
  <si>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</si>
  <si>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</si>
  <si>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</si>
  <si>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</si>
  <si>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</si>
  <si>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</si>
  <si>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</si>
  <si>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</si>
  <si>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</si>
  <si>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</si>
  <si>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</si>
  <si>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</si>
  <si>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</si>
  <si>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</si>
  <si>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</si>
  <si>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</si>
  <si>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</si>
  <si>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</si>
  <si>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</si>
  <si>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</si>
  <si>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</si>
  <si>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</si>
  <si>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</si>
  <si>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</si>
  <si>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</si>
  <si>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</si>
  <si>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</si>
  <si>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</si>
  <si>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</si>
  <si>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</si>
  <si>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</si>
  <si>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</si>
  <si>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</si>
  <si>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</si>
  <si>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</si>
  <si>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</si>
  <si>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</si>
  <si>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</si>
  <si>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</si>
  <si>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</si>
  <si>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</si>
  <si>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</si>
  <si>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</si>
  <si>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</si>
  <si>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</si>
  <si>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</si>
  <si>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</si>
  <si>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</si>
  <si>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</si>
  <si>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</si>
  <si>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</si>
  <si>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</si>
  <si>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</si>
  <si>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</si>
  <si>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</si>
  <si>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</si>
  <si>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</si>
  <si>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</si>
  <si>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</si>
  <si>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</si>
  <si>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</si>
  <si>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</si>
  <si>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</si>
  <si>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</si>
  <si>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</si>
  <si>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</si>
  <si>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</si>
  <si>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</si>
  <si>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</si>
  <si>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</si>
  <si>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</si>
  <si>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</si>
  <si>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</si>
  <si>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</si>
  <si>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</si>
  <si>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</si>
  <si>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</si>
  <si>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</si>
  <si>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</si>
  <si>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</si>
  <si>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</si>
  <si>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</si>
  <si>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</si>
  <si>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</si>
  <si>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</si>
  <si>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</si>
  <si>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</si>
  <si>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</si>
  <si>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</si>
  <si>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</si>
  <si>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</si>
  <si>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</si>
  <si>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</si>
  <si>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</si>
  <si>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</si>
  <si>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</si>
  <si>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</si>
  <si>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</si>
  <si>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</si>
  <si>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</si>
  <si>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</si>
  <si>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</si>
  <si>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</si>
  <si>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</si>
  <si>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</si>
  <si>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</si>
  <si>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</si>
  <si>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</si>
  <si>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</si>
  <si>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</si>
  <si>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</si>
  <si>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</si>
  <si>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</si>
  <si>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49er.local\ccampbell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</si>
</sst>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167" fontId="2" fillId="2" borderId="1" xfId="3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2" borderId="4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0" borderId="0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0" fillId="0" borderId="0" xfId="3" applyNumberFormat="1" applyFont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166" fontId="3" fillId="0" borderId="0" xfId="0" applyNumberFormat="1" applyFont="1" applyAlignment="1">
      <alignment horizontal="left"/>
    </xf>
    <xf numFmtId="165" fontId="0" fillId="0" borderId="0" xfId="0" applyNumberFormat="1"/>
    <xf numFmtId="0" fontId="4" fillId="0" borderId="0" xfId="0" applyFont="1" applyFill="1"/>
    <xf numFmtId="0" fontId="0" fillId="0" borderId="0" xfId="0" applyFill="1" applyAlignment="1">
      <alignment horizontal="centerContinuous"/>
    </xf>
    <xf numFmtId="0" fontId="5" fillId="0" borderId="0" xfId="0" applyFont="1"/>
    <xf numFmtId="0" fontId="3" fillId="0" borderId="0" xfId="0" applyFont="1" applyAlignment="1">
      <alignment horizontal="left"/>
    </xf>
    <xf numFmtId="0" fontId="0" fillId="0" borderId="0" xfId="0" applyBorder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Fill="1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304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5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6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304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14"/>
  <sheetViews>
    <sheetView tabSelected="1" zoomScale="80" workbookViewId="0">
      <pane xSplit="3" ySplit="10" topLeftCell="D13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895796.51000000024</v>
      </c>
      <c r="E12" s="4"/>
      <c r="F12" s="12"/>
      <c r="G12" s="4"/>
      <c r="H12" s="4">
        <f>SUM(OSRRefH13x_0)</f>
        <v>4008767.4699999993</v>
      </c>
      <c r="I12" s="4"/>
      <c r="J12" s="12"/>
      <c r="K12" s="4"/>
      <c r="L12" s="4">
        <f t="shared" ref="L12:L128" si="0">+D12-H12</f>
        <v>-3112970.959999999</v>
      </c>
      <c r="M12" s="4"/>
      <c r="N12" s="12">
        <f t="shared" ref="N12:N128" si="1">IF(H12=0,0,L12/H12)</f>
        <v>-0.77654066575230907</v>
      </c>
      <c r="O12" s="10"/>
      <c r="P12" s="4">
        <f>SUM(OSRRefP13x_0)</f>
        <v>3583696.9099999988</v>
      </c>
      <c r="Q12" s="4"/>
      <c r="R12" s="12"/>
      <c r="S12" s="4"/>
      <c r="T12" s="4">
        <f>SUM(OSRRefT13x_0)</f>
        <v>9733974.3999999966</v>
      </c>
      <c r="U12" s="4"/>
      <c r="V12" s="12"/>
      <c r="W12" s="4"/>
      <c r="X12" s="4">
        <f t="shared" ref="X12:X128" si="2">+P12-T12</f>
        <v>-6150277.4899999984</v>
      </c>
      <c r="Y12" s="4"/>
      <c r="Z12" s="12">
        <f t="shared" ref="Z12:Z128" si="3">IF(T12=0,0,X12/T12)</f>
        <v>-0.63183620967813525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-8672.74</f>
        <v>-8672.74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-8672.74</v>
      </c>
      <c r="M13" s="2"/>
      <c r="N13" s="19">
        <f t="shared" si="1"/>
        <v>0</v>
      </c>
      <c r="O13" s="11"/>
      <c r="P13" s="2">
        <f>-37800.78</f>
        <v>-37800.78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-37800.78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19"/>
      <c r="G14" s="2"/>
      <c r="H14" s="2">
        <f>--336733.45</f>
        <v>336733.45</v>
      </c>
      <c r="I14" s="2"/>
      <c r="J14" s="19"/>
      <c r="K14" s="2"/>
      <c r="L14" s="2">
        <f t="shared" si="0"/>
        <v>-226234.13</v>
      </c>
      <c r="M14" s="2"/>
      <c r="N14" s="19">
        <f t="shared" si="1"/>
        <v>-0.67184929207359712</v>
      </c>
      <c r="O14" s="11"/>
      <c r="P14" s="2">
        <f>--694696.64</f>
        <v>694696.64</v>
      </c>
      <c r="Q14" s="2"/>
      <c r="R14" s="19"/>
      <c r="S14" s="2"/>
      <c r="T14" s="2">
        <f>--1463955.42</f>
        <v>1463955.42</v>
      </c>
      <c r="U14" s="2"/>
      <c r="V14" s="19"/>
      <c r="W14" s="2"/>
      <c r="X14" s="2">
        <f t="shared" si="2"/>
        <v>-769258.77999999991</v>
      </c>
      <c r="Y14" s="2"/>
      <c r="Z14" s="19">
        <f t="shared" si="3"/>
        <v>-0.5254659872088181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19"/>
      <c r="G15" s="2"/>
      <c r="H15" s="2">
        <f>--101849.66</f>
        <v>101849.66</v>
      </c>
      <c r="I15" s="2"/>
      <c r="J15" s="19"/>
      <c r="K15" s="2"/>
      <c r="L15" s="2">
        <f t="shared" si="0"/>
        <v>-63805.920000000006</v>
      </c>
      <c r="M15" s="2"/>
      <c r="N15" s="19">
        <f t="shared" si="1"/>
        <v>-0.62647160530530988</v>
      </c>
      <c r="O15" s="11"/>
      <c r="P15" s="2">
        <f>--316655.9</f>
        <v>316655.90000000002</v>
      </c>
      <c r="Q15" s="2"/>
      <c r="R15" s="19"/>
      <c r="S15" s="2"/>
      <c r="T15" s="2">
        <f>--657310.58</f>
        <v>657310.57999999996</v>
      </c>
      <c r="U15" s="2"/>
      <c r="V15" s="19"/>
      <c r="W15" s="2"/>
      <c r="X15" s="2">
        <f t="shared" si="2"/>
        <v>-340654.67999999993</v>
      </c>
      <c r="Y15" s="2"/>
      <c r="Z15" s="19">
        <f t="shared" si="3"/>
        <v>-0.51825528200078563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19"/>
      <c r="G16" s="2"/>
      <c r="H16" s="2">
        <f>--2800.64</f>
        <v>2800.64</v>
      </c>
      <c r="I16" s="2"/>
      <c r="J16" s="19"/>
      <c r="K16" s="2"/>
      <c r="L16" s="2">
        <f t="shared" si="0"/>
        <v>-1260.8499999999999</v>
      </c>
      <c r="M16" s="2"/>
      <c r="N16" s="19">
        <f t="shared" si="1"/>
        <v>-0.45020066841864714</v>
      </c>
      <c r="O16" s="11"/>
      <c r="P16" s="2">
        <f>--10595.63</f>
        <v>10595.63</v>
      </c>
      <c r="Q16" s="2"/>
      <c r="R16" s="19"/>
      <c r="S16" s="2"/>
      <c r="T16" s="2">
        <f>--15536.69</f>
        <v>15536.69</v>
      </c>
      <c r="U16" s="2"/>
      <c r="V16" s="19"/>
      <c r="W16" s="2"/>
      <c r="X16" s="2">
        <f t="shared" si="2"/>
        <v>-4941.0600000000013</v>
      </c>
      <c r="Y16" s="2"/>
      <c r="Z16" s="19">
        <f t="shared" si="3"/>
        <v>-0.31802526793029928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19"/>
      <c r="G17" s="2"/>
      <c r="H17" s="2">
        <f>--7290.37</f>
        <v>7290.37</v>
      </c>
      <c r="I17" s="2"/>
      <c r="J17" s="19"/>
      <c r="K17" s="2"/>
      <c r="L17" s="2">
        <f t="shared" si="0"/>
        <v>-7006.15</v>
      </c>
      <c r="M17" s="2"/>
      <c r="N17" s="19">
        <f t="shared" si="1"/>
        <v>-0.96101432437585466</v>
      </c>
      <c r="O17" s="11"/>
      <c r="P17" s="2">
        <f>--2105.11</f>
        <v>2105.11</v>
      </c>
      <c r="Q17" s="2"/>
      <c r="R17" s="19"/>
      <c r="S17" s="2"/>
      <c r="T17" s="2">
        <f>--29700.44</f>
        <v>29700.44</v>
      </c>
      <c r="U17" s="2"/>
      <c r="V17" s="19"/>
      <c r="W17" s="2"/>
      <c r="X17" s="2">
        <f t="shared" si="2"/>
        <v>-27595.329999999998</v>
      </c>
      <c r="Y17" s="2"/>
      <c r="Z17" s="19">
        <f t="shared" si="3"/>
        <v>-0.92912192546642403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ref="D18:D19" si="4">0</f>
        <v>0</v>
      </c>
      <c r="E18" s="2"/>
      <c r="F18" s="19"/>
      <c r="G18" s="2"/>
      <c r="H18" s="2">
        <f>--9.6</f>
        <v>9.6</v>
      </c>
      <c r="I18" s="2"/>
      <c r="J18" s="19"/>
      <c r="K18" s="2"/>
      <c r="L18" s="2">
        <f t="shared" si="0"/>
        <v>-9.6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--29.95</f>
        <v>29.95</v>
      </c>
      <c r="I19" s="2"/>
      <c r="J19" s="19"/>
      <c r="K19" s="2"/>
      <c r="L19" s="2">
        <f t="shared" si="0"/>
        <v>-29.95</v>
      </c>
      <c r="M19" s="2"/>
      <c r="N19" s="19">
        <f t="shared" si="1"/>
        <v>-1</v>
      </c>
      <c r="O19" s="11"/>
      <c r="P19" s="2">
        <f>--39.9</f>
        <v>39.9</v>
      </c>
      <c r="Q19" s="2"/>
      <c r="R19" s="19"/>
      <c r="S19" s="2"/>
      <c r="T19" s="2">
        <f>--140.76</f>
        <v>140.76</v>
      </c>
      <c r="U19" s="2"/>
      <c r="V19" s="19"/>
      <c r="W19" s="2"/>
      <c r="X19" s="2">
        <f t="shared" si="2"/>
        <v>-100.85999999999999</v>
      </c>
      <c r="Y19" s="2"/>
      <c r="Z19" s="19">
        <f t="shared" si="3"/>
        <v>-0.71653878942881499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--97.51</f>
        <v>97.51</v>
      </c>
      <c r="E20" s="2"/>
      <c r="F20" s="19"/>
      <c r="G20" s="2"/>
      <c r="H20" s="2">
        <f>--97.44</f>
        <v>97.44</v>
      </c>
      <c r="I20" s="2"/>
      <c r="J20" s="19"/>
      <c r="K20" s="2"/>
      <c r="L20" s="2">
        <f t="shared" si="0"/>
        <v>7.000000000000739E-2</v>
      </c>
      <c r="M20" s="2"/>
      <c r="N20" s="19">
        <f t="shared" si="1"/>
        <v>7.1839080459777703E-4</v>
      </c>
      <c r="O20" s="11"/>
      <c r="P20" s="2">
        <f>--304.44</f>
        <v>304.44</v>
      </c>
      <c r="Q20" s="2"/>
      <c r="R20" s="19"/>
      <c r="S20" s="2"/>
      <c r="T20" s="2">
        <f>--523.09</f>
        <v>523.09</v>
      </c>
      <c r="U20" s="2"/>
      <c r="V20" s="19"/>
      <c r="W20" s="2"/>
      <c r="X20" s="2">
        <f t="shared" si="2"/>
        <v>-218.65000000000003</v>
      </c>
      <c r="Y20" s="2"/>
      <c r="Z20" s="19">
        <f t="shared" si="3"/>
        <v>-0.41799690301860104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--65.39</f>
        <v>65.39</v>
      </c>
      <c r="I21" s="2"/>
      <c r="J21" s="19"/>
      <c r="K21" s="2"/>
      <c r="L21" s="2">
        <f t="shared" si="0"/>
        <v>-65.39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--222.69</f>
        <v>222.69</v>
      </c>
      <c r="U21" s="2"/>
      <c r="V21" s="19"/>
      <c r="W21" s="2"/>
      <c r="X21" s="2">
        <f t="shared" si="2"/>
        <v>-222.69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--48.87</f>
        <v>48.87</v>
      </c>
      <c r="E22" s="2"/>
      <c r="F22" s="19"/>
      <c r="G22" s="2"/>
      <c r="H22" s="2">
        <f>--696.02</f>
        <v>696.02</v>
      </c>
      <c r="I22" s="2"/>
      <c r="J22" s="19"/>
      <c r="K22" s="2"/>
      <c r="L22" s="2">
        <f t="shared" si="0"/>
        <v>-647.15</v>
      </c>
      <c r="M22" s="2"/>
      <c r="N22" s="19">
        <f t="shared" si="1"/>
        <v>-0.92978650038791988</v>
      </c>
      <c r="O22" s="11"/>
      <c r="P22" s="2">
        <f>--183.89</f>
        <v>183.89</v>
      </c>
      <c r="Q22" s="2"/>
      <c r="R22" s="19"/>
      <c r="S22" s="2"/>
      <c r="T22" s="2">
        <f>--2060.15</f>
        <v>2060.15</v>
      </c>
      <c r="U22" s="2"/>
      <c r="V22" s="19"/>
      <c r="W22" s="2"/>
      <c r="X22" s="2">
        <f t="shared" si="2"/>
        <v>-1876.2600000000002</v>
      </c>
      <c r="Y22" s="2"/>
      <c r="Z22" s="19">
        <f t="shared" si="3"/>
        <v>-0.91073950925903457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--14.95</f>
        <v>14.95</v>
      </c>
      <c r="U23" s="2"/>
      <c r="V23" s="19"/>
      <c r="W23" s="2"/>
      <c r="X23" s="2">
        <f t="shared" si="2"/>
        <v>-14.95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--11837.54</f>
        <v>11837.54</v>
      </c>
      <c r="I24" s="2"/>
      <c r="J24" s="19"/>
      <c r="K24" s="2"/>
      <c r="L24" s="2">
        <f t="shared" si="0"/>
        <v>-11837.54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--16296.07</f>
        <v>16296.07</v>
      </c>
      <c r="U24" s="2"/>
      <c r="V24" s="19"/>
      <c r="W24" s="2"/>
      <c r="X24" s="2">
        <f t="shared" si="2"/>
        <v>-16296.07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--21.47</f>
        <v>21.47</v>
      </c>
      <c r="E25" s="2"/>
      <c r="F25" s="19"/>
      <c r="G25" s="2"/>
      <c r="H25" s="2">
        <f>--11722.76</f>
        <v>11722.76</v>
      </c>
      <c r="I25" s="2"/>
      <c r="J25" s="19"/>
      <c r="K25" s="2"/>
      <c r="L25" s="2">
        <f t="shared" si="0"/>
        <v>-11701.29</v>
      </c>
      <c r="M25" s="2"/>
      <c r="N25" s="19">
        <f t="shared" si="1"/>
        <v>-0.99816852004135548</v>
      </c>
      <c r="O25" s="11"/>
      <c r="P25" s="2">
        <f>--258.03</f>
        <v>258.02999999999997</v>
      </c>
      <c r="Q25" s="2"/>
      <c r="R25" s="19"/>
      <c r="S25" s="2"/>
      <c r="T25" s="2">
        <f>--24499.3</f>
        <v>24499.3</v>
      </c>
      <c r="U25" s="2"/>
      <c r="V25" s="19"/>
      <c r="W25" s="2"/>
      <c r="X25" s="2">
        <f t="shared" si="2"/>
        <v>-24241.27</v>
      </c>
      <c r="Y25" s="2"/>
      <c r="Z25" s="19">
        <f t="shared" si="3"/>
        <v>-0.9894678623470875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--10773.55</f>
        <v>10773.55</v>
      </c>
      <c r="E26" s="2"/>
      <c r="F26" s="19"/>
      <c r="G26" s="2"/>
      <c r="H26" s="2">
        <f>--44221.34</f>
        <v>44221.34</v>
      </c>
      <c r="I26" s="2"/>
      <c r="J26" s="19"/>
      <c r="K26" s="2"/>
      <c r="L26" s="2">
        <f t="shared" si="0"/>
        <v>-33447.789999999994</v>
      </c>
      <c r="M26" s="2"/>
      <c r="N26" s="19">
        <f t="shared" si="1"/>
        <v>-0.75637214973585143</v>
      </c>
      <c r="O26" s="11"/>
      <c r="P26" s="2">
        <f>--32674.61</f>
        <v>32674.61</v>
      </c>
      <c r="Q26" s="2"/>
      <c r="R26" s="19"/>
      <c r="S26" s="2"/>
      <c r="T26" s="2">
        <f>--123320.59</f>
        <v>123320.59</v>
      </c>
      <c r="U26" s="2"/>
      <c r="V26" s="19"/>
      <c r="W26" s="2"/>
      <c r="X26" s="2">
        <f t="shared" si="2"/>
        <v>-90645.98</v>
      </c>
      <c r="Y26" s="2"/>
      <c r="Z26" s="19">
        <f t="shared" si="3"/>
        <v>-0.73504335326323045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--2807.8</f>
        <v>2807.8</v>
      </c>
      <c r="E27" s="2"/>
      <c r="F27" s="19"/>
      <c r="G27" s="2"/>
      <c r="H27" s="2">
        <f>--51812.13</f>
        <v>51812.13</v>
      </c>
      <c r="I27" s="2"/>
      <c r="J27" s="19"/>
      <c r="K27" s="2"/>
      <c r="L27" s="2">
        <f t="shared" si="0"/>
        <v>-49004.329999999994</v>
      </c>
      <c r="M27" s="2"/>
      <c r="N27" s="19">
        <f t="shared" si="1"/>
        <v>-0.94580805691640157</v>
      </c>
      <c r="O27" s="11"/>
      <c r="P27" s="2">
        <f>--12498.9</f>
        <v>12498.9</v>
      </c>
      <c r="Q27" s="2"/>
      <c r="R27" s="19"/>
      <c r="S27" s="2"/>
      <c r="T27" s="2">
        <f>--100727.68</f>
        <v>100727.67999999999</v>
      </c>
      <c r="U27" s="2"/>
      <c r="V27" s="19"/>
      <c r="W27" s="2"/>
      <c r="X27" s="2">
        <f t="shared" si="2"/>
        <v>-88228.78</v>
      </c>
      <c r="Y27" s="2"/>
      <c r="Z27" s="19">
        <f t="shared" si="3"/>
        <v>-0.87591394937320111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--685.9</f>
        <v>685.9</v>
      </c>
      <c r="E28" s="2"/>
      <c r="F28" s="19"/>
      <c r="G28" s="2"/>
      <c r="H28" s="2">
        <f>--88.48</f>
        <v>88.48</v>
      </c>
      <c r="I28" s="2"/>
      <c r="J28" s="19"/>
      <c r="K28" s="2"/>
      <c r="L28" s="2">
        <f t="shared" si="0"/>
        <v>597.41999999999996</v>
      </c>
      <c r="M28" s="2"/>
      <c r="N28" s="19">
        <f t="shared" si="1"/>
        <v>6.7520343580470152</v>
      </c>
      <c r="O28" s="11"/>
      <c r="P28" s="2">
        <f>--1238.16</f>
        <v>1238.1600000000001</v>
      </c>
      <c r="Q28" s="2"/>
      <c r="R28" s="19"/>
      <c r="S28" s="2"/>
      <c r="T28" s="2">
        <f>--120.82</f>
        <v>120.82</v>
      </c>
      <c r="U28" s="2"/>
      <c r="V28" s="19"/>
      <c r="W28" s="2"/>
      <c r="X28" s="2">
        <f t="shared" si="2"/>
        <v>1117.3400000000001</v>
      </c>
      <c r="Y28" s="2"/>
      <c r="Z28" s="19">
        <f t="shared" si="3"/>
        <v>9.2479721900347638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--356.39</f>
        <v>356.39</v>
      </c>
      <c r="E29" s="2"/>
      <c r="F29" s="19"/>
      <c r="G29" s="2"/>
      <c r="H29" s="2">
        <f>--47924.5</f>
        <v>47924.5</v>
      </c>
      <c r="I29" s="2"/>
      <c r="J29" s="19"/>
      <c r="K29" s="2"/>
      <c r="L29" s="2">
        <f t="shared" si="0"/>
        <v>-47568.11</v>
      </c>
      <c r="M29" s="2"/>
      <c r="N29" s="19">
        <f t="shared" si="1"/>
        <v>-0.9925635113564043</v>
      </c>
      <c r="O29" s="11"/>
      <c r="P29" s="2">
        <f>--444.59</f>
        <v>444.59</v>
      </c>
      <c r="Q29" s="2"/>
      <c r="R29" s="19"/>
      <c r="S29" s="2"/>
      <c r="T29" s="2">
        <f>--72677.69</f>
        <v>72677.69</v>
      </c>
      <c r="U29" s="2"/>
      <c r="V29" s="19"/>
      <c r="W29" s="2"/>
      <c r="X29" s="2">
        <f t="shared" si="2"/>
        <v>-72233.100000000006</v>
      </c>
      <c r="Y29" s="2"/>
      <c r="Z29" s="19">
        <f t="shared" si="3"/>
        <v>-0.99388271696582542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ref="D30:D33" si="7">0</f>
        <v>0</v>
      </c>
      <c r="E30" s="2"/>
      <c r="F30" s="19"/>
      <c r="G30" s="2"/>
      <c r="H30" s="2">
        <f>--27.97</f>
        <v>27.97</v>
      </c>
      <c r="I30" s="2"/>
      <c r="J30" s="19"/>
      <c r="K30" s="2"/>
      <c r="L30" s="2">
        <f t="shared" si="0"/>
        <v>-27.97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--40.97</f>
        <v>40.97</v>
      </c>
      <c r="U30" s="2"/>
      <c r="V30" s="19"/>
      <c r="W30" s="2"/>
      <c r="X30" s="2">
        <f t="shared" si="2"/>
        <v>-40.97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--2047.94</f>
        <v>2047.94</v>
      </c>
      <c r="I31" s="2"/>
      <c r="J31" s="19"/>
      <c r="K31" s="2"/>
      <c r="L31" s="2">
        <f t="shared" si="0"/>
        <v>-2047.94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--3009.88</f>
        <v>3009.88</v>
      </c>
      <c r="U31" s="2"/>
      <c r="V31" s="19"/>
      <c r="W31" s="2"/>
      <c r="X31" s="2">
        <f t="shared" si="2"/>
        <v>-3003.1</v>
      </c>
      <c r="Y31" s="2"/>
      <c r="Z31" s="19">
        <f t="shared" si="3"/>
        <v>-0.99774741850173421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--339.98</f>
        <v>339.98</v>
      </c>
      <c r="I32" s="2"/>
      <c r="J32" s="19"/>
      <c r="K32" s="2"/>
      <c r="L32" s="2">
        <f t="shared" si="0"/>
        <v>-339.98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--438.43</f>
        <v>438.43</v>
      </c>
      <c r="U32" s="2"/>
      <c r="V32" s="19"/>
      <c r="W32" s="2"/>
      <c r="X32" s="2">
        <f t="shared" si="2"/>
        <v>-438.43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--131.98</f>
        <v>131.97999999999999</v>
      </c>
      <c r="I33" s="2"/>
      <c r="J33" s="19"/>
      <c r="K33" s="2"/>
      <c r="L33" s="2">
        <f t="shared" si="0"/>
        <v>-131.97999999999999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--174.15</f>
        <v>174.15</v>
      </c>
      <c r="U33" s="2"/>
      <c r="V33" s="19"/>
      <c r="W33" s="2"/>
      <c r="X33" s="2">
        <f t="shared" si="2"/>
        <v>-174.15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--78841.84</f>
        <v>78841.84</v>
      </c>
      <c r="E34" s="2"/>
      <c r="F34" s="19"/>
      <c r="G34" s="2"/>
      <c r="H34" s="2">
        <f>--243145.84</f>
        <v>243145.84</v>
      </c>
      <c r="I34" s="2"/>
      <c r="J34" s="19"/>
      <c r="K34" s="2"/>
      <c r="L34" s="2">
        <f t="shared" si="0"/>
        <v>-164304</v>
      </c>
      <c r="M34" s="2"/>
      <c r="N34" s="19">
        <f t="shared" si="1"/>
        <v>-0.67574259135998382</v>
      </c>
      <c r="O34" s="11"/>
      <c r="P34" s="2">
        <f>--328420.19</f>
        <v>328420.19</v>
      </c>
      <c r="Q34" s="2"/>
      <c r="R34" s="19"/>
      <c r="S34" s="2"/>
      <c r="T34" s="2">
        <f>--632899.52</f>
        <v>632899.52</v>
      </c>
      <c r="U34" s="2"/>
      <c r="V34" s="19"/>
      <c r="W34" s="2"/>
      <c r="X34" s="2">
        <f t="shared" si="2"/>
        <v>-304479.33</v>
      </c>
      <c r="Y34" s="2"/>
      <c r="Z34" s="19">
        <f t="shared" si="3"/>
        <v>-0.48108636581048442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--27724.06</f>
        <v>27724.06</v>
      </c>
      <c r="E35" s="2"/>
      <c r="F35" s="19"/>
      <c r="G35" s="2"/>
      <c r="H35" s="2">
        <f>--49940.2</f>
        <v>49940.2</v>
      </c>
      <c r="I35" s="2"/>
      <c r="J35" s="19"/>
      <c r="K35" s="2"/>
      <c r="L35" s="2">
        <f t="shared" si="0"/>
        <v>-22216.139999999996</v>
      </c>
      <c r="M35" s="2"/>
      <c r="N35" s="19">
        <f t="shared" si="1"/>
        <v>-0.44485484639628992</v>
      </c>
      <c r="O35" s="11"/>
      <c r="P35" s="2">
        <f>--131033.62</f>
        <v>131033.62</v>
      </c>
      <c r="Q35" s="2"/>
      <c r="R35" s="19"/>
      <c r="S35" s="2"/>
      <c r="T35" s="2">
        <f>--201632.61</f>
        <v>201632.61</v>
      </c>
      <c r="U35" s="2"/>
      <c r="V35" s="19"/>
      <c r="W35" s="2"/>
      <c r="X35" s="2">
        <f t="shared" si="2"/>
        <v>-70598.989999999991</v>
      </c>
      <c r="Y35" s="2"/>
      <c r="Z35" s="19">
        <f t="shared" si="3"/>
        <v>-0.35013676607171823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--8004.46</f>
        <v>8004.46</v>
      </c>
      <c r="E36" s="2"/>
      <c r="F36" s="19"/>
      <c r="G36" s="2"/>
      <c r="H36" s="2">
        <f>--35079.3</f>
        <v>35079.300000000003</v>
      </c>
      <c r="I36" s="2"/>
      <c r="J36" s="19"/>
      <c r="K36" s="2"/>
      <c r="L36" s="2">
        <f t="shared" si="0"/>
        <v>-27074.840000000004</v>
      </c>
      <c r="M36" s="2"/>
      <c r="N36" s="19">
        <f t="shared" si="1"/>
        <v>-0.77181813776215602</v>
      </c>
      <c r="O36" s="11"/>
      <c r="P36" s="2">
        <f>--47929.5</f>
        <v>47929.5</v>
      </c>
      <c r="Q36" s="2"/>
      <c r="R36" s="19"/>
      <c r="S36" s="2"/>
      <c r="T36" s="2">
        <f>--95118.27</f>
        <v>95118.27</v>
      </c>
      <c r="U36" s="2"/>
      <c r="V36" s="19"/>
      <c r="W36" s="2"/>
      <c r="X36" s="2">
        <f t="shared" si="2"/>
        <v>-47188.770000000004</v>
      </c>
      <c r="Y36" s="2"/>
      <c r="Z36" s="19">
        <f t="shared" si="3"/>
        <v>-0.49610626854336187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--2805.53</f>
        <v>2805.53</v>
      </c>
      <c r="E37" s="2"/>
      <c r="F37" s="19"/>
      <c r="G37" s="2"/>
      <c r="H37" s="2">
        <f>--272.36</f>
        <v>272.36</v>
      </c>
      <c r="I37" s="2"/>
      <c r="J37" s="19"/>
      <c r="K37" s="2"/>
      <c r="L37" s="2">
        <f t="shared" si="0"/>
        <v>2533.17</v>
      </c>
      <c r="M37" s="2"/>
      <c r="N37" s="19">
        <f t="shared" si="1"/>
        <v>9.3008150976648558</v>
      </c>
      <c r="O37" s="11"/>
      <c r="P37" s="2">
        <f>--9791.16</f>
        <v>9791.16</v>
      </c>
      <c r="Q37" s="2"/>
      <c r="R37" s="19"/>
      <c r="S37" s="2"/>
      <c r="T37" s="2">
        <f>--457.81</f>
        <v>457.81</v>
      </c>
      <c r="U37" s="2"/>
      <c r="V37" s="19"/>
      <c r="W37" s="2"/>
      <c r="X37" s="2">
        <f t="shared" si="2"/>
        <v>9333.35</v>
      </c>
      <c r="Y37" s="2"/>
      <c r="Z37" s="19">
        <f t="shared" si="3"/>
        <v>20.38695091850331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--2962.32</f>
        <v>2962.32</v>
      </c>
      <c r="E38" s="2"/>
      <c r="F38" s="19"/>
      <c r="G38" s="2"/>
      <c r="H38" s="2">
        <f>--6451.34</f>
        <v>6451.34</v>
      </c>
      <c r="I38" s="2"/>
      <c r="J38" s="19"/>
      <c r="K38" s="2"/>
      <c r="L38" s="2">
        <f t="shared" si="0"/>
        <v>-3489.02</v>
      </c>
      <c r="M38" s="2"/>
      <c r="N38" s="19">
        <f t="shared" si="1"/>
        <v>-0.54082097672731555</v>
      </c>
      <c r="O38" s="11"/>
      <c r="P38" s="2">
        <f>--11331.52</f>
        <v>11331.52</v>
      </c>
      <c r="Q38" s="2"/>
      <c r="R38" s="19"/>
      <c r="S38" s="2"/>
      <c r="T38" s="2">
        <f>--28228.41</f>
        <v>28228.41</v>
      </c>
      <c r="U38" s="2"/>
      <c r="V38" s="19"/>
      <c r="W38" s="2"/>
      <c r="X38" s="2">
        <f t="shared" si="2"/>
        <v>-16896.89</v>
      </c>
      <c r="Y38" s="2"/>
      <c r="Z38" s="19">
        <f t="shared" si="3"/>
        <v>-0.59857746150066549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--2575.36</f>
        <v>2575.36</v>
      </c>
      <c r="E39" s="2"/>
      <c r="F39" s="19"/>
      <c r="G39" s="2"/>
      <c r="H39" s="2">
        <f>--5803.07</f>
        <v>5803.07</v>
      </c>
      <c r="I39" s="2"/>
      <c r="J39" s="19"/>
      <c r="K39" s="2"/>
      <c r="L39" s="2">
        <f t="shared" si="0"/>
        <v>-3227.7099999999996</v>
      </c>
      <c r="M39" s="2"/>
      <c r="N39" s="19">
        <f t="shared" si="1"/>
        <v>-0.55620731785072375</v>
      </c>
      <c r="O39" s="11"/>
      <c r="P39" s="2">
        <f>--92006.44</f>
        <v>92006.44</v>
      </c>
      <c r="Q39" s="2"/>
      <c r="R39" s="19"/>
      <c r="S39" s="2"/>
      <c r="T39" s="2">
        <f>--31327.11</f>
        <v>31327.11</v>
      </c>
      <c r="U39" s="2"/>
      <c r="V39" s="19"/>
      <c r="W39" s="2"/>
      <c r="X39" s="2">
        <f t="shared" si="2"/>
        <v>60679.33</v>
      </c>
      <c r="Y39" s="2"/>
      <c r="Z39" s="19">
        <f t="shared" si="3"/>
        <v>1.9369590747438881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--488.97</f>
        <v>488.97</v>
      </c>
      <c r="I40" s="2"/>
      <c r="J40" s="19"/>
      <c r="K40" s="2"/>
      <c r="L40" s="2">
        <f t="shared" si="0"/>
        <v>-488.97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--971.35</f>
        <v>971.35</v>
      </c>
      <c r="U40" s="2"/>
      <c r="V40" s="19"/>
      <c r="W40" s="2"/>
      <c r="X40" s="2">
        <f t="shared" si="2"/>
        <v>-971.35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>--4141.96</f>
        <v>4141.96</v>
      </c>
      <c r="E41" s="2"/>
      <c r="F41" s="19"/>
      <c r="G41" s="2"/>
      <c r="H41" s="2">
        <f>--110327</f>
        <v>110327</v>
      </c>
      <c r="I41" s="2"/>
      <c r="J41" s="19"/>
      <c r="K41" s="2"/>
      <c r="L41" s="2">
        <f t="shared" si="0"/>
        <v>-106185.04</v>
      </c>
      <c r="M41" s="2"/>
      <c r="N41" s="19">
        <f t="shared" si="1"/>
        <v>-0.96245742202724627</v>
      </c>
      <c r="O41" s="11"/>
      <c r="P41" s="2">
        <f>--6652.68</f>
        <v>6652.68</v>
      </c>
      <c r="Q41" s="2"/>
      <c r="R41" s="19"/>
      <c r="S41" s="2"/>
      <c r="T41" s="2">
        <f>--174689.63</f>
        <v>174689.63</v>
      </c>
      <c r="U41" s="2"/>
      <c r="V41" s="19"/>
      <c r="W41" s="2"/>
      <c r="X41" s="2">
        <f t="shared" si="2"/>
        <v>-168036.95</v>
      </c>
      <c r="Y41" s="2"/>
      <c r="Z41" s="19">
        <f t="shared" si="3"/>
        <v>-0.96191714413729079</v>
      </c>
    </row>
    <row r="42" spans="1:26" s="24" customFormat="1" hidden="1" outlineLevel="1" x14ac:dyDescent="0.25">
      <c r="A42" s="44"/>
      <c r="B42" s="11" t="str">
        <f>CONCATENATE("          ", "4052", " - ", "TAXABLE SALES-FOOD")</f>
        <v xml:space="preserve">          4052 - TAXABLE SALES-FOOD</v>
      </c>
      <c r="C42" s="11"/>
      <c r="D42" s="2">
        <f>0</f>
        <v>0</v>
      </c>
      <c r="E42" s="2"/>
      <c r="F42" s="19"/>
      <c r="G42" s="2"/>
      <c r="H42" s="2">
        <f>--113975.81</f>
        <v>113975.81</v>
      </c>
      <c r="I42" s="2"/>
      <c r="J42" s="19"/>
      <c r="K42" s="2"/>
      <c r="L42" s="2">
        <f t="shared" si="0"/>
        <v>-113975.81</v>
      </c>
      <c r="M42" s="2"/>
      <c r="N42" s="19">
        <f t="shared" si="1"/>
        <v>-1</v>
      </c>
      <c r="O42" s="11"/>
      <c r="P42" s="2">
        <f>0</f>
        <v>0</v>
      </c>
      <c r="Q42" s="2"/>
      <c r="R42" s="19"/>
      <c r="S42" s="2"/>
      <c r="T42" s="2">
        <f>--253506.01</f>
        <v>253506.01</v>
      </c>
      <c r="U42" s="2"/>
      <c r="V42" s="19"/>
      <c r="W42" s="2"/>
      <c r="X42" s="2">
        <f t="shared" si="2"/>
        <v>-253506.01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"4053", " - ", "TAXABLE SALES-FOOD")</f>
        <v xml:space="preserve">          4053 - TAXABLE SALES-FOOD</v>
      </c>
      <c r="C43" s="11"/>
      <c r="D43" s="2">
        <f>--62.54</f>
        <v>62.54</v>
      </c>
      <c r="E43" s="2"/>
      <c r="F43" s="19"/>
      <c r="G43" s="2"/>
      <c r="H43" s="2">
        <f>--3885.3</f>
        <v>3885.3</v>
      </c>
      <c r="I43" s="2"/>
      <c r="J43" s="19"/>
      <c r="K43" s="2"/>
      <c r="L43" s="2">
        <f t="shared" si="0"/>
        <v>-3822.76</v>
      </c>
      <c r="M43" s="2"/>
      <c r="N43" s="19">
        <f t="shared" si="1"/>
        <v>-0.98390343088049825</v>
      </c>
      <c r="O43" s="11"/>
      <c r="P43" s="2">
        <f>--402.44</f>
        <v>402.44</v>
      </c>
      <c r="Q43" s="2"/>
      <c r="R43" s="19"/>
      <c r="S43" s="2"/>
      <c r="T43" s="2">
        <f>--50166.43</f>
        <v>50166.43</v>
      </c>
      <c r="U43" s="2"/>
      <c r="V43" s="19"/>
      <c r="W43" s="2"/>
      <c r="X43" s="2">
        <f t="shared" si="2"/>
        <v>-49763.99</v>
      </c>
      <c r="Y43" s="2"/>
      <c r="Z43" s="19">
        <f t="shared" si="3"/>
        <v>-0.99197790235422367</v>
      </c>
    </row>
    <row r="44" spans="1:26" s="24" customFormat="1" hidden="1" outlineLevel="1" x14ac:dyDescent="0.25">
      <c r="A44" s="44"/>
      <c r="B44" s="11" t="str">
        <f>CONCATENATE("          ", "4055", " - ", "TAXABLE SALES-FOOD")</f>
        <v xml:space="preserve">          4055 - TAXABLE SALES-FOOD</v>
      </c>
      <c r="C44" s="11"/>
      <c r="D44" s="2">
        <f t="shared" ref="D44:D45" si="9">0</f>
        <v>0</v>
      </c>
      <c r="E44" s="2"/>
      <c r="F44" s="19"/>
      <c r="G44" s="2"/>
      <c r="H44" s="2">
        <f>--67132.28</f>
        <v>67132.28</v>
      </c>
      <c r="I44" s="2"/>
      <c r="J44" s="19"/>
      <c r="K44" s="2"/>
      <c r="L44" s="2">
        <f t="shared" si="0"/>
        <v>-67132.28</v>
      </c>
      <c r="M44" s="2"/>
      <c r="N44" s="19">
        <f t="shared" si="1"/>
        <v>-1</v>
      </c>
      <c r="O44" s="11"/>
      <c r="P44" s="2">
        <f>0</f>
        <v>0</v>
      </c>
      <c r="Q44" s="2"/>
      <c r="R44" s="19"/>
      <c r="S44" s="2"/>
      <c r="T44" s="2">
        <f>--111115</f>
        <v>111115</v>
      </c>
      <c r="U44" s="2"/>
      <c r="V44" s="19"/>
      <c r="W44" s="2"/>
      <c r="X44" s="2">
        <f t="shared" si="2"/>
        <v>-111115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"4058", " - ", "TAXABLE SALES-FOOD")</f>
        <v xml:space="preserve">          4058 - TAXABLE SALES-FOOD</v>
      </c>
      <c r="C45" s="11"/>
      <c r="D45" s="2">
        <f t="shared" si="9"/>
        <v>0</v>
      </c>
      <c r="E45" s="2"/>
      <c r="F45" s="19"/>
      <c r="G45" s="2"/>
      <c r="H45" s="2">
        <f>--24452.76</f>
        <v>24452.76</v>
      </c>
      <c r="I45" s="2"/>
      <c r="J45" s="19"/>
      <c r="K45" s="2"/>
      <c r="L45" s="2">
        <f t="shared" si="0"/>
        <v>-24452.76</v>
      </c>
      <c r="M45" s="2"/>
      <c r="N45" s="19">
        <f t="shared" si="1"/>
        <v>-1</v>
      </c>
      <c r="O45" s="11"/>
      <c r="P45" s="2">
        <f>--974.91</f>
        <v>974.91</v>
      </c>
      <c r="Q45" s="2"/>
      <c r="R45" s="19"/>
      <c r="S45" s="2"/>
      <c r="T45" s="2">
        <f>--42290.9</f>
        <v>42290.9</v>
      </c>
      <c r="U45" s="2"/>
      <c r="V45" s="19"/>
      <c r="W45" s="2"/>
      <c r="X45" s="2">
        <f t="shared" si="2"/>
        <v>-41315.99</v>
      </c>
      <c r="Y45" s="2"/>
      <c r="Z45" s="19">
        <f t="shared" si="3"/>
        <v>-0.97694752298957921</v>
      </c>
    </row>
    <row r="46" spans="1:26" s="24" customFormat="1" hidden="1" outlineLevel="1" x14ac:dyDescent="0.25">
      <c r="A46" s="44"/>
      <c r="B46" s="11" t="str">
        <f>CONCATENATE("          ", "4081", " - ", "TAXABLE SALES-ELECTRONICS")</f>
        <v xml:space="preserve">          4081 - TAXABLE SALES-ELECTRONICS</v>
      </c>
      <c r="C46" s="11"/>
      <c r="D46" s="2">
        <f>--12239.6</f>
        <v>12239.6</v>
      </c>
      <c r="E46" s="2"/>
      <c r="F46" s="19"/>
      <c r="G46" s="2"/>
      <c r="H46" s="2">
        <f>--79907.95</f>
        <v>79907.95</v>
      </c>
      <c r="I46" s="2"/>
      <c r="J46" s="19"/>
      <c r="K46" s="2"/>
      <c r="L46" s="2">
        <f t="shared" si="0"/>
        <v>-67668.349999999991</v>
      </c>
      <c r="M46" s="2"/>
      <c r="N46" s="19">
        <f t="shared" si="1"/>
        <v>-0.84682875733891305</v>
      </c>
      <c r="O46" s="11"/>
      <c r="P46" s="2">
        <f>--50102.62</f>
        <v>50102.62</v>
      </c>
      <c r="Q46" s="2"/>
      <c r="R46" s="19"/>
      <c r="S46" s="2"/>
      <c r="T46" s="2">
        <f>--189596.74</f>
        <v>189596.74</v>
      </c>
      <c r="U46" s="2"/>
      <c r="V46" s="19"/>
      <c r="W46" s="2"/>
      <c r="X46" s="2">
        <f t="shared" si="2"/>
        <v>-139494.12</v>
      </c>
      <c r="Y46" s="2"/>
      <c r="Z46" s="19">
        <f t="shared" si="3"/>
        <v>-0.73574113141396846</v>
      </c>
    </row>
    <row r="47" spans="1:26" s="24" customFormat="1" hidden="1" outlineLevel="1" x14ac:dyDescent="0.25">
      <c r="A47" s="44"/>
      <c r="B47" s="11" t="str">
        <f>CONCATENATE("          ", "4082", " - ", "TAXABLE SALES-COMPUTER HARDWAR")</f>
        <v xml:space="preserve">          4082 - TAXABLE SALES-COMPUTER HARDWAR</v>
      </c>
      <c r="C47" s="11"/>
      <c r="D47" s="2">
        <f>--198101.2</f>
        <v>198101.2</v>
      </c>
      <c r="E47" s="2"/>
      <c r="F47" s="19"/>
      <c r="G47" s="2"/>
      <c r="H47" s="2">
        <f>--225343.71</f>
        <v>225343.71</v>
      </c>
      <c r="I47" s="2"/>
      <c r="J47" s="19"/>
      <c r="K47" s="2"/>
      <c r="L47" s="2">
        <f t="shared" si="0"/>
        <v>-27242.50999999998</v>
      </c>
      <c r="M47" s="2"/>
      <c r="N47" s="19">
        <f t="shared" si="1"/>
        <v>-0.12089314585261768</v>
      </c>
      <c r="O47" s="11"/>
      <c r="P47" s="2">
        <f>--739313.21</f>
        <v>739313.21</v>
      </c>
      <c r="Q47" s="2"/>
      <c r="R47" s="19"/>
      <c r="S47" s="2"/>
      <c r="T47" s="2">
        <f>--1038916.49</f>
        <v>1038916.49</v>
      </c>
      <c r="U47" s="2"/>
      <c r="V47" s="19"/>
      <c r="W47" s="2"/>
      <c r="X47" s="2">
        <f t="shared" si="2"/>
        <v>-299603.28000000003</v>
      </c>
      <c r="Y47" s="2"/>
      <c r="Z47" s="19">
        <f t="shared" si="3"/>
        <v>-0.2883805222881774</v>
      </c>
    </row>
    <row r="48" spans="1:26" s="24" customFormat="1" hidden="1" outlineLevel="1" x14ac:dyDescent="0.25">
      <c r="A48" s="44"/>
      <c r="B48" s="11" t="str">
        <f>CONCATENATE("          ", "4083", " - ", "TAXABLE SALES-COMPUTER EQUIPME")</f>
        <v xml:space="preserve">          4083 - TAXABLE SALES-COMPUTER EQUIPME</v>
      </c>
      <c r="C48" s="11"/>
      <c r="D48" s="2">
        <f>--18947.33</f>
        <v>18947.330000000002</v>
      </c>
      <c r="E48" s="2"/>
      <c r="F48" s="19"/>
      <c r="G48" s="2"/>
      <c r="H48" s="2">
        <f>--17648.24</f>
        <v>17648.240000000002</v>
      </c>
      <c r="I48" s="2"/>
      <c r="J48" s="19"/>
      <c r="K48" s="2"/>
      <c r="L48" s="2">
        <f t="shared" si="0"/>
        <v>1299.0900000000001</v>
      </c>
      <c r="M48" s="2"/>
      <c r="N48" s="19">
        <f t="shared" si="1"/>
        <v>7.3610173025752151E-2</v>
      </c>
      <c r="O48" s="11"/>
      <c r="P48" s="2">
        <f>--68662.69</f>
        <v>68662.69</v>
      </c>
      <c r="Q48" s="2"/>
      <c r="R48" s="19"/>
      <c r="S48" s="2"/>
      <c r="T48" s="2">
        <f>--41256.01</f>
        <v>41256.01</v>
      </c>
      <c r="U48" s="2"/>
      <c r="V48" s="19"/>
      <c r="W48" s="2"/>
      <c r="X48" s="2">
        <f t="shared" si="2"/>
        <v>27406.68</v>
      </c>
      <c r="Y48" s="2"/>
      <c r="Z48" s="19">
        <f t="shared" si="3"/>
        <v>0.66430757603558843</v>
      </c>
    </row>
    <row r="49" spans="1:26" s="24" customFormat="1" hidden="1" outlineLevel="1" x14ac:dyDescent="0.25">
      <c r="A49" s="44"/>
      <c r="B49" s="11" t="str">
        <f>CONCATENATE("          ", "4084", " - ", "TAXABLE SALES-SOFTWARE LICENSE")</f>
        <v xml:space="preserve">          4084 - TAXABLE SALES-SOFTWARE LICENSE</v>
      </c>
      <c r="C49" s="11"/>
      <c r="D49" s="2">
        <f>0</f>
        <v>0</v>
      </c>
      <c r="E49" s="2"/>
      <c r="F49" s="19"/>
      <c r="G49" s="2"/>
      <c r="H49" s="2">
        <f t="shared" ref="H49:H50" si="10"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>0</f>
        <v>0</v>
      </c>
      <c r="Q49" s="2"/>
      <c r="R49" s="19"/>
      <c r="S49" s="2"/>
      <c r="T49" s="2">
        <f>--129</f>
        <v>129</v>
      </c>
      <c r="U49" s="2"/>
      <c r="V49" s="19"/>
      <c r="W49" s="2"/>
      <c r="X49" s="2">
        <f t="shared" si="2"/>
        <v>-129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"4085", " - ", "TAXABLE SALES-SOFTWARE")</f>
        <v xml:space="preserve">          4085 - TAXABLE SALES-SOFTWARE</v>
      </c>
      <c r="C50" s="11"/>
      <c r="D50" s="2">
        <f>--852.96</f>
        <v>852.96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852.96</v>
      </c>
      <c r="M50" s="2"/>
      <c r="N50" s="19">
        <f t="shared" si="1"/>
        <v>0</v>
      </c>
      <c r="O50" s="11"/>
      <c r="P50" s="2">
        <f>--981.96</f>
        <v>981.96</v>
      </c>
      <c r="Q50" s="2"/>
      <c r="R50" s="19"/>
      <c r="S50" s="2"/>
      <c r="T50" s="2">
        <f>--493.95</f>
        <v>493.95</v>
      </c>
      <c r="U50" s="2"/>
      <c r="V50" s="19"/>
      <c r="W50" s="2"/>
      <c r="X50" s="2">
        <f t="shared" si="2"/>
        <v>488.01000000000005</v>
      </c>
      <c r="Y50" s="2"/>
      <c r="Z50" s="19">
        <f t="shared" si="3"/>
        <v>0.98797449134527793</v>
      </c>
    </row>
    <row r="51" spans="1:26" s="24" customFormat="1" hidden="1" outlineLevel="1" x14ac:dyDescent="0.25">
      <c r="A51" s="44"/>
      <c r="B51" s="11" t="str">
        <f>CONCATENATE("          ", "4086", " - ", "TAXABLE SALES-COMPUTER SUPPLIE")</f>
        <v xml:space="preserve">          4086 - TAXABLE SALES-COMPUTER SUPPLIE</v>
      </c>
      <c r="C51" s="11"/>
      <c r="D51" s="2">
        <f>--713.93</f>
        <v>713.93</v>
      </c>
      <c r="E51" s="2"/>
      <c r="F51" s="19"/>
      <c r="G51" s="2"/>
      <c r="H51" s="2">
        <f>--10769.48</f>
        <v>10769.48</v>
      </c>
      <c r="I51" s="2"/>
      <c r="J51" s="19"/>
      <c r="K51" s="2"/>
      <c r="L51" s="2">
        <f t="shared" si="0"/>
        <v>-10055.549999999999</v>
      </c>
      <c r="M51" s="2"/>
      <c r="N51" s="19">
        <f t="shared" si="1"/>
        <v>-0.93370803418549453</v>
      </c>
      <c r="O51" s="11"/>
      <c r="P51" s="2">
        <f>--27981.41</f>
        <v>27981.41</v>
      </c>
      <c r="Q51" s="2"/>
      <c r="R51" s="19"/>
      <c r="S51" s="2"/>
      <c r="T51" s="2">
        <f>--20437.03</f>
        <v>20437.03</v>
      </c>
      <c r="U51" s="2"/>
      <c r="V51" s="19"/>
      <c r="W51" s="2"/>
      <c r="X51" s="2">
        <f t="shared" si="2"/>
        <v>7544.380000000001</v>
      </c>
      <c r="Y51" s="2"/>
      <c r="Z51" s="19">
        <f t="shared" si="3"/>
        <v>0.36915246491295467</v>
      </c>
    </row>
    <row r="52" spans="1:26" s="24" customFormat="1" hidden="1" outlineLevel="1" x14ac:dyDescent="0.25">
      <c r="A52" s="44"/>
      <c r="B52" s="11" t="str">
        <f>CONCATENATE("          ", "4088", " - ", "TAXABLE SALES-MUSIC")</f>
        <v xml:space="preserve">          4088 - TAXABLE SALES-MUSIC</v>
      </c>
      <c r="C52" s="11"/>
      <c r="D52" s="2">
        <f t="shared" ref="D52:D54" si="11">0</f>
        <v>0</v>
      </c>
      <c r="E52" s="2"/>
      <c r="F52" s="19"/>
      <c r="G52" s="2"/>
      <c r="H52" s="2">
        <f>--16.99</f>
        <v>16.989999999999998</v>
      </c>
      <c r="I52" s="2"/>
      <c r="J52" s="19"/>
      <c r="K52" s="2"/>
      <c r="L52" s="2">
        <f t="shared" si="0"/>
        <v>-16.989999999999998</v>
      </c>
      <c r="M52" s="2"/>
      <c r="N52" s="19">
        <f t="shared" si="1"/>
        <v>-1</v>
      </c>
      <c r="O52" s="11"/>
      <c r="P52" s="2">
        <f t="shared" ref="P52:P54" si="12">0</f>
        <v>0</v>
      </c>
      <c r="Q52" s="2"/>
      <c r="R52" s="19"/>
      <c r="S52" s="2"/>
      <c r="T52" s="2">
        <f>--535.96</f>
        <v>535.96</v>
      </c>
      <c r="U52" s="2"/>
      <c r="V52" s="19"/>
      <c r="W52" s="2"/>
      <c r="X52" s="2">
        <f t="shared" si="2"/>
        <v>-535.96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"4092", " - ", "TAXABLE SALES-GRAD MERCH")</f>
        <v xml:space="preserve">          4092 - TAXABLE SALES-GRAD MERCH</v>
      </c>
      <c r="C53" s="11"/>
      <c r="D53" s="2">
        <f t="shared" si="11"/>
        <v>0</v>
      </c>
      <c r="E53" s="2"/>
      <c r="F53" s="19"/>
      <c r="G53" s="2"/>
      <c r="H53" s="2">
        <f>--49.9</f>
        <v>49.9</v>
      </c>
      <c r="I53" s="2"/>
      <c r="J53" s="19"/>
      <c r="K53" s="2"/>
      <c r="L53" s="2">
        <f t="shared" si="0"/>
        <v>-49.9</v>
      </c>
      <c r="M53" s="2"/>
      <c r="N53" s="19">
        <f t="shared" si="1"/>
        <v>-1</v>
      </c>
      <c r="O53" s="11"/>
      <c r="P53" s="2">
        <f t="shared" si="12"/>
        <v>0</v>
      </c>
      <c r="Q53" s="2"/>
      <c r="R53" s="19"/>
      <c r="S53" s="2"/>
      <c r="T53" s="2">
        <f>--3872.63</f>
        <v>3872.63</v>
      </c>
      <c r="U53" s="2"/>
      <c r="V53" s="19"/>
      <c r="W53" s="2"/>
      <c r="X53" s="2">
        <f t="shared" si="2"/>
        <v>-3872.63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"4095", " - ", "TAXABLE SALES-CUSTOMER SERVICE")</f>
        <v xml:space="preserve">          4095 - TAXABLE SALES-CUSTOMER SERVICE</v>
      </c>
      <c r="C54" s="11"/>
      <c r="D54" s="2">
        <f t="shared" si="11"/>
        <v>0</v>
      </c>
      <c r="E54" s="2"/>
      <c r="F54" s="19"/>
      <c r="G54" s="2"/>
      <c r="H54" s="2">
        <f>--26.83</f>
        <v>26.83</v>
      </c>
      <c r="I54" s="2"/>
      <c r="J54" s="19"/>
      <c r="K54" s="2"/>
      <c r="L54" s="2">
        <f t="shared" si="0"/>
        <v>-26.83</v>
      </c>
      <c r="M54" s="2"/>
      <c r="N54" s="19">
        <f t="shared" si="1"/>
        <v>-1</v>
      </c>
      <c r="O54" s="11"/>
      <c r="P54" s="2">
        <f t="shared" si="12"/>
        <v>0</v>
      </c>
      <c r="Q54" s="2"/>
      <c r="R54" s="19"/>
      <c r="S54" s="2"/>
      <c r="T54" s="2">
        <f>--200.85</f>
        <v>200.85</v>
      </c>
      <c r="U54" s="2"/>
      <c r="V54" s="19"/>
      <c r="W54" s="2"/>
      <c r="X54" s="2">
        <f t="shared" si="2"/>
        <v>-200.85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"4100", " - ", "NON-TAXABLE SALES")</f>
        <v xml:space="preserve">          4100 - NON-TAXABLE SALES</v>
      </c>
      <c r="C55" s="11"/>
      <c r="D55" s="2">
        <f>--41155.69</f>
        <v>41155.69</v>
      </c>
      <c r="E55" s="2"/>
      <c r="F55" s="19"/>
      <c r="G55" s="2"/>
      <c r="H55" s="2">
        <f>--94379.34</f>
        <v>94379.34</v>
      </c>
      <c r="I55" s="2"/>
      <c r="J55" s="19"/>
      <c r="K55" s="2"/>
      <c r="L55" s="2">
        <f t="shared" si="0"/>
        <v>-53223.649999999994</v>
      </c>
      <c r="M55" s="2"/>
      <c r="N55" s="19">
        <f t="shared" si="1"/>
        <v>-0.56393327183682362</v>
      </c>
      <c r="O55" s="11"/>
      <c r="P55" s="2">
        <f>--282386.02</f>
        <v>282386.02</v>
      </c>
      <c r="Q55" s="2"/>
      <c r="R55" s="19"/>
      <c r="S55" s="2"/>
      <c r="T55" s="2">
        <f>--427779.77</f>
        <v>427779.77</v>
      </c>
      <c r="U55" s="2"/>
      <c r="V55" s="19"/>
      <c r="W55" s="2"/>
      <c r="X55" s="2">
        <f t="shared" si="2"/>
        <v>-145393.75</v>
      </c>
      <c r="Y55" s="2"/>
      <c r="Z55" s="19">
        <f t="shared" si="3"/>
        <v>-0.33987991063719536</v>
      </c>
    </row>
    <row r="56" spans="1:26" s="24" customFormat="1" hidden="1" outlineLevel="1" x14ac:dyDescent="0.25">
      <c r="A56" s="44"/>
      <c r="B56" s="11" t="str">
        <f>CONCATENATE("          ", "4101", " - ", "NON-TAXABLE SALES-NEW TEXT")</f>
        <v xml:space="preserve">          4101 - NON-TAXABLE SALES-NEW TEXT</v>
      </c>
      <c r="C56" s="11"/>
      <c r="D56" s="2">
        <f>--18824.16</f>
        <v>18824.16</v>
      </c>
      <c r="E56" s="2"/>
      <c r="F56" s="19"/>
      <c r="G56" s="2"/>
      <c r="H56" s="2">
        <f>--27999.53</f>
        <v>27999.53</v>
      </c>
      <c r="I56" s="2"/>
      <c r="J56" s="19"/>
      <c r="K56" s="2"/>
      <c r="L56" s="2">
        <f t="shared" si="0"/>
        <v>-9175.369999999999</v>
      </c>
      <c r="M56" s="2"/>
      <c r="N56" s="19">
        <f t="shared" si="1"/>
        <v>-0.32769728634730655</v>
      </c>
      <c r="O56" s="11"/>
      <c r="P56" s="2">
        <f>--70404.84</f>
        <v>70404.84</v>
      </c>
      <c r="Q56" s="2"/>
      <c r="R56" s="19"/>
      <c r="S56" s="2"/>
      <c r="T56" s="2">
        <f>--83892.55</f>
        <v>83892.55</v>
      </c>
      <c r="U56" s="2"/>
      <c r="V56" s="19"/>
      <c r="W56" s="2"/>
      <c r="X56" s="2">
        <f t="shared" si="2"/>
        <v>-13487.710000000006</v>
      </c>
      <c r="Y56" s="2"/>
      <c r="Z56" s="19">
        <f t="shared" si="3"/>
        <v>-0.16077363246200058</v>
      </c>
    </row>
    <row r="57" spans="1:26" s="24" customFormat="1" hidden="1" outlineLevel="1" x14ac:dyDescent="0.25">
      <c r="A57" s="44"/>
      <c r="B57" s="11" t="str">
        <f>CONCATENATE("          ", "4102", " - ", "NON-TAXABLE SALES-USED TEXT")</f>
        <v xml:space="preserve">          4102 - NON-TAXABLE SALES-USED TEXT</v>
      </c>
      <c r="C57" s="11"/>
      <c r="D57" s="2">
        <f>--8807.08</f>
        <v>8807.08</v>
      </c>
      <c r="E57" s="2"/>
      <c r="F57" s="19"/>
      <c r="G57" s="2"/>
      <c r="H57" s="2">
        <f>--3969.18</f>
        <v>3969.18</v>
      </c>
      <c r="I57" s="2"/>
      <c r="J57" s="19"/>
      <c r="K57" s="2"/>
      <c r="L57" s="2">
        <f t="shared" si="0"/>
        <v>4837.8999999999996</v>
      </c>
      <c r="M57" s="2"/>
      <c r="N57" s="19">
        <f t="shared" si="1"/>
        <v>1.2188663653449832</v>
      </c>
      <c r="O57" s="11"/>
      <c r="P57" s="2">
        <f>--30370.82</f>
        <v>30370.82</v>
      </c>
      <c r="Q57" s="2"/>
      <c r="R57" s="19"/>
      <c r="S57" s="2"/>
      <c r="T57" s="2">
        <f>--36443.51</f>
        <v>36443.51</v>
      </c>
      <c r="U57" s="2"/>
      <c r="V57" s="19"/>
      <c r="W57" s="2"/>
      <c r="X57" s="2">
        <f t="shared" si="2"/>
        <v>-6072.6900000000023</v>
      </c>
      <c r="Y57" s="2"/>
      <c r="Z57" s="19">
        <f t="shared" si="3"/>
        <v>-0.16663296153416621</v>
      </c>
    </row>
    <row r="58" spans="1:26" s="24" customFormat="1" hidden="1" outlineLevel="1" x14ac:dyDescent="0.25">
      <c r="A58" s="44"/>
      <c r="B58" s="11" t="str">
        <f>CONCATENATE("          ", "4103", " - ", "NON-TAXABLE SALES-RENTAL TEXT")</f>
        <v xml:space="preserve">          4103 - NON-TAXABLE SALES-RENTAL TEXT</v>
      </c>
      <c r="C58" s="11"/>
      <c r="D58" s="2">
        <f>--284.97</f>
        <v>284.97000000000003</v>
      </c>
      <c r="E58" s="2"/>
      <c r="F58" s="19"/>
      <c r="G58" s="2"/>
      <c r="H58" s="2">
        <f>-144.99</f>
        <v>-144.99</v>
      </c>
      <c r="I58" s="2"/>
      <c r="J58" s="19"/>
      <c r="K58" s="2"/>
      <c r="L58" s="2">
        <f t="shared" si="0"/>
        <v>429.96000000000004</v>
      </c>
      <c r="M58" s="2"/>
      <c r="N58" s="19">
        <f t="shared" si="1"/>
        <v>-2.9654458928201946</v>
      </c>
      <c r="O58" s="11"/>
      <c r="P58" s="2">
        <f>--284.97</f>
        <v>284.97000000000003</v>
      </c>
      <c r="Q58" s="2"/>
      <c r="R58" s="19"/>
      <c r="S58" s="2"/>
      <c r="T58" s="2">
        <f>--329.98</f>
        <v>329.98</v>
      </c>
      <c r="U58" s="2"/>
      <c r="V58" s="19"/>
      <c r="W58" s="2"/>
      <c r="X58" s="2">
        <f t="shared" si="2"/>
        <v>-45.009999999999991</v>
      </c>
      <c r="Y58" s="2"/>
      <c r="Z58" s="19">
        <f t="shared" si="3"/>
        <v>-0.13640220619431478</v>
      </c>
    </row>
    <row r="59" spans="1:26" s="24" customFormat="1" hidden="1" outlineLevel="1" x14ac:dyDescent="0.25">
      <c r="A59" s="44"/>
      <c r="B59" s="11" t="str">
        <f>CONCATENATE("          ", "4104", " - ", "NON-TAXABLE SALES-DIGITAL TEXT")</f>
        <v xml:space="preserve">          4104 - NON-TAXABLE SALES-DIGITAL TEXT</v>
      </c>
      <c r="C59" s="11"/>
      <c r="D59" s="2">
        <f>--73817.67</f>
        <v>73817.67</v>
      </c>
      <c r="E59" s="2"/>
      <c r="F59" s="19"/>
      <c r="G59" s="2"/>
      <c r="H59" s="2">
        <f>--59065.75</f>
        <v>59065.75</v>
      </c>
      <c r="I59" s="2"/>
      <c r="J59" s="19"/>
      <c r="K59" s="2"/>
      <c r="L59" s="2">
        <f t="shared" si="0"/>
        <v>14751.919999999998</v>
      </c>
      <c r="M59" s="2"/>
      <c r="N59" s="19">
        <f t="shared" si="1"/>
        <v>0.24975421458290123</v>
      </c>
      <c r="O59" s="11"/>
      <c r="P59" s="2">
        <f>--286707.85</f>
        <v>286707.84999999998</v>
      </c>
      <c r="Q59" s="2"/>
      <c r="R59" s="19"/>
      <c r="S59" s="2"/>
      <c r="T59" s="2">
        <f>--318933.82</f>
        <v>318933.82</v>
      </c>
      <c r="U59" s="2"/>
      <c r="V59" s="19"/>
      <c r="W59" s="2"/>
      <c r="X59" s="2">
        <f t="shared" si="2"/>
        <v>-32225.97000000003</v>
      </c>
      <c r="Y59" s="2"/>
      <c r="Z59" s="19">
        <f t="shared" si="3"/>
        <v>-0.10104281195390326</v>
      </c>
    </row>
    <row r="60" spans="1:26" s="24" customFormat="1" hidden="1" outlineLevel="1" x14ac:dyDescent="0.25">
      <c r="A60" s="44"/>
      <c r="B60" s="11" t="str">
        <f>CONCATENATE("          ", "4111", " - ", "NON-TAXABLE SALES-NO VALUE TEX")</f>
        <v xml:space="preserve">          4111 - NON-TAXABLE SALES-NO VALUE TEX</v>
      </c>
      <c r="C60" s="11"/>
      <c r="D60" s="2">
        <f t="shared" ref="D60:D61" si="13">0</f>
        <v>0</v>
      </c>
      <c r="E60" s="2"/>
      <c r="F60" s="19"/>
      <c r="G60" s="2"/>
      <c r="H60" s="2">
        <f>--594.06</f>
        <v>594.05999999999995</v>
      </c>
      <c r="I60" s="2"/>
      <c r="J60" s="19"/>
      <c r="K60" s="2"/>
      <c r="L60" s="2">
        <f t="shared" si="0"/>
        <v>-594.05999999999995</v>
      </c>
      <c r="M60" s="2"/>
      <c r="N60" s="19">
        <f t="shared" si="1"/>
        <v>-1</v>
      </c>
      <c r="O60" s="11"/>
      <c r="P60" s="2">
        <f t="shared" ref="P60:P61" si="14">0</f>
        <v>0</v>
      </c>
      <c r="Q60" s="2"/>
      <c r="R60" s="19"/>
      <c r="S60" s="2"/>
      <c r="T60" s="2">
        <f>--6342.17</f>
        <v>6342.17</v>
      </c>
      <c r="U60" s="2"/>
      <c r="V60" s="19"/>
      <c r="W60" s="2"/>
      <c r="X60" s="2">
        <f t="shared" si="2"/>
        <v>-6342.17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"4113", " - ", "NON-TAXABLE SALES-TRADE BOOKS")</f>
        <v xml:space="preserve">          4113 - NON-TAXABLE SALES-TRADE BOOKS</v>
      </c>
      <c r="C61" s="11"/>
      <c r="D61" s="2">
        <f t="shared" si="13"/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 t="shared" si="14"/>
        <v>0</v>
      </c>
      <c r="Q61" s="2"/>
      <c r="R61" s="19"/>
      <c r="S61" s="2"/>
      <c r="T61" s="2">
        <f>--1146.72</f>
        <v>1146.72</v>
      </c>
      <c r="U61" s="2"/>
      <c r="V61" s="19"/>
      <c r="W61" s="2"/>
      <c r="X61" s="2">
        <f t="shared" si="2"/>
        <v>-1146.72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"4118", " - ", "NON-TAXABLE SALES-STUDY GUIDES")</f>
        <v xml:space="preserve">          4118 - NON-TAXABLE SALES-STUDY GUIDES</v>
      </c>
      <c r="C62" s="11"/>
      <c r="D62" s="2">
        <f>--6.5</f>
        <v>6.5</v>
      </c>
      <c r="E62" s="2"/>
      <c r="F62" s="19"/>
      <c r="G62" s="2"/>
      <c r="H62" s="2">
        <f>--6.95</f>
        <v>6.95</v>
      </c>
      <c r="I62" s="2"/>
      <c r="J62" s="19"/>
      <c r="K62" s="2"/>
      <c r="L62" s="2">
        <f t="shared" si="0"/>
        <v>-0.45000000000000018</v>
      </c>
      <c r="M62" s="2"/>
      <c r="N62" s="19">
        <f t="shared" si="1"/>
        <v>-6.4748201438848949E-2</v>
      </c>
      <c r="O62" s="11"/>
      <c r="P62" s="2">
        <f>--108.33</f>
        <v>108.33</v>
      </c>
      <c r="Q62" s="2"/>
      <c r="R62" s="19"/>
      <c r="S62" s="2"/>
      <c r="T62" s="2">
        <f>--20.92</f>
        <v>20.92</v>
      </c>
      <c r="U62" s="2"/>
      <c r="V62" s="19"/>
      <c r="W62" s="2"/>
      <c r="X62" s="2">
        <f t="shared" si="2"/>
        <v>87.41</v>
      </c>
      <c r="Y62" s="2"/>
      <c r="Z62" s="19">
        <f t="shared" si="3"/>
        <v>4.1782982791586996</v>
      </c>
    </row>
    <row r="63" spans="1:26" s="24" customFormat="1" hidden="1" outlineLevel="1" x14ac:dyDescent="0.25">
      <c r="A63" s="44"/>
      <c r="B63" s="11" t="str">
        <f>CONCATENATE("          ", "4125", " - ", "NON-TAXABLE SALES-TEST FORMS")</f>
        <v xml:space="preserve">          4125 - NON-TAXABLE SALES-TEST FORMS</v>
      </c>
      <c r="C63" s="11"/>
      <c r="D63" s="2">
        <f t="shared" ref="D63:D64" si="15">0</f>
        <v>0</v>
      </c>
      <c r="E63" s="2"/>
      <c r="F63" s="19"/>
      <c r="G63" s="2"/>
      <c r="H63" s="2">
        <f>--42.03</f>
        <v>42.03</v>
      </c>
      <c r="I63" s="2"/>
      <c r="J63" s="19"/>
      <c r="K63" s="2"/>
      <c r="L63" s="2">
        <f t="shared" si="0"/>
        <v>-42.03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--124.18</f>
        <v>124.18</v>
      </c>
      <c r="U63" s="2"/>
      <c r="V63" s="19"/>
      <c r="W63" s="2"/>
      <c r="X63" s="2">
        <f t="shared" si="2"/>
        <v>-124.18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"4126", " - ", "NON-TAXABLE SALES-WRITING INST")</f>
        <v xml:space="preserve">          4126 - NON-TAXABLE SALES-WRITING INST</v>
      </c>
      <c r="C64" s="11"/>
      <c r="D64" s="2">
        <f t="shared" si="15"/>
        <v>0</v>
      </c>
      <c r="E64" s="2"/>
      <c r="F64" s="19"/>
      <c r="G64" s="2"/>
      <c r="H64" s="2">
        <f>--332.14</f>
        <v>332.14</v>
      </c>
      <c r="I64" s="2"/>
      <c r="J64" s="19"/>
      <c r="K64" s="2"/>
      <c r="L64" s="2">
        <f t="shared" si="0"/>
        <v>-332.14</v>
      </c>
      <c r="M64" s="2"/>
      <c r="N64" s="19">
        <f t="shared" si="1"/>
        <v>-1</v>
      </c>
      <c r="O64" s="11"/>
      <c r="P64" s="2">
        <f>--52.68</f>
        <v>52.68</v>
      </c>
      <c r="Q64" s="2"/>
      <c r="R64" s="19"/>
      <c r="S64" s="2"/>
      <c r="T64" s="2">
        <f>--1343.26</f>
        <v>1343.26</v>
      </c>
      <c r="U64" s="2"/>
      <c r="V64" s="19"/>
      <c r="W64" s="2"/>
      <c r="X64" s="2">
        <f t="shared" si="2"/>
        <v>-1290.58</v>
      </c>
      <c r="Y64" s="2"/>
      <c r="Z64" s="19">
        <f t="shared" si="3"/>
        <v>-0.96078197817250566</v>
      </c>
    </row>
    <row r="65" spans="1:26" s="24" customFormat="1" hidden="1" outlineLevel="1" x14ac:dyDescent="0.25">
      <c r="A65" s="44"/>
      <c r="B65" s="11" t="str">
        <f>CONCATENATE("          ", "4127", " - ", "NON-TAXABLE SALES-SCHOOL SUPPL")</f>
        <v xml:space="preserve">          4127 - NON-TAXABLE SALES-SCHOOL SUPPL</v>
      </c>
      <c r="C65" s="11"/>
      <c r="D65" s="2">
        <f>--810.33</f>
        <v>810.33</v>
      </c>
      <c r="E65" s="2"/>
      <c r="F65" s="19"/>
      <c r="G65" s="2"/>
      <c r="H65" s="2">
        <f>--547.21</f>
        <v>547.21</v>
      </c>
      <c r="I65" s="2"/>
      <c r="J65" s="19"/>
      <c r="K65" s="2"/>
      <c r="L65" s="2">
        <f t="shared" si="0"/>
        <v>263.12</v>
      </c>
      <c r="M65" s="2"/>
      <c r="N65" s="19">
        <f t="shared" si="1"/>
        <v>0.48083916595091464</v>
      </c>
      <c r="O65" s="11"/>
      <c r="P65" s="2">
        <f>--2670.74</f>
        <v>2670.74</v>
      </c>
      <c r="Q65" s="2"/>
      <c r="R65" s="19"/>
      <c r="S65" s="2"/>
      <c r="T65" s="2">
        <f>--2417.49</f>
        <v>2417.4899999999998</v>
      </c>
      <c r="U65" s="2"/>
      <c r="V65" s="19"/>
      <c r="W65" s="2"/>
      <c r="X65" s="2">
        <f t="shared" si="2"/>
        <v>253.25</v>
      </c>
      <c r="Y65" s="2"/>
      <c r="Z65" s="19">
        <f t="shared" si="3"/>
        <v>0.10475741368113209</v>
      </c>
    </row>
    <row r="66" spans="1:26" s="24" customFormat="1" hidden="1" outlineLevel="1" x14ac:dyDescent="0.25">
      <c r="A66" s="44"/>
      <c r="B66" s="11" t="str">
        <f>CONCATENATE("          ", "4128", " - ", "NON-TAXABLE SALES-ART/TECH")</f>
        <v xml:space="preserve">          4128 - NON-TAXABLE SALES-ART/TECH</v>
      </c>
      <c r="C66" s="11"/>
      <c r="D66" s="2">
        <f>0</f>
        <v>0</v>
      </c>
      <c r="E66" s="2"/>
      <c r="F66" s="19"/>
      <c r="G66" s="2"/>
      <c r="H66" s="2">
        <f>--132.8</f>
        <v>132.80000000000001</v>
      </c>
      <c r="I66" s="2"/>
      <c r="J66" s="19"/>
      <c r="K66" s="2"/>
      <c r="L66" s="2">
        <f t="shared" si="0"/>
        <v>-132.80000000000001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--262.9</f>
        <v>262.89999999999998</v>
      </c>
      <c r="U66" s="2"/>
      <c r="V66" s="19"/>
      <c r="W66" s="2"/>
      <c r="X66" s="2">
        <f t="shared" si="2"/>
        <v>-262.89999999999998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"4131", " - ", "NON-TAXABLE SALES-FOOD")</f>
        <v xml:space="preserve">          4131 - NON-TAXABLE SALES-FOOD</v>
      </c>
      <c r="C67" s="11"/>
      <c r="D67" s="2">
        <f>--2168.74</f>
        <v>2168.7399999999998</v>
      </c>
      <c r="E67" s="2"/>
      <c r="F67" s="19"/>
      <c r="G67" s="2"/>
      <c r="H67" s="2">
        <f>--10548.09</f>
        <v>10548.09</v>
      </c>
      <c r="I67" s="2"/>
      <c r="J67" s="19"/>
      <c r="K67" s="2"/>
      <c r="L67" s="2">
        <f t="shared" si="0"/>
        <v>-8379.35</v>
      </c>
      <c r="M67" s="2"/>
      <c r="N67" s="19">
        <f t="shared" si="1"/>
        <v>-0.79439500421403308</v>
      </c>
      <c r="O67" s="11"/>
      <c r="P67" s="2">
        <f>--4003.96</f>
        <v>4003.96</v>
      </c>
      <c r="Q67" s="2"/>
      <c r="R67" s="19"/>
      <c r="S67" s="2"/>
      <c r="T67" s="2">
        <f>--13265.29</f>
        <v>13265.29</v>
      </c>
      <c r="U67" s="2"/>
      <c r="V67" s="19"/>
      <c r="W67" s="2"/>
      <c r="X67" s="2">
        <f t="shared" si="2"/>
        <v>-9261.3300000000017</v>
      </c>
      <c r="Y67" s="2"/>
      <c r="Z67" s="19">
        <f t="shared" si="3"/>
        <v>-0.69816264853614218</v>
      </c>
    </row>
    <row r="68" spans="1:26" s="24" customFormat="1" hidden="1" outlineLevel="1" x14ac:dyDescent="0.25">
      <c r="A68" s="44"/>
      <c r="B68" s="11" t="str">
        <f>CONCATENATE("          ", "4132", " - ", "NON-TAXABLE SALES-JUICE")</f>
        <v xml:space="preserve">          4132 - NON-TAXABLE SALES-JUICE</v>
      </c>
      <c r="C68" s="11"/>
      <c r="D68" s="2">
        <f>--1406.08</f>
        <v>1406.08</v>
      </c>
      <c r="E68" s="2"/>
      <c r="F68" s="19"/>
      <c r="G68" s="2"/>
      <c r="H68" s="2">
        <f>--184994.61</f>
        <v>184994.61</v>
      </c>
      <c r="I68" s="2"/>
      <c r="J68" s="19"/>
      <c r="K68" s="2"/>
      <c r="L68" s="2">
        <f t="shared" si="0"/>
        <v>-183588.53</v>
      </c>
      <c r="M68" s="2"/>
      <c r="N68" s="19">
        <f t="shared" si="1"/>
        <v>-0.99239934612148972</v>
      </c>
      <c r="O68" s="11"/>
      <c r="P68" s="2">
        <f>--2054.37</f>
        <v>2054.37</v>
      </c>
      <c r="Q68" s="2"/>
      <c r="R68" s="19"/>
      <c r="S68" s="2"/>
      <c r="T68" s="2">
        <f>--279752.36</f>
        <v>279752.36</v>
      </c>
      <c r="U68" s="2"/>
      <c r="V68" s="19"/>
      <c r="W68" s="2"/>
      <c r="X68" s="2">
        <f t="shared" si="2"/>
        <v>-277697.99</v>
      </c>
      <c r="Y68" s="2"/>
      <c r="Z68" s="19">
        <f t="shared" si="3"/>
        <v>-0.99265646945748731</v>
      </c>
    </row>
    <row r="69" spans="1:26" s="24" customFormat="1" hidden="1" outlineLevel="1" x14ac:dyDescent="0.25">
      <c r="A69" s="44"/>
      <c r="B69" s="11" t="str">
        <f>CONCATENATE("          ", "4133", " - ", "NON-TAXABLE SALES-CANDY")</f>
        <v xml:space="preserve">          4133 - NON-TAXABLE SALES-CANDY</v>
      </c>
      <c r="C69" s="11"/>
      <c r="D69" s="2">
        <f t="shared" ref="D69:D72" si="16">0</f>
        <v>0</v>
      </c>
      <c r="E69" s="2"/>
      <c r="F69" s="19"/>
      <c r="G69" s="2"/>
      <c r="H69" s="2">
        <f>--3292.63</f>
        <v>3292.63</v>
      </c>
      <c r="I69" s="2"/>
      <c r="J69" s="19"/>
      <c r="K69" s="2"/>
      <c r="L69" s="2">
        <f t="shared" si="0"/>
        <v>-3292.63</v>
      </c>
      <c r="M69" s="2"/>
      <c r="N69" s="19">
        <f t="shared" si="1"/>
        <v>-1</v>
      </c>
      <c r="O69" s="11"/>
      <c r="P69" s="2">
        <f>--80.71</f>
        <v>80.709999999999994</v>
      </c>
      <c r="Q69" s="2"/>
      <c r="R69" s="19"/>
      <c r="S69" s="2"/>
      <c r="T69" s="2">
        <f>--4664.98</f>
        <v>4664.9799999999996</v>
      </c>
      <c r="U69" s="2"/>
      <c r="V69" s="19"/>
      <c r="W69" s="2"/>
      <c r="X69" s="2">
        <f t="shared" si="2"/>
        <v>-4584.2699999999995</v>
      </c>
      <c r="Y69" s="2"/>
      <c r="Z69" s="19">
        <f t="shared" si="3"/>
        <v>-0.9826987468327838</v>
      </c>
    </row>
    <row r="70" spans="1:26" s="24" customFormat="1" hidden="1" outlineLevel="1" x14ac:dyDescent="0.25">
      <c r="A70" s="44"/>
      <c r="B70" s="11" t="str">
        <f>CONCATENATE("          ", "4134", " - ", "NON-TAXABLE SALES-SODA")</f>
        <v xml:space="preserve">          4134 - NON-TAXABLE SALES-SODA</v>
      </c>
      <c r="C70" s="11"/>
      <c r="D70" s="2">
        <f t="shared" si="16"/>
        <v>0</v>
      </c>
      <c r="E70" s="2"/>
      <c r="F70" s="19"/>
      <c r="G70" s="2"/>
      <c r="H70" s="2">
        <f>--3.78</f>
        <v>3.78</v>
      </c>
      <c r="I70" s="2"/>
      <c r="J70" s="19"/>
      <c r="K70" s="2"/>
      <c r="L70" s="2">
        <f t="shared" si="0"/>
        <v>-3.78</v>
      </c>
      <c r="M70" s="2"/>
      <c r="N70" s="19">
        <f t="shared" si="1"/>
        <v>-1</v>
      </c>
      <c r="O70" s="11"/>
      <c r="P70" s="2">
        <f>--45.53</f>
        <v>45.53</v>
      </c>
      <c r="Q70" s="2"/>
      <c r="R70" s="19"/>
      <c r="S70" s="2"/>
      <c r="T70" s="2">
        <f>--0.39</f>
        <v>0.39</v>
      </c>
      <c r="U70" s="2"/>
      <c r="V70" s="19"/>
      <c r="W70" s="2"/>
      <c r="X70" s="2">
        <f t="shared" si="2"/>
        <v>45.14</v>
      </c>
      <c r="Y70" s="2"/>
      <c r="Z70" s="19">
        <f t="shared" si="3"/>
        <v>115.74358974358974</v>
      </c>
    </row>
    <row r="71" spans="1:26" s="24" customFormat="1" hidden="1" outlineLevel="1" x14ac:dyDescent="0.25">
      <c r="A71" s="44"/>
      <c r="B71" s="11" t="str">
        <f>CONCATENATE("          ", "4135", " - ", "NON-TAXABLE SALES")</f>
        <v xml:space="preserve">          4135 - NON-TAXABLE SALES</v>
      </c>
      <c r="C71" s="11"/>
      <c r="D71" s="2">
        <f t="shared" si="16"/>
        <v>0</v>
      </c>
      <c r="E71" s="2"/>
      <c r="F71" s="19"/>
      <c r="G71" s="2"/>
      <c r="H71" s="2">
        <f>--32.31</f>
        <v>32.31</v>
      </c>
      <c r="I71" s="2"/>
      <c r="J71" s="19"/>
      <c r="K71" s="2"/>
      <c r="L71" s="2">
        <f t="shared" si="0"/>
        <v>-32.31</v>
      </c>
      <c r="M71" s="2"/>
      <c r="N71" s="19">
        <f t="shared" si="1"/>
        <v>-1</v>
      </c>
      <c r="O71" s="11"/>
      <c r="P71" s="2">
        <f>0</f>
        <v>0</v>
      </c>
      <c r="Q71" s="2"/>
      <c r="R71" s="19"/>
      <c r="S71" s="2"/>
      <c r="T71" s="2">
        <f>--86.06</f>
        <v>86.06</v>
      </c>
      <c r="U71" s="2"/>
      <c r="V71" s="19"/>
      <c r="W71" s="2"/>
      <c r="X71" s="2">
        <f t="shared" si="2"/>
        <v>-86.06</v>
      </c>
      <c r="Y71" s="2"/>
      <c r="Z71" s="19">
        <f t="shared" si="3"/>
        <v>-1</v>
      </c>
    </row>
    <row r="72" spans="1:26" s="24" customFormat="1" hidden="1" outlineLevel="1" x14ac:dyDescent="0.25">
      <c r="A72" s="44"/>
      <c r="B72" s="11" t="str">
        <f>CONCATENATE("          ", "4137", " - ", "NON-TAXABLE SALES-WATER")</f>
        <v xml:space="preserve">          4137 - NON-TAXABLE SALES-WATER</v>
      </c>
      <c r="C72" s="11"/>
      <c r="D72" s="2">
        <f t="shared" si="16"/>
        <v>0</v>
      </c>
      <c r="E72" s="2"/>
      <c r="F72" s="19"/>
      <c r="G72" s="2"/>
      <c r="H72" s="2">
        <f>--1871.72</f>
        <v>1871.72</v>
      </c>
      <c r="I72" s="2"/>
      <c r="J72" s="19"/>
      <c r="K72" s="2"/>
      <c r="L72" s="2">
        <f t="shared" si="0"/>
        <v>-1871.72</v>
      </c>
      <c r="M72" s="2"/>
      <c r="N72" s="19">
        <f t="shared" si="1"/>
        <v>-1</v>
      </c>
      <c r="O72" s="11"/>
      <c r="P72" s="2">
        <f>--68.25</f>
        <v>68.25</v>
      </c>
      <c r="Q72" s="2"/>
      <c r="R72" s="19"/>
      <c r="S72" s="2"/>
      <c r="T72" s="2">
        <f>--2861.96</f>
        <v>2861.96</v>
      </c>
      <c r="U72" s="2"/>
      <c r="V72" s="19"/>
      <c r="W72" s="2"/>
      <c r="X72" s="2">
        <f t="shared" si="2"/>
        <v>-2793.71</v>
      </c>
      <c r="Y72" s="2"/>
      <c r="Z72" s="19">
        <f t="shared" si="3"/>
        <v>-0.97615270653677899</v>
      </c>
    </row>
    <row r="73" spans="1:26" s="24" customFormat="1" hidden="1" outlineLevel="1" x14ac:dyDescent="0.25">
      <c r="A73" s="44"/>
      <c r="B73" s="11" t="str">
        <f>CONCATENATE("          ", "4140", " - ", "NON-TAXABLE SALES-LOGO CLOTHIN")</f>
        <v xml:space="preserve">          4140 - NON-TAXABLE SALES-LOGO CLOTHIN</v>
      </c>
      <c r="C73" s="11"/>
      <c r="D73" s="2">
        <f>--3339.7</f>
        <v>3339.7</v>
      </c>
      <c r="E73" s="2"/>
      <c r="F73" s="19"/>
      <c r="G73" s="2"/>
      <c r="H73" s="2">
        <f>--3114.74</f>
        <v>3114.74</v>
      </c>
      <c r="I73" s="2"/>
      <c r="J73" s="19"/>
      <c r="K73" s="2"/>
      <c r="L73" s="2">
        <f t="shared" si="0"/>
        <v>224.96000000000004</v>
      </c>
      <c r="M73" s="2"/>
      <c r="N73" s="19">
        <f t="shared" si="1"/>
        <v>7.2224326910111297E-2</v>
      </c>
      <c r="O73" s="11"/>
      <c r="P73" s="2">
        <f>--17452.44</f>
        <v>17452.439999999999</v>
      </c>
      <c r="Q73" s="2"/>
      <c r="R73" s="19"/>
      <c r="S73" s="2"/>
      <c r="T73" s="2">
        <f>--8257.7</f>
        <v>8257.7000000000007</v>
      </c>
      <c r="U73" s="2"/>
      <c r="V73" s="19"/>
      <c r="W73" s="2"/>
      <c r="X73" s="2">
        <f t="shared" si="2"/>
        <v>9194.739999999998</v>
      </c>
      <c r="Y73" s="2"/>
      <c r="Z73" s="19">
        <f t="shared" si="3"/>
        <v>1.1134746963440179</v>
      </c>
    </row>
    <row r="74" spans="1:26" s="24" customFormat="1" hidden="1" outlineLevel="1" x14ac:dyDescent="0.25">
      <c r="A74" s="44"/>
      <c r="B74" s="11" t="str">
        <f>CONCATENATE("          ", "4141", " - ", "NON-TAXABLE SALES-LOGO GIFTS")</f>
        <v xml:space="preserve">          4141 - NON-TAXABLE SALES-LOGO GIFTS</v>
      </c>
      <c r="C74" s="11"/>
      <c r="D74" s="2">
        <f>--555.74</f>
        <v>555.74</v>
      </c>
      <c r="E74" s="2"/>
      <c r="F74" s="19"/>
      <c r="G74" s="2"/>
      <c r="H74" s="2">
        <f>--120.34</f>
        <v>120.34</v>
      </c>
      <c r="I74" s="2"/>
      <c r="J74" s="19"/>
      <c r="K74" s="2"/>
      <c r="L74" s="2">
        <f t="shared" si="0"/>
        <v>435.4</v>
      </c>
      <c r="M74" s="2"/>
      <c r="N74" s="19">
        <f t="shared" si="1"/>
        <v>3.6180821007146418</v>
      </c>
      <c r="O74" s="11"/>
      <c r="P74" s="2">
        <f>--2944.99</f>
        <v>2944.99</v>
      </c>
      <c r="Q74" s="2"/>
      <c r="R74" s="19"/>
      <c r="S74" s="2"/>
      <c r="T74" s="2">
        <f>--814.64</f>
        <v>814.64</v>
      </c>
      <c r="U74" s="2"/>
      <c r="V74" s="19"/>
      <c r="W74" s="2"/>
      <c r="X74" s="2">
        <f t="shared" si="2"/>
        <v>2130.35</v>
      </c>
      <c r="Y74" s="2"/>
      <c r="Z74" s="19">
        <f t="shared" si="3"/>
        <v>2.6150815083963468</v>
      </c>
    </row>
    <row r="75" spans="1:26" s="24" customFormat="1" hidden="1" outlineLevel="1" x14ac:dyDescent="0.25">
      <c r="A75" s="44"/>
      <c r="B75" s="11" t="str">
        <f>CONCATENATE("          ", "4142", " - ", "NON-TAXABLE SALES-EVERYDAY GIF")</f>
        <v xml:space="preserve">          4142 - NON-TAXABLE SALES-EVERYDAY GIF</v>
      </c>
      <c r="C75" s="11"/>
      <c r="D75" s="2">
        <f>--30.16</f>
        <v>30.16</v>
      </c>
      <c r="E75" s="2"/>
      <c r="F75" s="19"/>
      <c r="G75" s="2"/>
      <c r="H75" s="2">
        <f>--2116.4</f>
        <v>2116.4</v>
      </c>
      <c r="I75" s="2"/>
      <c r="J75" s="19"/>
      <c r="K75" s="2"/>
      <c r="L75" s="2">
        <f t="shared" si="0"/>
        <v>-2086.2400000000002</v>
      </c>
      <c r="M75" s="2"/>
      <c r="N75" s="19">
        <f t="shared" si="1"/>
        <v>-0.98574938574938586</v>
      </c>
      <c r="O75" s="11"/>
      <c r="P75" s="2">
        <f>--1009.73</f>
        <v>1009.73</v>
      </c>
      <c r="Q75" s="2"/>
      <c r="R75" s="19"/>
      <c r="S75" s="2"/>
      <c r="T75" s="2">
        <f>--3036.5</f>
        <v>3036.5</v>
      </c>
      <c r="U75" s="2"/>
      <c r="V75" s="19"/>
      <c r="W75" s="2"/>
      <c r="X75" s="2">
        <f t="shared" si="2"/>
        <v>-2026.77</v>
      </c>
      <c r="Y75" s="2"/>
      <c r="Z75" s="19">
        <f t="shared" si="3"/>
        <v>-0.66746912563807015</v>
      </c>
    </row>
    <row r="76" spans="1:26" s="24" customFormat="1" hidden="1" outlineLevel="1" x14ac:dyDescent="0.25">
      <c r="A76" s="44"/>
      <c r="B76" s="11" t="str">
        <f>CONCATENATE("          ", "4143", " - ", "NON-TAXABLE SALES-CARDS")</f>
        <v xml:space="preserve">          4143 - NON-TAXABLE SALES-CARDS</v>
      </c>
      <c r="C76" s="11"/>
      <c r="D76" s="2">
        <f>0</f>
        <v>0</v>
      </c>
      <c r="E76" s="2"/>
      <c r="F76" s="19"/>
      <c r="G76" s="2"/>
      <c r="H76" s="2">
        <f t="shared" ref="H76:H78" si="17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>--19.98</f>
        <v>19.98</v>
      </c>
      <c r="Q76" s="2"/>
      <c r="R76" s="19"/>
      <c r="S76" s="2"/>
      <c r="T76" s="2">
        <f>0</f>
        <v>0</v>
      </c>
      <c r="U76" s="2"/>
      <c r="V76" s="19"/>
      <c r="W76" s="2"/>
      <c r="X76" s="2">
        <f t="shared" si="2"/>
        <v>19.98</v>
      </c>
      <c r="Y76" s="2"/>
      <c r="Z76" s="19">
        <f t="shared" si="3"/>
        <v>0</v>
      </c>
    </row>
    <row r="77" spans="1:26" s="24" customFormat="1" hidden="1" outlineLevel="1" x14ac:dyDescent="0.25">
      <c r="A77" s="44"/>
      <c r="B77" s="11" t="str">
        <f>CONCATENATE("          ", "4144", " - ", "NON-TAXABLE SALES-ACCESSORIES")</f>
        <v xml:space="preserve">          4144 - NON-TAXABLE SALES-ACCESSORIES</v>
      </c>
      <c r="C77" s="11"/>
      <c r="D77" s="2">
        <f>--59.95</f>
        <v>59.95</v>
      </c>
      <c r="E77" s="2"/>
      <c r="F77" s="19"/>
      <c r="G77" s="2"/>
      <c r="H77" s="2">
        <f t="shared" si="17"/>
        <v>0</v>
      </c>
      <c r="I77" s="2"/>
      <c r="J77" s="19"/>
      <c r="K77" s="2"/>
      <c r="L77" s="2">
        <f t="shared" si="0"/>
        <v>59.95</v>
      </c>
      <c r="M77" s="2"/>
      <c r="N77" s="19">
        <f t="shared" si="1"/>
        <v>0</v>
      </c>
      <c r="O77" s="11"/>
      <c r="P77" s="2">
        <f>--215.75</f>
        <v>215.75</v>
      </c>
      <c r="Q77" s="2"/>
      <c r="R77" s="19"/>
      <c r="S77" s="2"/>
      <c r="T77" s="2">
        <f>--139.76</f>
        <v>139.76</v>
      </c>
      <c r="U77" s="2"/>
      <c r="V77" s="19"/>
      <c r="W77" s="2"/>
      <c r="X77" s="2">
        <f t="shared" si="2"/>
        <v>75.990000000000009</v>
      </c>
      <c r="Y77" s="2"/>
      <c r="Z77" s="19">
        <f t="shared" si="3"/>
        <v>0.54371780194619357</v>
      </c>
    </row>
    <row r="78" spans="1:26" s="24" customFormat="1" hidden="1" outlineLevel="1" x14ac:dyDescent="0.25">
      <c r="A78" s="44"/>
      <c r="B78" s="11" t="str">
        <f>CONCATENATE("          ", "4145", " - ", "NON-TAXABLE SALES-SPECIAL ORDE")</f>
        <v xml:space="preserve">          4145 - NON-TAXABLE SALES-SPECIAL ORDE</v>
      </c>
      <c r="C78" s="11"/>
      <c r="D78" s="2">
        <f>0</f>
        <v>0</v>
      </c>
      <c r="E78" s="2"/>
      <c r="F78" s="19"/>
      <c r="G78" s="2"/>
      <c r="H78" s="2">
        <f t="shared" si="17"/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>--35846</f>
        <v>35846</v>
      </c>
      <c r="Q78" s="2"/>
      <c r="R78" s="19"/>
      <c r="S78" s="2"/>
      <c r="T78" s="2">
        <f>--90</f>
        <v>90</v>
      </c>
      <c r="U78" s="2"/>
      <c r="V78" s="19"/>
      <c r="W78" s="2"/>
      <c r="X78" s="2">
        <f t="shared" si="2"/>
        <v>35756</v>
      </c>
      <c r="Y78" s="2"/>
      <c r="Z78" s="19">
        <f t="shared" si="3"/>
        <v>397.28888888888889</v>
      </c>
    </row>
    <row r="79" spans="1:26" s="24" customFormat="1" hidden="1" outlineLevel="1" x14ac:dyDescent="0.25">
      <c r="A79" s="44"/>
      <c r="B79" s="11" t="str">
        <f>CONCATENATE("          ", "4146", " - ", "NON-TAXABLE SALES-COIN OP MACH")</f>
        <v xml:space="preserve">          4146 - NON-TAXABLE SALES-COIN OP MACH</v>
      </c>
      <c r="C79" s="11"/>
      <c r="D79" s="2">
        <f>--49.7</f>
        <v>49.7</v>
      </c>
      <c r="E79" s="2"/>
      <c r="F79" s="19"/>
      <c r="G79" s="2"/>
      <c r="H79" s="2">
        <f>--34744.75</f>
        <v>34744.75</v>
      </c>
      <c r="I79" s="2"/>
      <c r="J79" s="19"/>
      <c r="K79" s="2"/>
      <c r="L79" s="2">
        <f t="shared" si="0"/>
        <v>-34695.050000000003</v>
      </c>
      <c r="M79" s="2"/>
      <c r="N79" s="19">
        <f t="shared" si="1"/>
        <v>-0.99856956806424002</v>
      </c>
      <c r="O79" s="11"/>
      <c r="P79" s="2">
        <f>--65.2</f>
        <v>65.2</v>
      </c>
      <c r="Q79" s="2"/>
      <c r="R79" s="19"/>
      <c r="S79" s="2"/>
      <c r="T79" s="2">
        <f>--50093.5</f>
        <v>50093.5</v>
      </c>
      <c r="U79" s="2"/>
      <c r="V79" s="19"/>
      <c r="W79" s="2"/>
      <c r="X79" s="2">
        <f t="shared" si="2"/>
        <v>-50028.3</v>
      </c>
      <c r="Y79" s="2"/>
      <c r="Z79" s="19">
        <f t="shared" si="3"/>
        <v>-0.99869843392855362</v>
      </c>
    </row>
    <row r="80" spans="1:26" s="24" customFormat="1" hidden="1" outlineLevel="1" x14ac:dyDescent="0.25">
      <c r="A80" s="44"/>
      <c r="B80" s="11" t="str">
        <f>CONCATENATE("          ", "4147", " - ", "NON-TAXABLE SALES-MISC")</f>
        <v xml:space="preserve">          4147 - NON-TAXABLE SALES-MISC</v>
      </c>
      <c r="C80" s="11"/>
      <c r="D80" s="2">
        <f>--24</f>
        <v>24</v>
      </c>
      <c r="E80" s="2"/>
      <c r="F80" s="19"/>
      <c r="G80" s="2"/>
      <c r="H80" s="2">
        <f>--344.5</f>
        <v>344.5</v>
      </c>
      <c r="I80" s="2"/>
      <c r="J80" s="19"/>
      <c r="K80" s="2"/>
      <c r="L80" s="2">
        <f t="shared" si="0"/>
        <v>-320.5</v>
      </c>
      <c r="M80" s="2"/>
      <c r="N80" s="19">
        <f t="shared" si="1"/>
        <v>-0.93033381712626995</v>
      </c>
      <c r="O80" s="11"/>
      <c r="P80" s="2">
        <f>--48</f>
        <v>48</v>
      </c>
      <c r="Q80" s="2"/>
      <c r="R80" s="19"/>
      <c r="S80" s="2"/>
      <c r="T80" s="2">
        <f>--414.9</f>
        <v>414.9</v>
      </c>
      <c r="U80" s="2"/>
      <c r="V80" s="19"/>
      <c r="W80" s="2"/>
      <c r="X80" s="2">
        <f t="shared" si="2"/>
        <v>-366.9</v>
      </c>
      <c r="Y80" s="2"/>
      <c r="Z80" s="19">
        <f t="shared" si="3"/>
        <v>-0.88430947216196676</v>
      </c>
    </row>
    <row r="81" spans="1:26" s="24" customFormat="1" hidden="1" outlineLevel="1" x14ac:dyDescent="0.25">
      <c r="A81" s="44"/>
      <c r="B81" s="11" t="str">
        <f>CONCATENATE("          ", "4151", " - ", "NON-TAXABLE SALES-FOOD")</f>
        <v xml:space="preserve">          4151 - NON-TAXABLE SALES-FOOD</v>
      </c>
      <c r="C81" s="11"/>
      <c r="D81" s="2">
        <f>--223549.77</f>
        <v>223549.77</v>
      </c>
      <c r="E81" s="2"/>
      <c r="F81" s="19"/>
      <c r="G81" s="2"/>
      <c r="H81" s="2">
        <f>--1788274.53</f>
        <v>1788274.53</v>
      </c>
      <c r="I81" s="2"/>
      <c r="J81" s="19"/>
      <c r="K81" s="2"/>
      <c r="L81" s="2">
        <f t="shared" si="0"/>
        <v>-1564724.76</v>
      </c>
      <c r="M81" s="2"/>
      <c r="N81" s="19">
        <f t="shared" si="1"/>
        <v>-0.87499135828993768</v>
      </c>
      <c r="O81" s="11"/>
      <c r="P81" s="2">
        <f>--267608.67</f>
        <v>267608.67</v>
      </c>
      <c r="Q81" s="2"/>
      <c r="R81" s="19"/>
      <c r="S81" s="2"/>
      <c r="T81" s="2">
        <f>--2847789.46</f>
        <v>2847789.46</v>
      </c>
      <c r="U81" s="2"/>
      <c r="V81" s="19"/>
      <c r="W81" s="2"/>
      <c r="X81" s="2">
        <f t="shared" si="2"/>
        <v>-2580180.79</v>
      </c>
      <c r="Y81" s="2"/>
      <c r="Z81" s="19">
        <f t="shared" si="3"/>
        <v>-0.90602933476690373</v>
      </c>
    </row>
    <row r="82" spans="1:26" s="24" customFormat="1" hidden="1" outlineLevel="1" x14ac:dyDescent="0.25">
      <c r="A82" s="44"/>
      <c r="B82" s="11" t="str">
        <f>CONCATENATE("          ", "4152", " - ", "NON-TAXABLE SALES-FOOD")</f>
        <v xml:space="preserve">          4152 - NON-TAXABLE SALES-FOOD</v>
      </c>
      <c r="C82" s="11"/>
      <c r="D82" s="2">
        <f>0</f>
        <v>0</v>
      </c>
      <c r="E82" s="2"/>
      <c r="F82" s="19"/>
      <c r="G82" s="2"/>
      <c r="H82" s="2">
        <f>--8131.54</f>
        <v>8131.54</v>
      </c>
      <c r="I82" s="2"/>
      <c r="J82" s="19"/>
      <c r="K82" s="2"/>
      <c r="L82" s="2">
        <f t="shared" si="0"/>
        <v>-8131.54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--15789.06</f>
        <v>15789.06</v>
      </c>
      <c r="U82" s="2"/>
      <c r="V82" s="19"/>
      <c r="W82" s="2"/>
      <c r="X82" s="2">
        <f t="shared" si="2"/>
        <v>-15789.06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"4153", " - ", "NON-TAXABLE SALES-FOOD")</f>
        <v xml:space="preserve">          4153 - NON-TAXABLE SALES-FOOD</v>
      </c>
      <c r="C83" s="11"/>
      <c r="D83" s="2">
        <f>--3278.36</f>
        <v>3278.36</v>
      </c>
      <c r="E83" s="2"/>
      <c r="F83" s="19"/>
      <c r="G83" s="2"/>
      <c r="H83" s="2">
        <f>--41475.66</f>
        <v>41475.660000000003</v>
      </c>
      <c r="I83" s="2"/>
      <c r="J83" s="19"/>
      <c r="K83" s="2"/>
      <c r="L83" s="2">
        <f t="shared" si="0"/>
        <v>-38197.300000000003</v>
      </c>
      <c r="M83" s="2"/>
      <c r="N83" s="19">
        <f t="shared" si="1"/>
        <v>-0.92095701430670418</v>
      </c>
      <c r="O83" s="11"/>
      <c r="P83" s="2">
        <f>--30353.78</f>
        <v>30353.78</v>
      </c>
      <c r="Q83" s="2"/>
      <c r="R83" s="19"/>
      <c r="S83" s="2"/>
      <c r="T83" s="2">
        <f>--161692.08</f>
        <v>161692.07999999999</v>
      </c>
      <c r="U83" s="2"/>
      <c r="V83" s="19"/>
      <c r="W83" s="2"/>
      <c r="X83" s="2">
        <f t="shared" si="2"/>
        <v>-131338.29999999999</v>
      </c>
      <c r="Y83" s="2"/>
      <c r="Z83" s="19">
        <f t="shared" si="3"/>
        <v>-0.81227416952023868</v>
      </c>
    </row>
    <row r="84" spans="1:26" s="24" customFormat="1" hidden="1" outlineLevel="1" x14ac:dyDescent="0.25">
      <c r="A84" s="44"/>
      <c r="B84" s="11" t="str">
        <f>CONCATENATE("          ", "4155", " - ", "NON-TAXABLE SALES-FOOD")</f>
        <v xml:space="preserve">          4155 - NON-TAXABLE SALES-FOOD</v>
      </c>
      <c r="C84" s="11"/>
      <c r="D84" s="2">
        <f t="shared" ref="D84:D85" si="18">0</f>
        <v>0</v>
      </c>
      <c r="E84" s="2"/>
      <c r="F84" s="19"/>
      <c r="G84" s="2"/>
      <c r="H84" s="2">
        <f>--113029.61</f>
        <v>113029.61</v>
      </c>
      <c r="I84" s="2"/>
      <c r="J84" s="19"/>
      <c r="K84" s="2"/>
      <c r="L84" s="2">
        <f t="shared" si="0"/>
        <v>-113029.61</v>
      </c>
      <c r="M84" s="2"/>
      <c r="N84" s="19">
        <f t="shared" si="1"/>
        <v>-1</v>
      </c>
      <c r="O84" s="11"/>
      <c r="P84" s="2">
        <f t="shared" ref="P84:P85" si="19">0</f>
        <v>0</v>
      </c>
      <c r="Q84" s="2"/>
      <c r="R84" s="19"/>
      <c r="S84" s="2"/>
      <c r="T84" s="2">
        <f>--184025.65</f>
        <v>184025.65</v>
      </c>
      <c r="U84" s="2"/>
      <c r="V84" s="19"/>
      <c r="W84" s="2"/>
      <c r="X84" s="2">
        <f t="shared" si="2"/>
        <v>-184025.65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"4158", " - ", "NON-TAXABLE SALES-FOOD")</f>
        <v xml:space="preserve">          4158 - NON-TAXABLE SALES-FOOD</v>
      </c>
      <c r="C85" s="11"/>
      <c r="D85" s="2">
        <f t="shared" si="18"/>
        <v>0</v>
      </c>
      <c r="E85" s="2"/>
      <c r="F85" s="19"/>
      <c r="G85" s="2"/>
      <c r="H85" s="2">
        <f>--71876.72</f>
        <v>71876.72</v>
      </c>
      <c r="I85" s="2"/>
      <c r="J85" s="19"/>
      <c r="K85" s="2"/>
      <c r="L85" s="2">
        <f t="shared" si="0"/>
        <v>-71876.72</v>
      </c>
      <c r="M85" s="2"/>
      <c r="N85" s="19">
        <f t="shared" si="1"/>
        <v>-1</v>
      </c>
      <c r="O85" s="11"/>
      <c r="P85" s="2">
        <f t="shared" si="19"/>
        <v>0</v>
      </c>
      <c r="Q85" s="2"/>
      <c r="R85" s="19"/>
      <c r="S85" s="2"/>
      <c r="T85" s="2">
        <f>--112246.63</f>
        <v>112246.63</v>
      </c>
      <c r="U85" s="2"/>
      <c r="V85" s="19"/>
      <c r="W85" s="2"/>
      <c r="X85" s="2">
        <f t="shared" si="2"/>
        <v>-112246.63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"4181", " - ", "NON-TAXABLE SALES-ELECTRONICS")</f>
        <v xml:space="preserve">          4181 - NON-TAXABLE SALES-ELECTRONICS</v>
      </c>
      <c r="C86" s="11"/>
      <c r="D86" s="2">
        <f>--669.89</f>
        <v>669.89</v>
      </c>
      <c r="E86" s="2"/>
      <c r="F86" s="19"/>
      <c r="G86" s="2"/>
      <c r="H86" s="2">
        <f>--63.96</f>
        <v>63.96</v>
      </c>
      <c r="I86" s="2"/>
      <c r="J86" s="19"/>
      <c r="K86" s="2"/>
      <c r="L86" s="2">
        <f t="shared" si="0"/>
        <v>605.92999999999995</v>
      </c>
      <c r="M86" s="2"/>
      <c r="N86" s="19">
        <f t="shared" si="1"/>
        <v>9.4735772357723569</v>
      </c>
      <c r="O86" s="11"/>
      <c r="P86" s="2">
        <f>--3309.16</f>
        <v>3309.16</v>
      </c>
      <c r="Q86" s="2"/>
      <c r="R86" s="19"/>
      <c r="S86" s="2"/>
      <c r="T86" s="2">
        <f>--1454.52</f>
        <v>1454.52</v>
      </c>
      <c r="U86" s="2"/>
      <c r="V86" s="19"/>
      <c r="W86" s="2"/>
      <c r="X86" s="2">
        <f t="shared" si="2"/>
        <v>1854.6399999999999</v>
      </c>
      <c r="Y86" s="2"/>
      <c r="Z86" s="19">
        <f t="shared" si="3"/>
        <v>1.2750873140279955</v>
      </c>
    </row>
    <row r="87" spans="1:26" s="24" customFormat="1" hidden="1" outlineLevel="1" x14ac:dyDescent="0.25">
      <c r="A87" s="44"/>
      <c r="B87" s="11" t="str">
        <f>CONCATENATE("          ", "4182", " - ", "NON-TAXABLE SALES-COMPUTER HAR")</f>
        <v xml:space="preserve">          4182 - NON-TAXABLE SALES-COMPUTER HAR</v>
      </c>
      <c r="C87" s="11"/>
      <c r="D87" s="2">
        <f>--38657</f>
        <v>38657</v>
      </c>
      <c r="E87" s="2"/>
      <c r="F87" s="19"/>
      <c r="G87" s="2"/>
      <c r="H87" s="2">
        <f>--15231</f>
        <v>15231</v>
      </c>
      <c r="I87" s="2"/>
      <c r="J87" s="19"/>
      <c r="K87" s="2"/>
      <c r="L87" s="2">
        <f t="shared" si="0"/>
        <v>23426</v>
      </c>
      <c r="M87" s="2"/>
      <c r="N87" s="19">
        <f t="shared" si="1"/>
        <v>1.5380474033221718</v>
      </c>
      <c r="O87" s="11"/>
      <c r="P87" s="2">
        <f>--120724.38</f>
        <v>120724.38</v>
      </c>
      <c r="Q87" s="2"/>
      <c r="R87" s="19"/>
      <c r="S87" s="2"/>
      <c r="T87" s="2">
        <f>--45802</f>
        <v>45802</v>
      </c>
      <c r="U87" s="2"/>
      <c r="V87" s="19"/>
      <c r="W87" s="2"/>
      <c r="X87" s="2">
        <f t="shared" si="2"/>
        <v>74922.38</v>
      </c>
      <c r="Y87" s="2"/>
      <c r="Z87" s="19">
        <f t="shared" si="3"/>
        <v>1.6357883935199338</v>
      </c>
    </row>
    <row r="88" spans="1:26" s="24" customFormat="1" hidden="1" outlineLevel="1" x14ac:dyDescent="0.25">
      <c r="A88" s="44"/>
      <c r="B88" s="11" t="str">
        <f>CONCATENATE("          ", "4183", " - ", "NON-TAXABLE SALES-COMPUTER EQU")</f>
        <v xml:space="preserve">          4183 - NON-TAXABLE SALES-COMPUTER EQU</v>
      </c>
      <c r="C88" s="11"/>
      <c r="D88" s="2">
        <f>--1946.8</f>
        <v>1946.8</v>
      </c>
      <c r="E88" s="2"/>
      <c r="F88" s="19"/>
      <c r="G88" s="2"/>
      <c r="H88" s="2">
        <f>--864.82</f>
        <v>864.82</v>
      </c>
      <c r="I88" s="2"/>
      <c r="J88" s="19"/>
      <c r="K88" s="2"/>
      <c r="L88" s="2">
        <f t="shared" si="0"/>
        <v>1081.98</v>
      </c>
      <c r="M88" s="2"/>
      <c r="N88" s="19">
        <f t="shared" si="1"/>
        <v>1.2511042760343192</v>
      </c>
      <c r="O88" s="11"/>
      <c r="P88" s="2">
        <f>--5066.48</f>
        <v>5066.4799999999996</v>
      </c>
      <c r="Q88" s="2"/>
      <c r="R88" s="19"/>
      <c r="S88" s="2"/>
      <c r="T88" s="2">
        <f>--2021.11</f>
        <v>2021.11</v>
      </c>
      <c r="U88" s="2"/>
      <c r="V88" s="19"/>
      <c r="W88" s="2"/>
      <c r="X88" s="2">
        <f t="shared" si="2"/>
        <v>3045.37</v>
      </c>
      <c r="Y88" s="2"/>
      <c r="Z88" s="19">
        <f t="shared" si="3"/>
        <v>1.5067809273122195</v>
      </c>
    </row>
    <row r="89" spans="1:26" s="24" customFormat="1" hidden="1" outlineLevel="1" x14ac:dyDescent="0.25">
      <c r="A89" s="44"/>
      <c r="B89" s="11" t="str">
        <f>CONCATENATE("          ", "4184", " - ", "NON-TAXABLE SALES-SOFTWARE LIC")</f>
        <v xml:space="preserve">          4184 - NON-TAXABLE SALES-SOFTWARE LIC</v>
      </c>
      <c r="C89" s="11"/>
      <c r="D89" s="2">
        <f>0</f>
        <v>0</v>
      </c>
      <c r="E89" s="2"/>
      <c r="F89" s="19"/>
      <c r="G89" s="2"/>
      <c r="H89" s="2">
        <f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>0</f>
        <v>0</v>
      </c>
      <c r="Q89" s="2"/>
      <c r="R89" s="19"/>
      <c r="S89" s="2"/>
      <c r="T89" s="2">
        <f>--1522</f>
        <v>1522</v>
      </c>
      <c r="U89" s="2"/>
      <c r="V89" s="19"/>
      <c r="W89" s="2"/>
      <c r="X89" s="2">
        <f t="shared" si="2"/>
        <v>-1522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"4185", " - ", "NON-TAXABLE SALES-SOFTWARE")</f>
        <v xml:space="preserve">          4185 - NON-TAXABLE SALES-SOFTWARE</v>
      </c>
      <c r="C90" s="11"/>
      <c r="D90" s="2">
        <f>--8427.6</f>
        <v>8427.6</v>
      </c>
      <c r="E90" s="2"/>
      <c r="F90" s="19"/>
      <c r="G90" s="2"/>
      <c r="H90" s="2">
        <f>--2555.94</f>
        <v>2555.94</v>
      </c>
      <c r="I90" s="2"/>
      <c r="J90" s="19"/>
      <c r="K90" s="2"/>
      <c r="L90" s="2">
        <f t="shared" si="0"/>
        <v>5871.66</v>
      </c>
      <c r="M90" s="2"/>
      <c r="N90" s="19">
        <f t="shared" si="1"/>
        <v>2.2972604990727481</v>
      </c>
      <c r="O90" s="11"/>
      <c r="P90" s="2">
        <f>--19226.09</f>
        <v>19226.09</v>
      </c>
      <c r="Q90" s="2"/>
      <c r="R90" s="19"/>
      <c r="S90" s="2"/>
      <c r="T90" s="2">
        <f>--7077.94</f>
        <v>7077.94</v>
      </c>
      <c r="U90" s="2"/>
      <c r="V90" s="19"/>
      <c r="W90" s="2"/>
      <c r="X90" s="2">
        <f t="shared" si="2"/>
        <v>12148.150000000001</v>
      </c>
      <c r="Y90" s="2"/>
      <c r="Z90" s="19">
        <f t="shared" si="3"/>
        <v>1.7163397824790831</v>
      </c>
    </row>
    <row r="91" spans="1:26" s="24" customFormat="1" hidden="1" outlineLevel="1" x14ac:dyDescent="0.25">
      <c r="A91" s="44"/>
      <c r="B91" s="11" t="str">
        <f>CONCATENATE("          ", "4186", " - ", "NON-TAXABLE SALES-COMPUTER SUP")</f>
        <v xml:space="preserve">          4186 - NON-TAXABLE SALES-COMPUTER SUP</v>
      </c>
      <c r="C91" s="11"/>
      <c r="D91" s="2">
        <f>--460.89</f>
        <v>460.89</v>
      </c>
      <c r="E91" s="2"/>
      <c r="F91" s="19"/>
      <c r="G91" s="2"/>
      <c r="H91" s="2">
        <f>--450.88</f>
        <v>450.88</v>
      </c>
      <c r="I91" s="2"/>
      <c r="J91" s="19"/>
      <c r="K91" s="2"/>
      <c r="L91" s="2">
        <f t="shared" si="0"/>
        <v>10.009999999999991</v>
      </c>
      <c r="M91" s="2"/>
      <c r="N91" s="19">
        <f t="shared" si="1"/>
        <v>2.2201029098651504E-2</v>
      </c>
      <c r="O91" s="11"/>
      <c r="P91" s="2">
        <f>--873.79</f>
        <v>873.79</v>
      </c>
      <c r="Q91" s="2"/>
      <c r="R91" s="19"/>
      <c r="S91" s="2"/>
      <c r="T91" s="2">
        <f>--725.78</f>
        <v>725.78</v>
      </c>
      <c r="U91" s="2"/>
      <c r="V91" s="19"/>
      <c r="W91" s="2"/>
      <c r="X91" s="2">
        <f t="shared" si="2"/>
        <v>148.01</v>
      </c>
      <c r="Y91" s="2"/>
      <c r="Z91" s="19">
        <f t="shared" si="3"/>
        <v>0.20393232108903525</v>
      </c>
    </row>
    <row r="92" spans="1:26" s="24" customFormat="1" hidden="1" outlineLevel="1" x14ac:dyDescent="0.25">
      <c r="A92" s="44"/>
      <c r="B92" s="11" t="str">
        <f>CONCATENATE("          ", "4188", " - ", "NON-TAXABLE SALES-MUSIC")</f>
        <v xml:space="preserve">          4188 - NON-TAXABLE SALES-MUSIC</v>
      </c>
      <c r="C92" s="11"/>
      <c r="D92" s="2">
        <f>0</f>
        <v>0</v>
      </c>
      <c r="E92" s="2"/>
      <c r="F92" s="19"/>
      <c r="G92" s="2"/>
      <c r="H92" s="2">
        <f>--119.98</f>
        <v>119.98</v>
      </c>
      <c r="I92" s="2"/>
      <c r="J92" s="19"/>
      <c r="K92" s="2"/>
      <c r="L92" s="2">
        <f t="shared" si="0"/>
        <v>-119.98</v>
      </c>
      <c r="M92" s="2"/>
      <c r="N92" s="19">
        <f t="shared" si="1"/>
        <v>-1</v>
      </c>
      <c r="O92" s="11"/>
      <c r="P92" s="2">
        <f>0</f>
        <v>0</v>
      </c>
      <c r="Q92" s="2"/>
      <c r="R92" s="19"/>
      <c r="S92" s="2"/>
      <c r="T92" s="2">
        <f>--219.96</f>
        <v>219.96</v>
      </c>
      <c r="U92" s="2"/>
      <c r="V92" s="19"/>
      <c r="W92" s="2"/>
      <c r="X92" s="2">
        <f t="shared" si="2"/>
        <v>-219.96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"4201", " - ", "SALES RETURN TAXABLE-NEW TEXT")</f>
        <v xml:space="preserve">          4201 - SALES RETURN TAXABLE-NEW TEXT</v>
      </c>
      <c r="C93" s="11"/>
      <c r="D93" s="2">
        <f>-13393.2</f>
        <v>-13393.2</v>
      </c>
      <c r="E93" s="2"/>
      <c r="F93" s="19"/>
      <c r="G93" s="2"/>
      <c r="H93" s="2">
        <f>-14069.34</f>
        <v>-14069.34</v>
      </c>
      <c r="I93" s="2"/>
      <c r="J93" s="19"/>
      <c r="K93" s="2"/>
      <c r="L93" s="2">
        <f t="shared" si="0"/>
        <v>676.13999999999942</v>
      </c>
      <c r="M93" s="2"/>
      <c r="N93" s="19">
        <f t="shared" si="1"/>
        <v>-4.8057691405566955E-2</v>
      </c>
      <c r="O93" s="11"/>
      <c r="P93" s="2">
        <f>-32248.99</f>
        <v>-32248.99</v>
      </c>
      <c r="Q93" s="2"/>
      <c r="R93" s="19"/>
      <c r="S93" s="2"/>
      <c r="T93" s="2">
        <f>-73239.75</f>
        <v>-73239.75</v>
      </c>
      <c r="U93" s="2"/>
      <c r="V93" s="19"/>
      <c r="W93" s="2"/>
      <c r="X93" s="2">
        <f t="shared" si="2"/>
        <v>40990.759999999995</v>
      </c>
      <c r="Y93" s="2"/>
      <c r="Z93" s="19">
        <f t="shared" si="3"/>
        <v>-0.55967913598831232</v>
      </c>
    </row>
    <row r="94" spans="1:26" s="24" customFormat="1" hidden="1" outlineLevel="1" x14ac:dyDescent="0.25">
      <c r="A94" s="44"/>
      <c r="B94" s="11" t="str">
        <f>CONCATENATE("          ", "4202", " - ", "SALES RETURN TAXABLE-USED TEXT")</f>
        <v xml:space="preserve">          4202 - SALES RETURN TAXABLE-USED TEXT</v>
      </c>
      <c r="C94" s="11"/>
      <c r="D94" s="2">
        <f>-1345.2</f>
        <v>-1345.2</v>
      </c>
      <c r="E94" s="2"/>
      <c r="F94" s="19"/>
      <c r="G94" s="2"/>
      <c r="H94" s="2">
        <f>-2096.65</f>
        <v>-2096.65</v>
      </c>
      <c r="I94" s="2"/>
      <c r="J94" s="19"/>
      <c r="K94" s="2"/>
      <c r="L94" s="2">
        <f t="shared" si="0"/>
        <v>751.45</v>
      </c>
      <c r="M94" s="2"/>
      <c r="N94" s="19">
        <f t="shared" si="1"/>
        <v>-0.35840507476212052</v>
      </c>
      <c r="O94" s="11"/>
      <c r="P94" s="2">
        <f>-10392.95</f>
        <v>-10392.950000000001</v>
      </c>
      <c r="Q94" s="2"/>
      <c r="R94" s="19"/>
      <c r="S94" s="2"/>
      <c r="T94" s="2">
        <f>-23351.1</f>
        <v>-23351.1</v>
      </c>
      <c r="U94" s="2"/>
      <c r="V94" s="19"/>
      <c r="W94" s="2"/>
      <c r="X94" s="2">
        <f t="shared" si="2"/>
        <v>12958.149999999998</v>
      </c>
      <c r="Y94" s="2"/>
      <c r="Z94" s="19">
        <f t="shared" si="3"/>
        <v>-0.55492674863282665</v>
      </c>
    </row>
    <row r="95" spans="1:26" s="24" customFormat="1" hidden="1" outlineLevel="1" x14ac:dyDescent="0.25">
      <c r="A95" s="44"/>
      <c r="B95" s="11" t="str">
        <f>CONCATENATE("          ", "4203", " - ", "SALES RETURN TAXABLE-RENTAL TE")</f>
        <v xml:space="preserve">          4203 - SALES RETURN TAXABLE-RENTAL TE</v>
      </c>
      <c r="C95" s="11"/>
      <c r="D95" s="2">
        <f>0</f>
        <v>0</v>
      </c>
      <c r="E95" s="2"/>
      <c r="F95" s="19"/>
      <c r="G95" s="2"/>
      <c r="H95" s="2">
        <f>-144.99</f>
        <v>-144.99</v>
      </c>
      <c r="I95" s="2"/>
      <c r="J95" s="19"/>
      <c r="K95" s="2"/>
      <c r="L95" s="2">
        <f t="shared" si="0"/>
        <v>144.99</v>
      </c>
      <c r="M95" s="2"/>
      <c r="N95" s="19">
        <f t="shared" si="1"/>
        <v>-1</v>
      </c>
      <c r="O95" s="11"/>
      <c r="P95" s="2">
        <f>0</f>
        <v>0</v>
      </c>
      <c r="Q95" s="2"/>
      <c r="R95" s="19"/>
      <c r="S95" s="2"/>
      <c r="T95" s="2">
        <f>-144.99</f>
        <v>-144.99</v>
      </c>
      <c r="U95" s="2"/>
      <c r="V95" s="19"/>
      <c r="W95" s="2"/>
      <c r="X95" s="2">
        <f t="shared" si="2"/>
        <v>144.99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"4204", " - ", "SALES RETURN TAXABLE-DIGITAL T")</f>
        <v xml:space="preserve">          4204 - SALES RETURN TAXABLE-DIGITAL T</v>
      </c>
      <c r="C96" s="11"/>
      <c r="D96" s="2">
        <f>-105.87</f>
        <v>-105.87</v>
      </c>
      <c r="E96" s="2"/>
      <c r="F96" s="19"/>
      <c r="G96" s="2"/>
      <c r="H96" s="2">
        <f>-4208.35</f>
        <v>-4208.3500000000004</v>
      </c>
      <c r="I96" s="2"/>
      <c r="J96" s="19"/>
      <c r="K96" s="2"/>
      <c r="L96" s="2">
        <f t="shared" si="0"/>
        <v>4102.4800000000005</v>
      </c>
      <c r="M96" s="2"/>
      <c r="N96" s="19">
        <f t="shared" si="1"/>
        <v>-0.97484287190941821</v>
      </c>
      <c r="O96" s="11"/>
      <c r="P96" s="2">
        <f>-1246.95</f>
        <v>-1246.95</v>
      </c>
      <c r="Q96" s="2"/>
      <c r="R96" s="19"/>
      <c r="S96" s="2"/>
      <c r="T96" s="2">
        <f>-11056.72</f>
        <v>-11056.72</v>
      </c>
      <c r="U96" s="2"/>
      <c r="V96" s="19"/>
      <c r="W96" s="2"/>
      <c r="X96" s="2">
        <f t="shared" si="2"/>
        <v>9809.7699999999986</v>
      </c>
      <c r="Y96" s="2"/>
      <c r="Z96" s="19">
        <f t="shared" si="3"/>
        <v>-0.88722243124543254</v>
      </c>
    </row>
    <row r="97" spans="1:26" s="24" customFormat="1" hidden="1" outlineLevel="1" x14ac:dyDescent="0.25">
      <c r="A97" s="44"/>
      <c r="B97" s="11" t="str">
        <f>CONCATENATE("          ", "4218", " - ", "SALES RETURN TAXABLE-STUDY GUI")</f>
        <v xml:space="preserve">          4218 - SALES RETURN TAXABLE-STUDY GUI</v>
      </c>
      <c r="C97" s="11"/>
      <c r="D97" s="2">
        <f t="shared" ref="D97:D98" si="20">0</f>
        <v>0</v>
      </c>
      <c r="E97" s="2"/>
      <c r="F97" s="19"/>
      <c r="G97" s="2"/>
      <c r="H97" s="2">
        <f>-5.95</f>
        <v>-5.95</v>
      </c>
      <c r="I97" s="2"/>
      <c r="J97" s="19"/>
      <c r="K97" s="2"/>
      <c r="L97" s="2">
        <f t="shared" si="0"/>
        <v>5.95</v>
      </c>
      <c r="M97" s="2"/>
      <c r="N97" s="19">
        <f t="shared" si="1"/>
        <v>-1</v>
      </c>
      <c r="O97" s="11"/>
      <c r="P97" s="2">
        <f t="shared" ref="P97:P98" si="21">0</f>
        <v>0</v>
      </c>
      <c r="Q97" s="2"/>
      <c r="R97" s="19"/>
      <c r="S97" s="2"/>
      <c r="T97" s="2">
        <f>-32.75</f>
        <v>-32.75</v>
      </c>
      <c r="U97" s="2"/>
      <c r="V97" s="19"/>
      <c r="W97" s="2"/>
      <c r="X97" s="2">
        <f t="shared" si="2"/>
        <v>32.75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"4225", " - ", "SALES RETURN TAXABLE-TEST FORM")</f>
        <v xml:space="preserve">          4225 - SALES RETURN TAXABLE-TEST FORM</v>
      </c>
      <c r="C98" s="11"/>
      <c r="D98" s="2">
        <f t="shared" si="20"/>
        <v>0</v>
      </c>
      <c r="E98" s="2"/>
      <c r="F98" s="19"/>
      <c r="G98" s="2"/>
      <c r="H98" s="2">
        <f>-20.41</f>
        <v>-20.41</v>
      </c>
      <c r="I98" s="2"/>
      <c r="J98" s="19"/>
      <c r="K98" s="2"/>
      <c r="L98" s="2">
        <f t="shared" si="0"/>
        <v>20.41</v>
      </c>
      <c r="M98" s="2"/>
      <c r="N98" s="19">
        <f t="shared" si="1"/>
        <v>-1</v>
      </c>
      <c r="O98" s="11"/>
      <c r="P98" s="2">
        <f t="shared" si="21"/>
        <v>0</v>
      </c>
      <c r="Q98" s="2"/>
      <c r="R98" s="19"/>
      <c r="S98" s="2"/>
      <c r="T98" s="2">
        <f>-33.1</f>
        <v>-33.1</v>
      </c>
      <c r="U98" s="2"/>
      <c r="V98" s="19"/>
      <c r="W98" s="2"/>
      <c r="X98" s="2">
        <f t="shared" si="2"/>
        <v>33.1</v>
      </c>
      <c r="Y98" s="2"/>
      <c r="Z98" s="19">
        <f t="shared" si="3"/>
        <v>-1</v>
      </c>
    </row>
    <row r="99" spans="1:26" s="24" customFormat="1" hidden="1" outlineLevel="1" x14ac:dyDescent="0.25">
      <c r="A99" s="44"/>
      <c r="B99" s="11" t="str">
        <f>CONCATENATE("          ", "4226", " - ", "SALES RETURN TAXABLE-WRITING I")</f>
        <v xml:space="preserve">          4226 - SALES RETURN TAXABLE-WRITING I</v>
      </c>
      <c r="C99" s="11"/>
      <c r="D99" s="2">
        <f>-22.49</f>
        <v>-22.49</v>
      </c>
      <c r="E99" s="2"/>
      <c r="F99" s="19"/>
      <c r="G99" s="2"/>
      <c r="H99" s="2">
        <f>-184.86</f>
        <v>-184.86</v>
      </c>
      <c r="I99" s="2"/>
      <c r="J99" s="19"/>
      <c r="K99" s="2"/>
      <c r="L99" s="2">
        <f t="shared" si="0"/>
        <v>162.37</v>
      </c>
      <c r="M99" s="2"/>
      <c r="N99" s="19">
        <f t="shared" si="1"/>
        <v>-0.8783403656821378</v>
      </c>
      <c r="O99" s="11"/>
      <c r="P99" s="2">
        <f>-28.87</f>
        <v>-28.87</v>
      </c>
      <c r="Q99" s="2"/>
      <c r="R99" s="19"/>
      <c r="S99" s="2"/>
      <c r="T99" s="2">
        <f>-309.07</f>
        <v>-309.07</v>
      </c>
      <c r="U99" s="2"/>
      <c r="V99" s="19"/>
      <c r="W99" s="2"/>
      <c r="X99" s="2">
        <f t="shared" si="2"/>
        <v>280.2</v>
      </c>
      <c r="Y99" s="2"/>
      <c r="Z99" s="19">
        <f t="shared" si="3"/>
        <v>-0.90659073996182094</v>
      </c>
    </row>
    <row r="100" spans="1:26" s="24" customFormat="1" hidden="1" outlineLevel="1" x14ac:dyDescent="0.25">
      <c r="A100" s="44"/>
      <c r="B100" s="11" t="str">
        <f>CONCATENATE("          ", "4227", " - ", "SALES RETURN TAXABLE-SCHOOL SU")</f>
        <v xml:space="preserve">          4227 - SALES RETURN TAXABLE-SCHOOL SU</v>
      </c>
      <c r="C100" s="11"/>
      <c r="D100" s="2">
        <f>-152.29</f>
        <v>-152.29</v>
      </c>
      <c r="E100" s="2"/>
      <c r="F100" s="19"/>
      <c r="G100" s="2"/>
      <c r="H100" s="2">
        <f>-2805.04</f>
        <v>-2805.04</v>
      </c>
      <c r="I100" s="2"/>
      <c r="J100" s="19"/>
      <c r="K100" s="2"/>
      <c r="L100" s="2">
        <f t="shared" si="0"/>
        <v>2652.75</v>
      </c>
      <c r="M100" s="2"/>
      <c r="N100" s="19">
        <f t="shared" si="1"/>
        <v>-0.94570843909534263</v>
      </c>
      <c r="O100" s="11"/>
      <c r="P100" s="2">
        <f>-568.67</f>
        <v>-568.66999999999996</v>
      </c>
      <c r="Q100" s="2"/>
      <c r="R100" s="19"/>
      <c r="S100" s="2"/>
      <c r="T100" s="2">
        <f>-4501.63</f>
        <v>-4501.63</v>
      </c>
      <c r="U100" s="2"/>
      <c r="V100" s="19"/>
      <c r="W100" s="2"/>
      <c r="X100" s="2">
        <f t="shared" si="2"/>
        <v>3932.96</v>
      </c>
      <c r="Y100" s="2"/>
      <c r="Z100" s="19">
        <f t="shared" si="3"/>
        <v>-0.87367464673907003</v>
      </c>
    </row>
    <row r="101" spans="1:26" s="24" customFormat="1" hidden="1" outlineLevel="1" x14ac:dyDescent="0.25">
      <c r="A101" s="44"/>
      <c r="B101" s="11" t="str">
        <f>CONCATENATE("          ", "4228", " - ", "SALES RETURN TAXABLE-ART/TECH")</f>
        <v xml:space="preserve">          4228 - SALES RETURN TAXABLE-ART/TECH</v>
      </c>
      <c r="C101" s="11"/>
      <c r="D101" s="2">
        <f>-57.76</f>
        <v>-57.76</v>
      </c>
      <c r="E101" s="2"/>
      <c r="F101" s="19"/>
      <c r="G101" s="2"/>
      <c r="H101" s="2">
        <f>-1058.54</f>
        <v>-1058.54</v>
      </c>
      <c r="I101" s="2"/>
      <c r="J101" s="19"/>
      <c r="K101" s="2"/>
      <c r="L101" s="2">
        <f t="shared" si="0"/>
        <v>1000.78</v>
      </c>
      <c r="M101" s="2"/>
      <c r="N101" s="19">
        <f t="shared" si="1"/>
        <v>-0.94543427740094843</v>
      </c>
      <c r="O101" s="11"/>
      <c r="P101" s="2">
        <f>-222.2</f>
        <v>-222.2</v>
      </c>
      <c r="Q101" s="2"/>
      <c r="R101" s="19"/>
      <c r="S101" s="2"/>
      <c r="T101" s="2">
        <f>-1927.27</f>
        <v>-1927.27</v>
      </c>
      <c r="U101" s="2"/>
      <c r="V101" s="19"/>
      <c r="W101" s="2"/>
      <c r="X101" s="2">
        <f t="shared" si="2"/>
        <v>1705.07</v>
      </c>
      <c r="Y101" s="2"/>
      <c r="Z101" s="19">
        <f t="shared" si="3"/>
        <v>-0.88470738401988303</v>
      </c>
    </row>
    <row r="102" spans="1:26" s="24" customFormat="1" hidden="1" outlineLevel="1" x14ac:dyDescent="0.25">
      <c r="A102" s="44"/>
      <c r="B102" s="11" t="str">
        <f>CONCATENATE("          ", "4240", " - ", "SALES RETURN TAXABLE-LOGO CLOT")</f>
        <v xml:space="preserve">          4240 - SALES RETURN TAXABLE-LOGO CLOT</v>
      </c>
      <c r="C102" s="11"/>
      <c r="D102" s="2">
        <f>-3453.14</f>
        <v>-3453.14</v>
      </c>
      <c r="E102" s="2"/>
      <c r="F102" s="19"/>
      <c r="G102" s="2"/>
      <c r="H102" s="2">
        <f>-9538.49</f>
        <v>-9538.49</v>
      </c>
      <c r="I102" s="2"/>
      <c r="J102" s="19"/>
      <c r="K102" s="2"/>
      <c r="L102" s="2">
        <f t="shared" si="0"/>
        <v>6085.35</v>
      </c>
      <c r="M102" s="2"/>
      <c r="N102" s="19">
        <f t="shared" si="1"/>
        <v>-0.63797833829044226</v>
      </c>
      <c r="O102" s="11"/>
      <c r="P102" s="2">
        <f>-11609.96</f>
        <v>-11609.96</v>
      </c>
      <c r="Q102" s="2"/>
      <c r="R102" s="19"/>
      <c r="S102" s="2"/>
      <c r="T102" s="2">
        <f>-20792.98</f>
        <v>-20792.98</v>
      </c>
      <c r="U102" s="2"/>
      <c r="V102" s="19"/>
      <c r="W102" s="2"/>
      <c r="X102" s="2">
        <f t="shared" si="2"/>
        <v>9183.02</v>
      </c>
      <c r="Y102" s="2"/>
      <c r="Z102" s="19">
        <f t="shared" si="3"/>
        <v>-0.4416403997887749</v>
      </c>
    </row>
    <row r="103" spans="1:26" s="24" customFormat="1" hidden="1" outlineLevel="1" x14ac:dyDescent="0.25">
      <c r="A103" s="44"/>
      <c r="B103" s="11" t="str">
        <f>CONCATENATE("          ", "4241", " - ", "SALES RETURN TAXABLE-LOGO GIFT")</f>
        <v xml:space="preserve">          4241 - SALES RETURN TAXABLE-LOGO GIFT</v>
      </c>
      <c r="C103" s="11"/>
      <c r="D103" s="2">
        <f>-988.92</f>
        <v>-988.92</v>
      </c>
      <c r="E103" s="2"/>
      <c r="F103" s="19"/>
      <c r="G103" s="2"/>
      <c r="H103" s="2">
        <f>-700.87</f>
        <v>-700.87</v>
      </c>
      <c r="I103" s="2"/>
      <c r="J103" s="19"/>
      <c r="K103" s="2"/>
      <c r="L103" s="2">
        <f t="shared" si="0"/>
        <v>-288.04999999999995</v>
      </c>
      <c r="M103" s="2"/>
      <c r="N103" s="19">
        <f t="shared" si="1"/>
        <v>0.41098919913821386</v>
      </c>
      <c r="O103" s="11"/>
      <c r="P103" s="2">
        <f>-2317.11</f>
        <v>-2317.11</v>
      </c>
      <c r="Q103" s="2"/>
      <c r="R103" s="19"/>
      <c r="S103" s="2"/>
      <c r="T103" s="2">
        <f>-2390.88</f>
        <v>-2390.88</v>
      </c>
      <c r="U103" s="2"/>
      <c r="V103" s="19"/>
      <c r="W103" s="2"/>
      <c r="X103" s="2">
        <f t="shared" si="2"/>
        <v>73.769999999999982</v>
      </c>
      <c r="Y103" s="2"/>
      <c r="Z103" s="19">
        <f t="shared" si="3"/>
        <v>-3.0854748042561726E-2</v>
      </c>
    </row>
    <row r="104" spans="1:26" s="24" customFormat="1" hidden="1" outlineLevel="1" x14ac:dyDescent="0.25">
      <c r="A104" s="44"/>
      <c r="B104" s="11" t="str">
        <f>CONCATENATE("          ", "4242", " - ", "SALES RETURN TAXABLE-EVERYDAY")</f>
        <v xml:space="preserve">          4242 - SALES RETURN TAXABLE-EVERYDAY</v>
      </c>
      <c r="C104" s="11"/>
      <c r="D104" s="2">
        <f>-405.07</f>
        <v>-405.07</v>
      </c>
      <c r="E104" s="2"/>
      <c r="F104" s="19"/>
      <c r="G104" s="2"/>
      <c r="H104" s="2">
        <f>-169.66</f>
        <v>-169.66</v>
      </c>
      <c r="I104" s="2"/>
      <c r="J104" s="19"/>
      <c r="K104" s="2"/>
      <c r="L104" s="2">
        <f t="shared" si="0"/>
        <v>-235.41</v>
      </c>
      <c r="M104" s="2"/>
      <c r="N104" s="19">
        <f t="shared" si="1"/>
        <v>1.3875397854532594</v>
      </c>
      <c r="O104" s="11"/>
      <c r="P104" s="2">
        <f>-1054.56</f>
        <v>-1054.56</v>
      </c>
      <c r="Q104" s="2"/>
      <c r="R104" s="19"/>
      <c r="S104" s="2"/>
      <c r="T104" s="2">
        <f>-994.47</f>
        <v>-994.47</v>
      </c>
      <c r="U104" s="2"/>
      <c r="V104" s="19"/>
      <c r="W104" s="2"/>
      <c r="X104" s="2">
        <f t="shared" si="2"/>
        <v>-60.089999999999918</v>
      </c>
      <c r="Y104" s="2"/>
      <c r="Z104" s="19">
        <f t="shared" si="3"/>
        <v>6.0424145524751796E-2</v>
      </c>
    </row>
    <row r="105" spans="1:26" s="24" customFormat="1" hidden="1" outlineLevel="1" x14ac:dyDescent="0.25">
      <c r="A105" s="44"/>
      <c r="B105" s="11" t="str">
        <f>CONCATENATE("          ", "4243", " - ", "SALES RETURN TAXABLE-CARDS")</f>
        <v xml:space="preserve">          4243 - SALES RETURN TAXABLE-CARDS</v>
      </c>
      <c r="C105" s="11"/>
      <c r="D105" s="2">
        <f>-59.94</f>
        <v>-59.94</v>
      </c>
      <c r="E105" s="2"/>
      <c r="F105" s="19"/>
      <c r="G105" s="2"/>
      <c r="H105" s="2">
        <f>-4.5</f>
        <v>-4.5</v>
      </c>
      <c r="I105" s="2"/>
      <c r="J105" s="19"/>
      <c r="K105" s="2"/>
      <c r="L105" s="2">
        <f t="shared" si="0"/>
        <v>-55.44</v>
      </c>
      <c r="M105" s="2"/>
      <c r="N105" s="19">
        <f t="shared" si="1"/>
        <v>12.32</v>
      </c>
      <c r="O105" s="11"/>
      <c r="P105" s="2">
        <f>-153.37</f>
        <v>-153.37</v>
      </c>
      <c r="Q105" s="2"/>
      <c r="R105" s="19"/>
      <c r="S105" s="2"/>
      <c r="T105" s="2">
        <f>-4.5</f>
        <v>-4.5</v>
      </c>
      <c r="U105" s="2"/>
      <c r="V105" s="19"/>
      <c r="W105" s="2"/>
      <c r="X105" s="2">
        <f t="shared" si="2"/>
        <v>-148.87</v>
      </c>
      <c r="Y105" s="2"/>
      <c r="Z105" s="19">
        <f t="shared" si="3"/>
        <v>33.082222222222221</v>
      </c>
    </row>
    <row r="106" spans="1:26" s="24" customFormat="1" hidden="1" outlineLevel="1" x14ac:dyDescent="0.25">
      <c r="A106" s="44"/>
      <c r="B106" s="11" t="str">
        <f>CONCATENATE("          ", "4244", " - ", "SALES RETURN TAXABLE-ACCESSORI")</f>
        <v xml:space="preserve">          4244 - SALES RETURN TAXABLE-ACCESSORI</v>
      </c>
      <c r="C106" s="11"/>
      <c r="D106" s="2">
        <f>-60</f>
        <v>-60</v>
      </c>
      <c r="E106" s="2"/>
      <c r="F106" s="19"/>
      <c r="G106" s="2"/>
      <c r="H106" s="2">
        <f>-704.04</f>
        <v>-704.04</v>
      </c>
      <c r="I106" s="2"/>
      <c r="J106" s="19"/>
      <c r="K106" s="2"/>
      <c r="L106" s="2">
        <f t="shared" si="0"/>
        <v>644.04</v>
      </c>
      <c r="M106" s="2"/>
      <c r="N106" s="19">
        <f t="shared" si="1"/>
        <v>-0.91477756945628086</v>
      </c>
      <c r="O106" s="11"/>
      <c r="P106" s="2">
        <f>-410.99</f>
        <v>-410.99</v>
      </c>
      <c r="Q106" s="2"/>
      <c r="R106" s="19"/>
      <c r="S106" s="2"/>
      <c r="T106" s="2">
        <f>-1254.51</f>
        <v>-1254.51</v>
      </c>
      <c r="U106" s="2"/>
      <c r="V106" s="19"/>
      <c r="W106" s="2"/>
      <c r="X106" s="2">
        <f t="shared" si="2"/>
        <v>843.52</v>
      </c>
      <c r="Y106" s="2"/>
      <c r="Z106" s="19">
        <f t="shared" si="3"/>
        <v>-0.67239001681931587</v>
      </c>
    </row>
    <row r="107" spans="1:26" s="24" customFormat="1" hidden="1" outlineLevel="1" x14ac:dyDescent="0.25">
      <c r="A107" s="44"/>
      <c r="B107" s="11" t="str">
        <f>CONCATENATE("          ", "4245", " - ", "SALES RETURN TAXABLE-SPECIAL O")</f>
        <v xml:space="preserve">          4245 - SALES RETURN TAXABLE-SPECIAL O</v>
      </c>
      <c r="C107" s="11"/>
      <c r="D107" s="2">
        <f>-3.99</f>
        <v>-3.99</v>
      </c>
      <c r="E107" s="2"/>
      <c r="F107" s="19"/>
      <c r="G107" s="2"/>
      <c r="H107" s="2">
        <f>-71.98</f>
        <v>-71.98</v>
      </c>
      <c r="I107" s="2"/>
      <c r="J107" s="19"/>
      <c r="K107" s="2"/>
      <c r="L107" s="2">
        <f t="shared" si="0"/>
        <v>67.990000000000009</v>
      </c>
      <c r="M107" s="2"/>
      <c r="N107" s="19">
        <f t="shared" si="1"/>
        <v>-0.94456793553764939</v>
      </c>
      <c r="O107" s="11"/>
      <c r="P107" s="2">
        <f>-1182.95</f>
        <v>-1182.95</v>
      </c>
      <c r="Q107" s="2"/>
      <c r="R107" s="19"/>
      <c r="S107" s="2"/>
      <c r="T107" s="2">
        <f>-91.96</f>
        <v>-91.96</v>
      </c>
      <c r="U107" s="2"/>
      <c r="V107" s="19"/>
      <c r="W107" s="2"/>
      <c r="X107" s="2">
        <f t="shared" si="2"/>
        <v>-1090.99</v>
      </c>
      <c r="Y107" s="2"/>
      <c r="Z107" s="19">
        <f t="shared" si="3"/>
        <v>11.863745106568073</v>
      </c>
    </row>
    <row r="108" spans="1:26" s="24" customFormat="1" hidden="1" outlineLevel="1" x14ac:dyDescent="0.25">
      <c r="A108" s="44"/>
      <c r="B108" s="11" t="str">
        <f>CONCATENATE("          ", "4281", " - ", "SALES RETURN TAXABLE-ELECTRONI")</f>
        <v xml:space="preserve">          4281 - SALES RETURN TAXABLE-ELECTRONI</v>
      </c>
      <c r="C108" s="11"/>
      <c r="D108" s="2">
        <f>-557.94</f>
        <v>-557.94000000000005</v>
      </c>
      <c r="E108" s="2"/>
      <c r="F108" s="19"/>
      <c r="G108" s="2"/>
      <c r="H108" s="2">
        <f>-1064.71</f>
        <v>-1064.71</v>
      </c>
      <c r="I108" s="2"/>
      <c r="J108" s="19"/>
      <c r="K108" s="2"/>
      <c r="L108" s="2">
        <f t="shared" si="0"/>
        <v>506.77</v>
      </c>
      <c r="M108" s="2"/>
      <c r="N108" s="19">
        <f t="shared" si="1"/>
        <v>-0.47596998243653199</v>
      </c>
      <c r="O108" s="11"/>
      <c r="P108" s="2">
        <f>-14274.16</f>
        <v>-14274.16</v>
      </c>
      <c r="Q108" s="2"/>
      <c r="R108" s="19"/>
      <c r="S108" s="2"/>
      <c r="T108" s="2">
        <f>-3299.46</f>
        <v>-3299.46</v>
      </c>
      <c r="U108" s="2"/>
      <c r="V108" s="19"/>
      <c r="W108" s="2"/>
      <c r="X108" s="2">
        <f t="shared" si="2"/>
        <v>-10974.7</v>
      </c>
      <c r="Y108" s="2"/>
      <c r="Z108" s="19">
        <f t="shared" si="3"/>
        <v>3.3262109557321504</v>
      </c>
    </row>
    <row r="109" spans="1:26" s="24" customFormat="1" hidden="1" outlineLevel="1" x14ac:dyDescent="0.25">
      <c r="A109" s="44"/>
      <c r="B109" s="11" t="str">
        <f>CONCATENATE("          ", "4282", " - ", "SALES RETURN TAXABLE-COMPUTER")</f>
        <v xml:space="preserve">          4282 - SALES RETURN TAXABLE-COMPUTER</v>
      </c>
      <c r="C109" s="11"/>
      <c r="D109" s="2">
        <f>-14636</f>
        <v>-14636</v>
      </c>
      <c r="E109" s="2"/>
      <c r="F109" s="19"/>
      <c r="G109" s="2"/>
      <c r="H109" s="2">
        <f>-27457.13</f>
        <v>-27457.13</v>
      </c>
      <c r="I109" s="2"/>
      <c r="J109" s="19"/>
      <c r="K109" s="2"/>
      <c r="L109" s="2">
        <f t="shared" si="0"/>
        <v>12821.130000000001</v>
      </c>
      <c r="M109" s="2"/>
      <c r="N109" s="19">
        <f t="shared" si="1"/>
        <v>-0.46695084300507739</v>
      </c>
      <c r="O109" s="11"/>
      <c r="P109" s="2">
        <f>-48285</f>
        <v>-48285</v>
      </c>
      <c r="Q109" s="2"/>
      <c r="R109" s="19"/>
      <c r="S109" s="2"/>
      <c r="T109" s="2">
        <f>-147646.85</f>
        <v>-147646.85</v>
      </c>
      <c r="U109" s="2"/>
      <c r="V109" s="19"/>
      <c r="W109" s="2"/>
      <c r="X109" s="2">
        <f t="shared" si="2"/>
        <v>99361.85</v>
      </c>
      <c r="Y109" s="2"/>
      <c r="Z109" s="19">
        <f t="shared" si="3"/>
        <v>-0.67296965698895705</v>
      </c>
    </row>
    <row r="110" spans="1:26" s="24" customFormat="1" hidden="1" outlineLevel="1" x14ac:dyDescent="0.25">
      <c r="A110" s="44"/>
      <c r="B110" s="11" t="str">
        <f>CONCATENATE("          ", "4283", " - ", "SALES RETURN TAXABLE-COMPUTER")</f>
        <v xml:space="preserve">          4283 - SALES RETURN TAXABLE-COMPUTER</v>
      </c>
      <c r="C110" s="11"/>
      <c r="D110" s="2">
        <f>-483.9</f>
        <v>-483.9</v>
      </c>
      <c r="E110" s="2"/>
      <c r="F110" s="19"/>
      <c r="G110" s="2"/>
      <c r="H110" s="2">
        <f>-553.79</f>
        <v>-553.79</v>
      </c>
      <c r="I110" s="2"/>
      <c r="J110" s="19"/>
      <c r="K110" s="2"/>
      <c r="L110" s="2">
        <f t="shared" si="0"/>
        <v>69.889999999999986</v>
      </c>
      <c r="M110" s="2"/>
      <c r="N110" s="19">
        <f t="shared" si="1"/>
        <v>-0.12620307336716083</v>
      </c>
      <c r="O110" s="11"/>
      <c r="P110" s="2">
        <f>-2002.73</f>
        <v>-2002.73</v>
      </c>
      <c r="Q110" s="2"/>
      <c r="R110" s="19"/>
      <c r="S110" s="2"/>
      <c r="T110" s="2">
        <f>-1284.48</f>
        <v>-1284.48</v>
      </c>
      <c r="U110" s="2"/>
      <c r="V110" s="19"/>
      <c r="W110" s="2"/>
      <c r="X110" s="2">
        <f t="shared" si="2"/>
        <v>-718.25</v>
      </c>
      <c r="Y110" s="2"/>
      <c r="Z110" s="19">
        <f t="shared" si="3"/>
        <v>0.55917569755854513</v>
      </c>
    </row>
    <row r="111" spans="1:26" s="24" customFormat="1" hidden="1" outlineLevel="1" x14ac:dyDescent="0.25">
      <c r="A111" s="44"/>
      <c r="B111" s="11" t="str">
        <f>CONCATENATE("          ", "4284", " - ", "SALES RETURN TAXABLE-SOFTWARE")</f>
        <v xml:space="preserve">          4284 - SALES RETURN TAXABLE-SOFTWARE</v>
      </c>
      <c r="C111" s="11"/>
      <c r="D111" s="2">
        <f>0</f>
        <v>0</v>
      </c>
      <c r="E111" s="2"/>
      <c r="F111" s="19"/>
      <c r="G111" s="2"/>
      <c r="H111" s="2">
        <f t="shared" ref="H111:H112" si="22">0</f>
        <v>0</v>
      </c>
      <c r="I111" s="2"/>
      <c r="J111" s="19"/>
      <c r="K111" s="2"/>
      <c r="L111" s="2">
        <f t="shared" si="0"/>
        <v>0</v>
      </c>
      <c r="M111" s="2"/>
      <c r="N111" s="19">
        <f t="shared" si="1"/>
        <v>0</v>
      </c>
      <c r="O111" s="11"/>
      <c r="P111" s="2">
        <f>0</f>
        <v>0</v>
      </c>
      <c r="Q111" s="2"/>
      <c r="R111" s="19"/>
      <c r="S111" s="2"/>
      <c r="T111" s="2">
        <f>-129</f>
        <v>-129</v>
      </c>
      <c r="U111" s="2"/>
      <c r="V111" s="19"/>
      <c r="W111" s="2"/>
      <c r="X111" s="2">
        <f t="shared" si="2"/>
        <v>129</v>
      </c>
      <c r="Y111" s="2"/>
      <c r="Z111" s="19">
        <f t="shared" si="3"/>
        <v>-1</v>
      </c>
    </row>
    <row r="112" spans="1:26" s="24" customFormat="1" hidden="1" outlineLevel="1" x14ac:dyDescent="0.25">
      <c r="A112" s="44"/>
      <c r="B112" s="11" t="str">
        <f>CONCATENATE("          ", "4285", " - ", "SALES RETURN TAXABLE-SOFTWARE")</f>
        <v xml:space="preserve">          4285 - SALES RETURN TAXABLE-SOFTWARE</v>
      </c>
      <c r="C112" s="11"/>
      <c r="D112" s="2">
        <f>-552.98</f>
        <v>-552.98</v>
      </c>
      <c r="E112" s="2"/>
      <c r="F112" s="19"/>
      <c r="G112" s="2"/>
      <c r="H112" s="2">
        <f t="shared" si="22"/>
        <v>0</v>
      </c>
      <c r="I112" s="2"/>
      <c r="J112" s="19"/>
      <c r="K112" s="2"/>
      <c r="L112" s="2">
        <f t="shared" si="0"/>
        <v>-552.98</v>
      </c>
      <c r="M112" s="2"/>
      <c r="N112" s="19">
        <f t="shared" si="1"/>
        <v>0</v>
      </c>
      <c r="O112" s="11"/>
      <c r="P112" s="2">
        <f>-552.98</f>
        <v>-552.98</v>
      </c>
      <c r="Q112" s="2"/>
      <c r="R112" s="19"/>
      <c r="S112" s="2"/>
      <c r="T112" s="2">
        <f>-406.99</f>
        <v>-406.99</v>
      </c>
      <c r="U112" s="2"/>
      <c r="V112" s="19"/>
      <c r="W112" s="2"/>
      <c r="X112" s="2">
        <f t="shared" si="2"/>
        <v>-145.99</v>
      </c>
      <c r="Y112" s="2"/>
      <c r="Z112" s="19">
        <f t="shared" si="3"/>
        <v>0.35870660212781641</v>
      </c>
    </row>
    <row r="113" spans="1:26" s="24" customFormat="1" hidden="1" outlineLevel="1" x14ac:dyDescent="0.25">
      <c r="A113" s="44"/>
      <c r="B113" s="11" t="str">
        <f>CONCATENATE("          ", "4286", " - ", "SALES RETURN TAXABLE-COMPUTER")</f>
        <v xml:space="preserve">          4286 - SALES RETURN TAXABLE-COMPUTER</v>
      </c>
      <c r="C113" s="11"/>
      <c r="D113" s="2">
        <f>-258.44</f>
        <v>-258.44</v>
      </c>
      <c r="E113" s="2"/>
      <c r="F113" s="19"/>
      <c r="G113" s="2"/>
      <c r="H113" s="2">
        <f>-962.59</f>
        <v>-962.59</v>
      </c>
      <c r="I113" s="2"/>
      <c r="J113" s="19"/>
      <c r="K113" s="2"/>
      <c r="L113" s="2">
        <f t="shared" si="0"/>
        <v>704.15000000000009</v>
      </c>
      <c r="M113" s="2"/>
      <c r="N113" s="19">
        <f t="shared" si="1"/>
        <v>-0.73151601408699451</v>
      </c>
      <c r="O113" s="11"/>
      <c r="P113" s="2">
        <f>-412.4</f>
        <v>-412.4</v>
      </c>
      <c r="Q113" s="2"/>
      <c r="R113" s="19"/>
      <c r="S113" s="2"/>
      <c r="T113" s="2">
        <f>-2143.74</f>
        <v>-2143.7399999999998</v>
      </c>
      <c r="U113" s="2"/>
      <c r="V113" s="19"/>
      <c r="W113" s="2"/>
      <c r="X113" s="2">
        <f t="shared" si="2"/>
        <v>1731.3399999999997</v>
      </c>
      <c r="Y113" s="2"/>
      <c r="Z113" s="19">
        <f t="shared" si="3"/>
        <v>-0.80762592478565487</v>
      </c>
    </row>
    <row r="114" spans="1:26" s="24" customFormat="1" hidden="1" outlineLevel="1" x14ac:dyDescent="0.25">
      <c r="A114" s="44"/>
      <c r="B114" s="11" t="str">
        <f>CONCATENATE("          ", "4292", " - ", "SALES RETURN TAXABLE-GRAD MERC")</f>
        <v xml:space="preserve">          4292 - SALES RETURN TAXABLE-GRAD MERC</v>
      </c>
      <c r="C114" s="11"/>
      <c r="D114" s="2">
        <f t="shared" ref="D114:D115" si="23">0</f>
        <v>0</v>
      </c>
      <c r="E114" s="2"/>
      <c r="F114" s="19"/>
      <c r="G114" s="2"/>
      <c r="H114" s="2">
        <f t="shared" ref="H114:H115" si="24">0</f>
        <v>0</v>
      </c>
      <c r="I114" s="2"/>
      <c r="J114" s="19"/>
      <c r="K114" s="2"/>
      <c r="L114" s="2">
        <f t="shared" si="0"/>
        <v>0</v>
      </c>
      <c r="M114" s="2"/>
      <c r="N114" s="19">
        <f t="shared" si="1"/>
        <v>0</v>
      </c>
      <c r="O114" s="11"/>
      <c r="P114" s="2">
        <f t="shared" ref="P114:P115" si="25">0</f>
        <v>0</v>
      </c>
      <c r="Q114" s="2"/>
      <c r="R114" s="19"/>
      <c r="S114" s="2"/>
      <c r="T114" s="2">
        <f>-369.15</f>
        <v>-369.15</v>
      </c>
      <c r="U114" s="2"/>
      <c r="V114" s="19"/>
      <c r="W114" s="2"/>
      <c r="X114" s="2">
        <f t="shared" si="2"/>
        <v>369.15</v>
      </c>
      <c r="Y114" s="2"/>
      <c r="Z114" s="19">
        <f t="shared" si="3"/>
        <v>-1</v>
      </c>
    </row>
    <row r="115" spans="1:26" s="24" customFormat="1" hidden="1" outlineLevel="1" x14ac:dyDescent="0.25">
      <c r="A115" s="44"/>
      <c r="B115" s="11" t="str">
        <f>CONCATENATE("          ", "4295", " - ", "SALES RETURN TAXABLE-CUSTOMER")</f>
        <v xml:space="preserve">          4295 - SALES RETURN TAXABLE-CUSTOMER</v>
      </c>
      <c r="C115" s="11"/>
      <c r="D115" s="2">
        <f t="shared" si="23"/>
        <v>0</v>
      </c>
      <c r="E115" s="2"/>
      <c r="F115" s="19"/>
      <c r="G115" s="2"/>
      <c r="H115" s="2">
        <f t="shared" si="24"/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 t="shared" si="25"/>
        <v>0</v>
      </c>
      <c r="Q115" s="2"/>
      <c r="R115" s="19"/>
      <c r="S115" s="2"/>
      <c r="T115" s="2">
        <f>--0.99</f>
        <v>0.99</v>
      </c>
      <c r="U115" s="2"/>
      <c r="V115" s="19"/>
      <c r="W115" s="2"/>
      <c r="X115" s="2">
        <f t="shared" si="2"/>
        <v>-0.99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"4301", " - ", "SALES RETURN NON TAXABLE-NEW T")</f>
        <v xml:space="preserve">          4301 - SALES RETURN NON TAXABLE-NEW T</v>
      </c>
      <c r="C116" s="11"/>
      <c r="D116" s="2">
        <f>-1820.43</f>
        <v>-1820.43</v>
      </c>
      <c r="E116" s="2"/>
      <c r="F116" s="19"/>
      <c r="G116" s="2"/>
      <c r="H116" s="2">
        <f>-3805.44</f>
        <v>-3805.44</v>
      </c>
      <c r="I116" s="2"/>
      <c r="J116" s="19"/>
      <c r="K116" s="2"/>
      <c r="L116" s="2">
        <f t="shared" si="0"/>
        <v>1985.01</v>
      </c>
      <c r="M116" s="2"/>
      <c r="N116" s="19">
        <f t="shared" si="1"/>
        <v>-0.52162430625630674</v>
      </c>
      <c r="O116" s="11"/>
      <c r="P116" s="2">
        <f>-1840.68</f>
        <v>-1840.68</v>
      </c>
      <c r="Q116" s="2"/>
      <c r="R116" s="19"/>
      <c r="S116" s="2"/>
      <c r="T116" s="2">
        <f>-6725.22</f>
        <v>-6725.22</v>
      </c>
      <c r="U116" s="2"/>
      <c r="V116" s="19"/>
      <c r="W116" s="2"/>
      <c r="X116" s="2">
        <f t="shared" si="2"/>
        <v>4884.54</v>
      </c>
      <c r="Y116" s="2"/>
      <c r="Z116" s="19">
        <f t="shared" si="3"/>
        <v>-0.72630189049577554</v>
      </c>
    </row>
    <row r="117" spans="1:26" s="24" customFormat="1" hidden="1" outlineLevel="1" x14ac:dyDescent="0.25">
      <c r="A117" s="44"/>
      <c r="B117" s="11" t="str">
        <f>CONCATENATE("          ", "4302", " - ", "SALES RETURN NON TAXABLE-TEXT")</f>
        <v xml:space="preserve">          4302 - SALES RETURN NON TAXABLE-TEXT</v>
      </c>
      <c r="C117" s="11"/>
      <c r="D117" s="2">
        <f>-737.24</f>
        <v>-737.24</v>
      </c>
      <c r="E117" s="2"/>
      <c r="F117" s="19"/>
      <c r="G117" s="2"/>
      <c r="H117" s="2">
        <f>-398.45</f>
        <v>-398.45</v>
      </c>
      <c r="I117" s="2"/>
      <c r="J117" s="19"/>
      <c r="K117" s="2"/>
      <c r="L117" s="2">
        <f t="shared" si="0"/>
        <v>-338.79</v>
      </c>
      <c r="M117" s="2"/>
      <c r="N117" s="19">
        <f t="shared" si="1"/>
        <v>0.85026979545739745</v>
      </c>
      <c r="O117" s="11"/>
      <c r="P117" s="2">
        <f>-1147.08</f>
        <v>-1147.08</v>
      </c>
      <c r="Q117" s="2"/>
      <c r="R117" s="19"/>
      <c r="S117" s="2"/>
      <c r="T117" s="2">
        <f>-648.7</f>
        <v>-648.70000000000005</v>
      </c>
      <c r="U117" s="2"/>
      <c r="V117" s="19"/>
      <c r="W117" s="2"/>
      <c r="X117" s="2">
        <f t="shared" si="2"/>
        <v>-498.37999999999988</v>
      </c>
      <c r="Y117" s="2"/>
      <c r="Z117" s="19">
        <f t="shared" si="3"/>
        <v>0.76827501156158451</v>
      </c>
    </row>
    <row r="118" spans="1:26" s="24" customFormat="1" hidden="1" outlineLevel="1" x14ac:dyDescent="0.25">
      <c r="A118" s="44"/>
      <c r="B118" s="11" t="str">
        <f>CONCATENATE("          ", "4303", " - ", "SALES RETURN NON-TAXABLE-RENTA")</f>
        <v xml:space="preserve">          4303 - SALES RETURN NON-TAXABLE-RENTA</v>
      </c>
      <c r="C118" s="11"/>
      <c r="D118" s="2">
        <f>0</f>
        <v>0</v>
      </c>
      <c r="E118" s="2"/>
      <c r="F118" s="19"/>
      <c r="G118" s="2"/>
      <c r="H118" s="2">
        <f>-184.99</f>
        <v>-184.99</v>
      </c>
      <c r="I118" s="2"/>
      <c r="J118" s="19"/>
      <c r="K118" s="2"/>
      <c r="L118" s="2">
        <f t="shared" si="0"/>
        <v>184.99</v>
      </c>
      <c r="M118" s="2"/>
      <c r="N118" s="19">
        <f t="shared" si="1"/>
        <v>-1</v>
      </c>
      <c r="O118" s="11"/>
      <c r="P118" s="2">
        <f>0</f>
        <v>0</v>
      </c>
      <c r="Q118" s="2"/>
      <c r="R118" s="19"/>
      <c r="S118" s="2"/>
      <c r="T118" s="2">
        <f>-184.99</f>
        <v>-184.99</v>
      </c>
      <c r="U118" s="2"/>
      <c r="V118" s="19"/>
      <c r="W118" s="2"/>
      <c r="X118" s="2">
        <f t="shared" si="2"/>
        <v>184.99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"4304", " - ", "SALES RETURN NON TAXABLE-DIGIT")</f>
        <v xml:space="preserve">          4304 - SALES RETURN NON TAXABLE-DIGIT</v>
      </c>
      <c r="C119" s="11"/>
      <c r="D119" s="2">
        <f>-7456.63</f>
        <v>-7456.63</v>
      </c>
      <c r="E119" s="2"/>
      <c r="F119" s="19"/>
      <c r="G119" s="2"/>
      <c r="H119" s="2">
        <f>-4048.76</f>
        <v>-4048.76</v>
      </c>
      <c r="I119" s="2"/>
      <c r="J119" s="19"/>
      <c r="K119" s="2"/>
      <c r="L119" s="2">
        <f t="shared" si="0"/>
        <v>-3407.87</v>
      </c>
      <c r="M119" s="2"/>
      <c r="N119" s="19">
        <f t="shared" si="1"/>
        <v>0.84170709056600035</v>
      </c>
      <c r="O119" s="11"/>
      <c r="P119" s="2">
        <f>-13409.36</f>
        <v>-13409.36</v>
      </c>
      <c r="Q119" s="2"/>
      <c r="R119" s="19"/>
      <c r="S119" s="2"/>
      <c r="T119" s="2">
        <f>-12515.31</f>
        <v>-12515.31</v>
      </c>
      <c r="U119" s="2"/>
      <c r="V119" s="19"/>
      <c r="W119" s="2"/>
      <c r="X119" s="2">
        <f t="shared" si="2"/>
        <v>-894.05000000000109</v>
      </c>
      <c r="Y119" s="2"/>
      <c r="Z119" s="19">
        <f t="shared" si="3"/>
        <v>7.1436504569203724E-2</v>
      </c>
    </row>
    <row r="120" spans="1:26" s="24" customFormat="1" hidden="1" outlineLevel="1" x14ac:dyDescent="0.25">
      <c r="A120" s="44"/>
      <c r="B120" s="11" t="str">
        <f>CONCATENATE("          ", "4311", " - ", "SALES RETURN NON TAXABLE-NO VA")</f>
        <v xml:space="preserve">          4311 - SALES RETURN NON TAXABLE-NO VA</v>
      </c>
      <c r="C120" s="11"/>
      <c r="D120" s="2">
        <f t="shared" ref="D120:D121" si="26">0</f>
        <v>0</v>
      </c>
      <c r="E120" s="2"/>
      <c r="F120" s="19"/>
      <c r="G120" s="2"/>
      <c r="H120" s="2">
        <f>-276.9</f>
        <v>-276.89999999999998</v>
      </c>
      <c r="I120" s="2"/>
      <c r="J120" s="19"/>
      <c r="K120" s="2"/>
      <c r="L120" s="2">
        <f t="shared" si="0"/>
        <v>276.89999999999998</v>
      </c>
      <c r="M120" s="2"/>
      <c r="N120" s="19">
        <f t="shared" si="1"/>
        <v>-1</v>
      </c>
      <c r="O120" s="11"/>
      <c r="P120" s="2">
        <f t="shared" ref="P120:P121" si="27">0</f>
        <v>0</v>
      </c>
      <c r="Q120" s="2"/>
      <c r="R120" s="19"/>
      <c r="S120" s="2"/>
      <c r="T120" s="2">
        <f>-387.94</f>
        <v>-387.94</v>
      </c>
      <c r="U120" s="2"/>
      <c r="V120" s="19"/>
      <c r="W120" s="2"/>
      <c r="X120" s="2">
        <f t="shared" si="2"/>
        <v>387.94</v>
      </c>
      <c r="Y120" s="2"/>
      <c r="Z120" s="19">
        <f t="shared" si="3"/>
        <v>-1</v>
      </c>
    </row>
    <row r="121" spans="1:26" s="24" customFormat="1" hidden="1" outlineLevel="1" x14ac:dyDescent="0.25">
      <c r="A121" s="44"/>
      <c r="B121" s="11" t="str">
        <f>CONCATENATE("          ", "4327", " - ", "SALES RETURN NON TAXABLE-SCHOO")</f>
        <v xml:space="preserve">          4327 - SALES RETURN NON TAXABLE-SCHOO</v>
      </c>
      <c r="C121" s="11"/>
      <c r="D121" s="2">
        <f t="shared" si="26"/>
        <v>0</v>
      </c>
      <c r="E121" s="2"/>
      <c r="F121" s="19"/>
      <c r="G121" s="2"/>
      <c r="H121" s="2">
        <f>-8.29</f>
        <v>-8.2899999999999991</v>
      </c>
      <c r="I121" s="2"/>
      <c r="J121" s="19"/>
      <c r="K121" s="2"/>
      <c r="L121" s="2">
        <f t="shared" si="0"/>
        <v>8.2899999999999991</v>
      </c>
      <c r="M121" s="2"/>
      <c r="N121" s="19">
        <f t="shared" si="1"/>
        <v>-1</v>
      </c>
      <c r="O121" s="11"/>
      <c r="P121" s="2">
        <f t="shared" si="27"/>
        <v>0</v>
      </c>
      <c r="Q121" s="2"/>
      <c r="R121" s="19"/>
      <c r="S121" s="2"/>
      <c r="T121" s="2">
        <f>-21.87</f>
        <v>-21.87</v>
      </c>
      <c r="U121" s="2"/>
      <c r="V121" s="19"/>
      <c r="W121" s="2"/>
      <c r="X121" s="2">
        <f t="shared" si="2"/>
        <v>21.87</v>
      </c>
      <c r="Y121" s="2"/>
      <c r="Z121" s="19">
        <f t="shared" si="3"/>
        <v>-1</v>
      </c>
    </row>
    <row r="122" spans="1:26" s="24" customFormat="1" hidden="1" outlineLevel="1" x14ac:dyDescent="0.25">
      <c r="A122" s="44"/>
      <c r="B122" s="11" t="str">
        <f>CONCATENATE("          ", "4340", " - ", "SALES RETURN NON TAXABLE-LOGO")</f>
        <v xml:space="preserve">          4340 - SALES RETURN NON TAXABLE-LOGO</v>
      </c>
      <c r="C122" s="11"/>
      <c r="D122" s="2">
        <f>-36.9</f>
        <v>-36.9</v>
      </c>
      <c r="E122" s="2"/>
      <c r="F122" s="19"/>
      <c r="G122" s="2"/>
      <c r="H122" s="2">
        <f>-24.95</f>
        <v>-24.95</v>
      </c>
      <c r="I122" s="2"/>
      <c r="J122" s="19"/>
      <c r="K122" s="2"/>
      <c r="L122" s="2">
        <f t="shared" si="0"/>
        <v>-11.95</v>
      </c>
      <c r="M122" s="2"/>
      <c r="N122" s="19">
        <f t="shared" si="1"/>
        <v>0.47895791583166331</v>
      </c>
      <c r="O122" s="11"/>
      <c r="P122" s="2">
        <f>-541.04</f>
        <v>-541.04</v>
      </c>
      <c r="Q122" s="2"/>
      <c r="R122" s="19"/>
      <c r="S122" s="2"/>
      <c r="T122" s="2">
        <f>-293.45</f>
        <v>-293.45</v>
      </c>
      <c r="U122" s="2"/>
      <c r="V122" s="19"/>
      <c r="W122" s="2"/>
      <c r="X122" s="2">
        <f t="shared" si="2"/>
        <v>-247.58999999999997</v>
      </c>
      <c r="Y122" s="2"/>
      <c r="Z122" s="19">
        <f t="shared" si="3"/>
        <v>0.84372124723121478</v>
      </c>
    </row>
    <row r="123" spans="1:26" s="24" customFormat="1" hidden="1" outlineLevel="1" x14ac:dyDescent="0.25">
      <c r="A123" s="44"/>
      <c r="B123" s="11" t="str">
        <f>CONCATENATE("          ", "4341", " - ", "SALES RETURN NON TAXABLE-LOGO")</f>
        <v xml:space="preserve">          4341 - SALES RETURN NON TAXABLE-LOGO</v>
      </c>
      <c r="C123" s="11"/>
      <c r="D123" s="2">
        <f>-129.95</f>
        <v>-129.94999999999999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-129.94999999999999</v>
      </c>
      <c r="M123" s="2"/>
      <c r="N123" s="19">
        <f t="shared" si="1"/>
        <v>0</v>
      </c>
      <c r="O123" s="11"/>
      <c r="P123" s="2">
        <f>-146.9</f>
        <v>-146.9</v>
      </c>
      <c r="Q123" s="2"/>
      <c r="R123" s="19"/>
      <c r="S123" s="2"/>
      <c r="T123" s="2">
        <f>-3.95</f>
        <v>-3.95</v>
      </c>
      <c r="U123" s="2"/>
      <c r="V123" s="19"/>
      <c r="W123" s="2"/>
      <c r="X123" s="2">
        <f t="shared" si="2"/>
        <v>-142.95000000000002</v>
      </c>
      <c r="Y123" s="2"/>
      <c r="Z123" s="19">
        <f t="shared" si="3"/>
        <v>36.189873417721522</v>
      </c>
    </row>
    <row r="124" spans="1:26" s="24" customFormat="1" hidden="1" outlineLevel="1" x14ac:dyDescent="0.25">
      <c r="A124" s="44"/>
      <c r="B124" s="11" t="str">
        <f>CONCATENATE("          ", "4342", " - ", "SALES RETURN NON TAXABLE-EVERY")</f>
        <v xml:space="preserve">          4342 - SALES RETURN NON TAXABLE-EVERY</v>
      </c>
      <c r="C124" s="11"/>
      <c r="D124" s="2">
        <f>-24.95</f>
        <v>-24.95</v>
      </c>
      <c r="E124" s="2"/>
      <c r="F124" s="19"/>
      <c r="G124" s="2"/>
      <c r="H124" s="2">
        <f>-10</f>
        <v>-10</v>
      </c>
      <c r="I124" s="2"/>
      <c r="J124" s="19"/>
      <c r="K124" s="2"/>
      <c r="L124" s="2">
        <f t="shared" si="0"/>
        <v>-14.95</v>
      </c>
      <c r="M124" s="2"/>
      <c r="N124" s="19">
        <f t="shared" si="1"/>
        <v>1.4949999999999999</v>
      </c>
      <c r="O124" s="11"/>
      <c r="P124" s="2">
        <f>-118.7</f>
        <v>-118.7</v>
      </c>
      <c r="Q124" s="2"/>
      <c r="R124" s="19"/>
      <c r="S124" s="2"/>
      <c r="T124" s="2">
        <f>-10</f>
        <v>-10</v>
      </c>
      <c r="U124" s="2"/>
      <c r="V124" s="19"/>
      <c r="W124" s="2"/>
      <c r="X124" s="2">
        <f t="shared" si="2"/>
        <v>-108.7</v>
      </c>
      <c r="Y124" s="2"/>
      <c r="Z124" s="19">
        <f t="shared" si="3"/>
        <v>10.870000000000001</v>
      </c>
    </row>
    <row r="125" spans="1:26" s="24" customFormat="1" hidden="1" outlineLevel="1" x14ac:dyDescent="0.25">
      <c r="A125" s="44"/>
      <c r="B125" s="11" t="str">
        <f>CONCATENATE("          ", "4346", " - ", "SALES RETURN NON TAXABLE-COIN-")</f>
        <v xml:space="preserve">          4346 - SALES RETURN NON TAXABLE-COIN-</v>
      </c>
      <c r="C125" s="11"/>
      <c r="D125" s="2">
        <f>0</f>
        <v>0</v>
      </c>
      <c r="E125" s="2"/>
      <c r="F125" s="19"/>
      <c r="G125" s="2"/>
      <c r="H125" s="2">
        <f>0</f>
        <v>0</v>
      </c>
      <c r="I125" s="2"/>
      <c r="J125" s="19"/>
      <c r="K125" s="2"/>
      <c r="L125" s="2">
        <f t="shared" si="0"/>
        <v>0</v>
      </c>
      <c r="M125" s="2"/>
      <c r="N125" s="19">
        <f t="shared" si="1"/>
        <v>0</v>
      </c>
      <c r="O125" s="11"/>
      <c r="P125" s="2">
        <f>0</f>
        <v>0</v>
      </c>
      <c r="Q125" s="2"/>
      <c r="R125" s="19"/>
      <c r="S125" s="2"/>
      <c r="T125" s="2">
        <f>-8.15</f>
        <v>-8.15</v>
      </c>
      <c r="U125" s="2"/>
      <c r="V125" s="19"/>
      <c r="W125" s="2"/>
      <c r="X125" s="2">
        <f t="shared" si="2"/>
        <v>8.15</v>
      </c>
      <c r="Y125" s="2"/>
      <c r="Z125" s="19">
        <f t="shared" si="3"/>
        <v>-1</v>
      </c>
    </row>
    <row r="126" spans="1:26" s="24" customFormat="1" hidden="1" outlineLevel="1" x14ac:dyDescent="0.25">
      <c r="A126" s="44"/>
      <c r="B126" s="11" t="str">
        <f>CONCATENATE("          ", "4381", " - ", "SALES RETURN NON TAXABLE-ELECT")</f>
        <v xml:space="preserve">          4381 - SALES RETURN NON TAXABLE-ELECT</v>
      </c>
      <c r="C126" s="11"/>
      <c r="D126" s="2">
        <f>-249.95</f>
        <v>-249.95</v>
      </c>
      <c r="E126" s="2"/>
      <c r="F126" s="19"/>
      <c r="G126" s="2"/>
      <c r="H126" s="2">
        <f>-1279.84</f>
        <v>-1279.8399999999999</v>
      </c>
      <c r="I126" s="2"/>
      <c r="J126" s="19"/>
      <c r="K126" s="2"/>
      <c r="L126" s="2">
        <f t="shared" si="0"/>
        <v>1029.8899999999999</v>
      </c>
      <c r="M126" s="2"/>
      <c r="N126" s="19">
        <f t="shared" si="1"/>
        <v>-0.80470215026878356</v>
      </c>
      <c r="O126" s="11"/>
      <c r="P126" s="2">
        <f>-5624.15</f>
        <v>-5624.15</v>
      </c>
      <c r="Q126" s="2"/>
      <c r="R126" s="19"/>
      <c r="S126" s="2"/>
      <c r="T126" s="2">
        <f>-1279.84</f>
        <v>-1279.8399999999999</v>
      </c>
      <c r="U126" s="2"/>
      <c r="V126" s="19"/>
      <c r="W126" s="2"/>
      <c r="X126" s="2">
        <f t="shared" si="2"/>
        <v>-4344.3099999999995</v>
      </c>
      <c r="Y126" s="2"/>
      <c r="Z126" s="19">
        <f t="shared" si="3"/>
        <v>3.3944164895611948</v>
      </c>
    </row>
    <row r="127" spans="1:26" s="24" customFormat="1" hidden="1" outlineLevel="1" x14ac:dyDescent="0.25">
      <c r="A127" s="44"/>
      <c r="B127" s="11" t="str">
        <f>CONCATENATE("          ", "4383", " - ", "SALES RETURN NON TAXABLE-COMPU")</f>
        <v xml:space="preserve">          4383 - SALES RETURN NON TAXABLE-COMPU</v>
      </c>
      <c r="C127" s="11"/>
      <c r="D127" s="2">
        <f t="shared" ref="D127:D128" si="28">0</f>
        <v>0</v>
      </c>
      <c r="E127" s="2"/>
      <c r="F127" s="19"/>
      <c r="G127" s="2"/>
      <c r="H127" s="2">
        <f t="shared" ref="H127:H128" si="29">0</f>
        <v>0</v>
      </c>
      <c r="I127" s="2"/>
      <c r="J127" s="19"/>
      <c r="K127" s="2"/>
      <c r="L127" s="2">
        <f t="shared" si="0"/>
        <v>0</v>
      </c>
      <c r="M127" s="2"/>
      <c r="N127" s="19">
        <f t="shared" si="1"/>
        <v>0</v>
      </c>
      <c r="O127" s="11"/>
      <c r="P127" s="2">
        <f t="shared" ref="P127:P128" si="30">0</f>
        <v>0</v>
      </c>
      <c r="Q127" s="2"/>
      <c r="R127" s="19"/>
      <c r="S127" s="2"/>
      <c r="T127" s="2">
        <f>-24.99</f>
        <v>-24.99</v>
      </c>
      <c r="U127" s="2"/>
      <c r="V127" s="19"/>
      <c r="W127" s="2"/>
      <c r="X127" s="2">
        <f t="shared" si="2"/>
        <v>24.99</v>
      </c>
      <c r="Y127" s="2"/>
      <c r="Z127" s="19">
        <f t="shared" si="3"/>
        <v>-1</v>
      </c>
    </row>
    <row r="128" spans="1:26" s="24" customFormat="1" hidden="1" outlineLevel="1" x14ac:dyDescent="0.25">
      <c r="A128" s="44"/>
      <c r="B128" s="11" t="str">
        <f>CONCATENATE("          ", "4386", " - ", "SALES RETURN NON TAXABLE-COMPU")</f>
        <v xml:space="preserve">          4386 - SALES RETURN NON TAXABLE-COMPU</v>
      </c>
      <c r="C128" s="11"/>
      <c r="D128" s="2">
        <f t="shared" si="28"/>
        <v>0</v>
      </c>
      <c r="E128" s="2"/>
      <c r="F128" s="19"/>
      <c r="G128" s="2"/>
      <c r="H128" s="2">
        <f t="shared" si="29"/>
        <v>0</v>
      </c>
      <c r="I128" s="2"/>
      <c r="J128" s="19"/>
      <c r="K128" s="2"/>
      <c r="L128" s="2">
        <f t="shared" si="0"/>
        <v>0</v>
      </c>
      <c r="M128" s="2"/>
      <c r="N128" s="19">
        <f t="shared" si="1"/>
        <v>0</v>
      </c>
      <c r="O128" s="11"/>
      <c r="P128" s="2">
        <f t="shared" si="30"/>
        <v>0</v>
      </c>
      <c r="Q128" s="2"/>
      <c r="R128" s="19"/>
      <c r="S128" s="2"/>
      <c r="T128" s="2">
        <f>-19.99</f>
        <v>-19.989999999999998</v>
      </c>
      <c r="U128" s="2"/>
      <c r="V128" s="19"/>
      <c r="W128" s="2"/>
      <c r="X128" s="2">
        <f t="shared" si="2"/>
        <v>19.989999999999998</v>
      </c>
      <c r="Y128" s="2"/>
      <c r="Z128" s="19">
        <f t="shared" si="3"/>
        <v>-1</v>
      </c>
    </row>
    <row r="129" spans="1:26" x14ac:dyDescent="0.25">
      <c r="A129" s="9"/>
      <c r="B129" s="10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collapsed="1" x14ac:dyDescent="0.25">
      <c r="A130" s="10"/>
      <c r="B130" s="26" t="s">
        <v>8</v>
      </c>
      <c r="C130" s="10"/>
      <c r="D130" s="4">
        <f>SUM(OSRRefD16x_0)</f>
        <v>538743.32999999996</v>
      </c>
      <c r="E130" s="4"/>
      <c r="F130" s="12">
        <f t="shared" ref="F130:F186" si="31">IF(D$12=0,0,D130/D$12)</f>
        <v>0.60141262439167109</v>
      </c>
      <c r="G130" s="4"/>
      <c r="H130" s="4">
        <f>SUM(OSRRefH16x_0)</f>
        <v>1670912.4500000004</v>
      </c>
      <c r="I130" s="4"/>
      <c r="J130" s="12">
        <f t="shared" ref="J130:J186" si="32">IF(H$12=0,0,H130/H$12)</f>
        <v>0.41681451032129851</v>
      </c>
      <c r="K130" s="4"/>
      <c r="L130" s="4">
        <f t="shared" ref="L130:L186" si="33">+D130-H130</f>
        <v>-1132169.1200000006</v>
      </c>
      <c r="M130" s="4"/>
      <c r="N130" s="12">
        <f t="shared" ref="N130:N186" si="34">IF(H130=0,0,L130/H130)</f>
        <v>-0.67757536907454385</v>
      </c>
      <c r="O130" s="10"/>
      <c r="P130" s="4">
        <f>SUM(OSRRefP16x_0)</f>
        <v>2483720.1799999997</v>
      </c>
      <c r="Q130" s="4"/>
      <c r="R130" s="12">
        <f t="shared" ref="R130:R186" si="35">IF(P$12=0,0,P130/P$12)</f>
        <v>0.69306089280859429</v>
      </c>
      <c r="S130" s="4"/>
      <c r="T130" s="4">
        <f>SUM(OSRRefT16x_0)</f>
        <v>5003282.5200000005</v>
      </c>
      <c r="U130" s="4"/>
      <c r="V130" s="12">
        <f t="shared" ref="V130:V186" si="36">IF(T$12=0,0,T130/T$12)</f>
        <v>0.51400202162027486</v>
      </c>
      <c r="W130" s="4"/>
      <c r="X130" s="4">
        <f t="shared" ref="X130:X186" si="37">+P130-T130</f>
        <v>-2519562.3400000008</v>
      </c>
      <c r="Y130" s="4"/>
      <c r="Z130" s="12">
        <f t="shared" ref="Z130:Z186" si="38">IF(T130=0,0,X130/T130)</f>
        <v>-0.50358186449163389</v>
      </c>
    </row>
    <row r="131" spans="1:26" s="24" customFormat="1" hidden="1" outlineLevel="1" x14ac:dyDescent="0.25">
      <c r="A131" s="44"/>
      <c r="B131" s="11" t="str">
        <f>CONCATENATE("          ", "5001", " - ", "PURCHASES @ COST-NEW TEXT")</f>
        <v xml:space="preserve">          5001 - PURCHASES @ COST-NEW TEXT</v>
      </c>
      <c r="C131" s="11"/>
      <c r="D131" s="2">
        <v>602088.99</v>
      </c>
      <c r="E131" s="2"/>
      <c r="F131" s="19">
        <f t="shared" si="31"/>
        <v>0.67212696553149087</v>
      </c>
      <c r="G131" s="2"/>
      <c r="H131" s="2">
        <v>104892.25</v>
      </c>
      <c r="I131" s="2"/>
      <c r="J131" s="19">
        <f t="shared" si="32"/>
        <v>2.6165710729038623E-2</v>
      </c>
      <c r="K131" s="2"/>
      <c r="L131" s="2">
        <f t="shared" si="33"/>
        <v>497196.74</v>
      </c>
      <c r="M131" s="2"/>
      <c r="N131" s="19">
        <f t="shared" si="34"/>
        <v>4.7400712636062243</v>
      </c>
      <c r="O131" s="11"/>
      <c r="P131" s="2">
        <v>1293421.76</v>
      </c>
      <c r="Q131" s="2"/>
      <c r="R131" s="19">
        <f t="shared" si="35"/>
        <v>0.36091828982267377</v>
      </c>
      <c r="S131" s="2"/>
      <c r="T131" s="2">
        <v>1932650.95</v>
      </c>
      <c r="U131" s="2"/>
      <c r="V131" s="19">
        <f t="shared" si="36"/>
        <v>0.19854695220895593</v>
      </c>
      <c r="W131" s="2"/>
      <c r="X131" s="2">
        <f t="shared" si="37"/>
        <v>-639229.18999999994</v>
      </c>
      <c r="Y131" s="2"/>
      <c r="Z131" s="19">
        <f t="shared" si="38"/>
        <v>-0.33075252931730892</v>
      </c>
    </row>
    <row r="132" spans="1:26" s="24" customFormat="1" hidden="1" outlineLevel="1" x14ac:dyDescent="0.25">
      <c r="A132" s="44"/>
      <c r="B132" s="11" t="str">
        <f>CONCATENATE("          ", "5002", " - ", "PURCHASES @ COST-USED TEXT")</f>
        <v xml:space="preserve">          5002 - PURCHASES @ COST-USED TEXT</v>
      </c>
      <c r="C132" s="11"/>
      <c r="D132" s="2">
        <v>108363.86</v>
      </c>
      <c r="E132" s="2"/>
      <c r="F132" s="19">
        <f t="shared" si="31"/>
        <v>0.12096928129358304</v>
      </c>
      <c r="G132" s="2"/>
      <c r="H132" s="2">
        <v>18830.57</v>
      </c>
      <c r="I132" s="2"/>
      <c r="J132" s="19">
        <f t="shared" si="32"/>
        <v>4.6973465387853998E-3</v>
      </c>
      <c r="K132" s="2"/>
      <c r="L132" s="2">
        <f t="shared" si="33"/>
        <v>89533.290000000008</v>
      </c>
      <c r="M132" s="2"/>
      <c r="N132" s="19">
        <f t="shared" si="34"/>
        <v>4.7546776332314957</v>
      </c>
      <c r="O132" s="11"/>
      <c r="P132" s="2">
        <v>296731.38</v>
      </c>
      <c r="Q132" s="2"/>
      <c r="R132" s="19">
        <f t="shared" si="35"/>
        <v>8.2800356015598459E-2</v>
      </c>
      <c r="S132" s="2"/>
      <c r="T132" s="2">
        <v>353811.24</v>
      </c>
      <c r="U132" s="2"/>
      <c r="V132" s="19">
        <f t="shared" si="36"/>
        <v>3.6348075869194821E-2</v>
      </c>
      <c r="W132" s="2"/>
      <c r="X132" s="2">
        <f t="shared" si="37"/>
        <v>-57079.859999999986</v>
      </c>
      <c r="Y132" s="2"/>
      <c r="Z132" s="19">
        <f t="shared" si="38"/>
        <v>-0.16132856604555579</v>
      </c>
    </row>
    <row r="133" spans="1:26" s="24" customFormat="1" hidden="1" outlineLevel="1" x14ac:dyDescent="0.25">
      <c r="A133" s="44"/>
      <c r="B133" s="11" t="str">
        <f>CONCATENATE("          ", "5003", " - ", "PURCHASES @ COST-RENTAL TEXT")</f>
        <v xml:space="preserve">          5003 - PURCHASES @ COST-RENTAL TEXT</v>
      </c>
      <c r="C133" s="11"/>
      <c r="D133" s="2">
        <v>781.74</v>
      </c>
      <c r="E133" s="2"/>
      <c r="F133" s="19">
        <f t="shared" si="31"/>
        <v>8.7267587144316942E-4</v>
      </c>
      <c r="G133" s="2"/>
      <c r="H133" s="2"/>
      <c r="I133" s="2"/>
      <c r="J133" s="19">
        <f t="shared" si="32"/>
        <v>0</v>
      </c>
      <c r="K133" s="2"/>
      <c r="L133" s="2">
        <f t="shared" si="33"/>
        <v>781.74</v>
      </c>
      <c r="M133" s="2"/>
      <c r="N133" s="19">
        <f t="shared" si="34"/>
        <v>0</v>
      </c>
      <c r="O133" s="11"/>
      <c r="P133" s="2">
        <v>-11086.1</v>
      </c>
      <c r="Q133" s="2"/>
      <c r="R133" s="19">
        <f t="shared" si="35"/>
        <v>-3.0934814741350445E-3</v>
      </c>
      <c r="S133" s="2"/>
      <c r="T133" s="2">
        <v>-78.400000000000006</v>
      </c>
      <c r="U133" s="2"/>
      <c r="V133" s="19">
        <f t="shared" si="36"/>
        <v>-8.0542640424449887E-6</v>
      </c>
      <c r="W133" s="2"/>
      <c r="X133" s="2">
        <f t="shared" si="37"/>
        <v>-11007.7</v>
      </c>
      <c r="Y133" s="2"/>
      <c r="Z133" s="19">
        <f t="shared" si="38"/>
        <v>140.40433673469389</v>
      </c>
    </row>
    <row r="134" spans="1:26" s="24" customFormat="1" hidden="1" outlineLevel="1" x14ac:dyDescent="0.25">
      <c r="A134" s="44"/>
      <c r="B134" s="11" t="str">
        <f>CONCATENATE("          ", "5004", " - ", "PURCHASES @ COST-DIGITAL TEXT")</f>
        <v xml:space="preserve">          5004 - PURCHASES @ COST-DIGITAL TEXT</v>
      </c>
      <c r="C134" s="11"/>
      <c r="D134" s="2">
        <v>60186.1</v>
      </c>
      <c r="E134" s="2"/>
      <c r="F134" s="19">
        <f t="shared" si="31"/>
        <v>6.7187245460467337E-2</v>
      </c>
      <c r="G134" s="2"/>
      <c r="H134" s="2">
        <v>50761.9</v>
      </c>
      <c r="I134" s="2"/>
      <c r="J134" s="19">
        <f t="shared" si="32"/>
        <v>1.266271999558009E-2</v>
      </c>
      <c r="K134" s="2"/>
      <c r="L134" s="2">
        <f t="shared" si="33"/>
        <v>9424.1999999999971</v>
      </c>
      <c r="M134" s="2"/>
      <c r="N134" s="19">
        <f t="shared" si="34"/>
        <v>0.18565498927345109</v>
      </c>
      <c r="O134" s="11"/>
      <c r="P134" s="2">
        <v>182616.07</v>
      </c>
      <c r="Q134" s="2"/>
      <c r="R134" s="19">
        <f t="shared" si="35"/>
        <v>5.0957453876868196E-2</v>
      </c>
      <c r="S134" s="2"/>
      <c r="T134" s="2">
        <v>353728.39</v>
      </c>
      <c r="U134" s="2"/>
      <c r="V134" s="19">
        <f t="shared" si="36"/>
        <v>3.6339564443481596E-2</v>
      </c>
      <c r="W134" s="2"/>
      <c r="X134" s="2">
        <f t="shared" si="37"/>
        <v>-171112.32000000001</v>
      </c>
      <c r="Y134" s="2"/>
      <c r="Z134" s="19">
        <f t="shared" si="38"/>
        <v>-0.48373928934570393</v>
      </c>
    </row>
    <row r="135" spans="1:26" s="24" customFormat="1" hidden="1" outlineLevel="1" x14ac:dyDescent="0.25">
      <c r="A135" s="44"/>
      <c r="B135" s="11" t="str">
        <f>CONCATENATE("          ", "5011", " - ", "PURCHASES @ COST-NO VALUE TEXT")</f>
        <v xml:space="preserve">          5011 - PURCHASES @ COST-NO VALUE TEXT</v>
      </c>
      <c r="C135" s="11"/>
      <c r="D135" s="2"/>
      <c r="E135" s="2"/>
      <c r="F135" s="19">
        <f t="shared" si="31"/>
        <v>0</v>
      </c>
      <c r="G135" s="2"/>
      <c r="H135" s="2">
        <v>2928</v>
      </c>
      <c r="I135" s="2"/>
      <c r="J135" s="19">
        <f t="shared" si="32"/>
        <v>7.3039906203389751E-4</v>
      </c>
      <c r="K135" s="2"/>
      <c r="L135" s="2">
        <f t="shared" si="33"/>
        <v>-2928</v>
      </c>
      <c r="M135" s="2"/>
      <c r="N135" s="19">
        <f t="shared" si="34"/>
        <v>-1</v>
      </c>
      <c r="O135" s="11"/>
      <c r="P135" s="2"/>
      <c r="Q135" s="2"/>
      <c r="R135" s="19">
        <f t="shared" si="35"/>
        <v>0</v>
      </c>
      <c r="S135" s="2"/>
      <c r="T135" s="2">
        <v>3585</v>
      </c>
      <c r="U135" s="2"/>
      <c r="V135" s="19">
        <f t="shared" si="36"/>
        <v>3.6829766061435311E-4</v>
      </c>
      <c r="W135" s="2"/>
      <c r="X135" s="2">
        <f t="shared" si="37"/>
        <v>-3585</v>
      </c>
      <c r="Y135" s="2"/>
      <c r="Z135" s="19">
        <f t="shared" si="38"/>
        <v>-1</v>
      </c>
    </row>
    <row r="136" spans="1:26" s="24" customFormat="1" hidden="1" outlineLevel="1" x14ac:dyDescent="0.25">
      <c r="A136" s="44"/>
      <c r="B136" s="11" t="str">
        <f>CONCATENATE("          ", "5013", " - ", "PURCHASES @ COST-TRADE BOOKS")</f>
        <v xml:space="preserve">          5013 - PURCHASES @ COST-TRADE BOOKS</v>
      </c>
      <c r="C136" s="11"/>
      <c r="D136" s="2">
        <v>-9.36</v>
      </c>
      <c r="E136" s="2"/>
      <c r="F136" s="19">
        <f t="shared" si="31"/>
        <v>-1.0448801592227678E-5</v>
      </c>
      <c r="G136" s="2"/>
      <c r="H136" s="2">
        <v>269.89</v>
      </c>
      <c r="I136" s="2"/>
      <c r="J136" s="19">
        <f t="shared" si="32"/>
        <v>6.7324932668145007E-5</v>
      </c>
      <c r="K136" s="2"/>
      <c r="L136" s="2">
        <f t="shared" si="33"/>
        <v>-279.25</v>
      </c>
      <c r="M136" s="2"/>
      <c r="N136" s="19">
        <f t="shared" si="34"/>
        <v>-1.034680795879803</v>
      </c>
      <c r="O136" s="11"/>
      <c r="P136" s="2">
        <v>99.18</v>
      </c>
      <c r="Q136" s="2"/>
      <c r="R136" s="19">
        <f t="shared" si="35"/>
        <v>2.767533150564344E-5</v>
      </c>
      <c r="S136" s="2"/>
      <c r="T136" s="2">
        <v>474.79</v>
      </c>
      <c r="U136" s="2"/>
      <c r="V136" s="19">
        <f t="shared" si="36"/>
        <v>4.8776581947862961E-5</v>
      </c>
      <c r="W136" s="2"/>
      <c r="X136" s="2">
        <f t="shared" si="37"/>
        <v>-375.61</v>
      </c>
      <c r="Y136" s="2"/>
      <c r="Z136" s="19">
        <f t="shared" si="38"/>
        <v>-0.79110764759156682</v>
      </c>
    </row>
    <row r="137" spans="1:26" s="24" customFormat="1" hidden="1" outlineLevel="1" x14ac:dyDescent="0.25">
      <c r="A137" s="44"/>
      <c r="B137" s="11" t="str">
        <f>CONCATENATE("          ", "5014", " - ", "PURCHASES @ COST-REMAINDERS")</f>
        <v xml:space="preserve">          5014 - PURCHASES @ COST-REMAINDERS</v>
      </c>
      <c r="C137" s="11"/>
      <c r="D137" s="2"/>
      <c r="E137" s="2"/>
      <c r="F137" s="19">
        <f t="shared" si="31"/>
        <v>0</v>
      </c>
      <c r="G137" s="2"/>
      <c r="H137" s="2">
        <v>55.65</v>
      </c>
      <c r="I137" s="2"/>
      <c r="J137" s="19">
        <f t="shared" si="32"/>
        <v>1.3882072336812294E-5</v>
      </c>
      <c r="K137" s="2"/>
      <c r="L137" s="2">
        <f t="shared" si="33"/>
        <v>-55.65</v>
      </c>
      <c r="M137" s="2"/>
      <c r="N137" s="19">
        <f t="shared" si="34"/>
        <v>-1</v>
      </c>
      <c r="O137" s="11"/>
      <c r="P137" s="2">
        <v>-12.51</v>
      </c>
      <c r="Q137" s="2"/>
      <c r="R137" s="19">
        <f t="shared" si="35"/>
        <v>-3.4908086018915042E-6</v>
      </c>
      <c r="S137" s="2"/>
      <c r="T137" s="2">
        <v>289.97000000000003</v>
      </c>
      <c r="U137" s="2"/>
      <c r="V137" s="19">
        <f t="shared" si="36"/>
        <v>2.9789476331476702E-5</v>
      </c>
      <c r="W137" s="2"/>
      <c r="X137" s="2">
        <f t="shared" si="37"/>
        <v>-302.48</v>
      </c>
      <c r="Y137" s="2"/>
      <c r="Z137" s="19">
        <f t="shared" si="38"/>
        <v>-1.0431423940407627</v>
      </c>
    </row>
    <row r="138" spans="1:26" s="24" customFormat="1" hidden="1" outlineLevel="1" x14ac:dyDescent="0.25">
      <c r="A138" s="44"/>
      <c r="B138" s="11" t="str">
        <f>CONCATENATE("          ", "5017", " - ", "PURCHASES @ COST-DORM/HOUSEWAR")</f>
        <v xml:space="preserve">          5017 - PURCHASES @ COST-DORM/HOUSEWAR</v>
      </c>
      <c r="C138" s="11"/>
      <c r="D138" s="2"/>
      <c r="E138" s="2"/>
      <c r="F138" s="19">
        <f t="shared" si="31"/>
        <v>0</v>
      </c>
      <c r="G138" s="2"/>
      <c r="H138" s="2">
        <v>-139.86000000000001</v>
      </c>
      <c r="I138" s="2"/>
      <c r="J138" s="19">
        <f t="shared" si="32"/>
        <v>-3.4888528967233922E-5</v>
      </c>
      <c r="K138" s="2"/>
      <c r="L138" s="2">
        <f t="shared" si="33"/>
        <v>139.86000000000001</v>
      </c>
      <c r="M138" s="2"/>
      <c r="N138" s="19">
        <f t="shared" si="34"/>
        <v>-1</v>
      </c>
      <c r="O138" s="11"/>
      <c r="P138" s="2"/>
      <c r="Q138" s="2"/>
      <c r="R138" s="19">
        <f t="shared" si="35"/>
        <v>0</v>
      </c>
      <c r="S138" s="2"/>
      <c r="T138" s="2">
        <v>0</v>
      </c>
      <c r="U138" s="2"/>
      <c r="V138" s="19">
        <f t="shared" si="36"/>
        <v>0</v>
      </c>
      <c r="W138" s="2"/>
      <c r="X138" s="2">
        <f t="shared" si="37"/>
        <v>0</v>
      </c>
      <c r="Y138" s="2"/>
      <c r="Z138" s="19">
        <f t="shared" si="38"/>
        <v>0</v>
      </c>
    </row>
    <row r="139" spans="1:26" s="24" customFormat="1" hidden="1" outlineLevel="1" x14ac:dyDescent="0.25">
      <c r="A139" s="44"/>
      <c r="B139" s="11" t="str">
        <f>CONCATENATE("          ", "5018", " - ", "PURCHASES @ COST-STUDY GUIDES")</f>
        <v xml:space="preserve">          5018 - PURCHASES @ COST-STUDY GUIDES</v>
      </c>
      <c r="C139" s="11"/>
      <c r="D139" s="2"/>
      <c r="E139" s="2"/>
      <c r="F139" s="19">
        <f t="shared" si="31"/>
        <v>0</v>
      </c>
      <c r="G139" s="2"/>
      <c r="H139" s="2"/>
      <c r="I139" s="2"/>
      <c r="J139" s="19">
        <f t="shared" si="32"/>
        <v>0</v>
      </c>
      <c r="K139" s="2"/>
      <c r="L139" s="2">
        <f t="shared" si="33"/>
        <v>0</v>
      </c>
      <c r="M139" s="2"/>
      <c r="N139" s="19">
        <f t="shared" si="34"/>
        <v>0</v>
      </c>
      <c r="O139" s="11"/>
      <c r="P139" s="2"/>
      <c r="Q139" s="2"/>
      <c r="R139" s="19">
        <f t="shared" si="35"/>
        <v>0</v>
      </c>
      <c r="S139" s="2"/>
      <c r="T139" s="2">
        <v>503.93</v>
      </c>
      <c r="U139" s="2"/>
      <c r="V139" s="19">
        <f t="shared" si="36"/>
        <v>5.1770220394251312E-5</v>
      </c>
      <c r="W139" s="2"/>
      <c r="X139" s="2">
        <f t="shared" si="37"/>
        <v>-503.93</v>
      </c>
      <c r="Y139" s="2"/>
      <c r="Z139" s="19">
        <f t="shared" si="38"/>
        <v>-1</v>
      </c>
    </row>
    <row r="140" spans="1:26" s="24" customFormat="1" hidden="1" outlineLevel="1" x14ac:dyDescent="0.25">
      <c r="A140" s="44"/>
      <c r="B140" s="11" t="str">
        <f>CONCATENATE("          ", "5025", " - ", "PURCHASES @ COST-TEST FORMS")</f>
        <v xml:space="preserve">          5025 - PURCHASES @ COST-TEST FORMS</v>
      </c>
      <c r="C140" s="11"/>
      <c r="D140" s="2"/>
      <c r="E140" s="2"/>
      <c r="F140" s="19">
        <f t="shared" si="31"/>
        <v>0</v>
      </c>
      <c r="G140" s="2"/>
      <c r="H140" s="2">
        <v>1495.25</v>
      </c>
      <c r="I140" s="2"/>
      <c r="J140" s="19">
        <f t="shared" si="32"/>
        <v>3.729949445034786E-4</v>
      </c>
      <c r="K140" s="2"/>
      <c r="L140" s="2">
        <f t="shared" si="33"/>
        <v>-1495.25</v>
      </c>
      <c r="M140" s="2"/>
      <c r="N140" s="19">
        <f t="shared" si="34"/>
        <v>-1</v>
      </c>
      <c r="O140" s="11"/>
      <c r="P140" s="2"/>
      <c r="Q140" s="2"/>
      <c r="R140" s="19">
        <f t="shared" si="35"/>
        <v>0</v>
      </c>
      <c r="S140" s="2"/>
      <c r="T140" s="2">
        <v>3252.39</v>
      </c>
      <c r="U140" s="2"/>
      <c r="V140" s="19">
        <f t="shared" si="36"/>
        <v>3.3412765088019965E-4</v>
      </c>
      <c r="W140" s="2"/>
      <c r="X140" s="2">
        <f t="shared" si="37"/>
        <v>-3252.39</v>
      </c>
      <c r="Y140" s="2"/>
      <c r="Z140" s="19">
        <f t="shared" si="38"/>
        <v>-1</v>
      </c>
    </row>
    <row r="141" spans="1:26" s="24" customFormat="1" hidden="1" outlineLevel="1" x14ac:dyDescent="0.25">
      <c r="A141" s="44"/>
      <c r="B141" s="11" t="str">
        <f>CONCATENATE("          ", "5026", " - ", "PURCHASES @ COST-WRITING INSTR")</f>
        <v xml:space="preserve">          5026 - PURCHASES @ COST-WRITING INSTR</v>
      </c>
      <c r="C141" s="11"/>
      <c r="D141" s="2"/>
      <c r="E141" s="2"/>
      <c r="F141" s="19">
        <f t="shared" si="31"/>
        <v>0</v>
      </c>
      <c r="G141" s="2"/>
      <c r="H141" s="2">
        <v>2250.85</v>
      </c>
      <c r="I141" s="2"/>
      <c r="J141" s="19">
        <f t="shared" si="32"/>
        <v>5.6148180627698025E-4</v>
      </c>
      <c r="K141" s="2"/>
      <c r="L141" s="2">
        <f t="shared" si="33"/>
        <v>-2250.85</v>
      </c>
      <c r="M141" s="2"/>
      <c r="N141" s="19">
        <f t="shared" si="34"/>
        <v>-1</v>
      </c>
      <c r="O141" s="11"/>
      <c r="P141" s="2"/>
      <c r="Q141" s="2"/>
      <c r="R141" s="19">
        <f t="shared" si="35"/>
        <v>0</v>
      </c>
      <c r="S141" s="2"/>
      <c r="T141" s="2">
        <v>14787.38</v>
      </c>
      <c r="U141" s="2"/>
      <c r="V141" s="19">
        <f t="shared" si="36"/>
        <v>1.5191513139792112E-3</v>
      </c>
      <c r="W141" s="2"/>
      <c r="X141" s="2">
        <f t="shared" si="37"/>
        <v>-14787.38</v>
      </c>
      <c r="Y141" s="2"/>
      <c r="Z141" s="19">
        <f t="shared" si="38"/>
        <v>-1</v>
      </c>
    </row>
    <row r="142" spans="1:26" s="24" customFormat="1" hidden="1" outlineLevel="1" x14ac:dyDescent="0.25">
      <c r="A142" s="44"/>
      <c r="B142" s="11" t="str">
        <f>CONCATENATE("          ", "5027", " - ", "PURCHASES @ COST-SCHOOL SUPPLI")</f>
        <v xml:space="preserve">          5027 - PURCHASES @ COST-SCHOOL SUPPLI</v>
      </c>
      <c r="C142" s="11"/>
      <c r="D142" s="2"/>
      <c r="E142" s="2"/>
      <c r="F142" s="19">
        <f t="shared" si="31"/>
        <v>0</v>
      </c>
      <c r="G142" s="2"/>
      <c r="H142" s="2">
        <v>12655.95</v>
      </c>
      <c r="I142" s="2"/>
      <c r="J142" s="19">
        <f t="shared" si="32"/>
        <v>3.1570676260751045E-3</v>
      </c>
      <c r="K142" s="2"/>
      <c r="L142" s="2">
        <f t="shared" si="33"/>
        <v>-12655.95</v>
      </c>
      <c r="M142" s="2"/>
      <c r="N142" s="19">
        <f t="shared" si="34"/>
        <v>-1</v>
      </c>
      <c r="O142" s="11"/>
      <c r="P142" s="2">
        <v>8503.4</v>
      </c>
      <c r="Q142" s="2"/>
      <c r="R142" s="19">
        <f t="shared" si="35"/>
        <v>2.3728011083392658E-3</v>
      </c>
      <c r="S142" s="2"/>
      <c r="T142" s="2">
        <v>62182.680000000008</v>
      </c>
      <c r="U142" s="2"/>
      <c r="V142" s="19">
        <f t="shared" si="36"/>
        <v>6.3882107600365199E-3</v>
      </c>
      <c r="W142" s="2"/>
      <c r="X142" s="2">
        <f t="shared" si="37"/>
        <v>-53679.280000000006</v>
      </c>
      <c r="Y142" s="2"/>
      <c r="Z142" s="19">
        <f t="shared" si="38"/>
        <v>-0.86325131049353288</v>
      </c>
    </row>
    <row r="143" spans="1:26" s="24" customFormat="1" hidden="1" outlineLevel="1" x14ac:dyDescent="0.25">
      <c r="A143" s="44"/>
      <c r="B143" s="11" t="str">
        <f>CONCATENATE("          ", "5028", " - ", "PURCHASES @ COST-ART/TECH")</f>
        <v xml:space="preserve">          5028 - PURCHASES @ COST-ART/TECH</v>
      </c>
      <c r="C143" s="11"/>
      <c r="D143" s="2">
        <v>-83.4</v>
      </c>
      <c r="E143" s="2"/>
      <c r="F143" s="19">
        <f t="shared" si="31"/>
        <v>-9.3101501366644058E-5</v>
      </c>
      <c r="G143" s="2"/>
      <c r="H143" s="2">
        <v>14830.009999999998</v>
      </c>
      <c r="I143" s="2"/>
      <c r="J143" s="19">
        <f t="shared" si="32"/>
        <v>3.6993939186999044E-3</v>
      </c>
      <c r="K143" s="2"/>
      <c r="L143" s="2">
        <f t="shared" si="33"/>
        <v>-14913.409999999998</v>
      </c>
      <c r="M143" s="2"/>
      <c r="N143" s="19">
        <f t="shared" si="34"/>
        <v>-1.0056237318788053</v>
      </c>
      <c r="O143" s="11"/>
      <c r="P143" s="2">
        <v>-83.4</v>
      </c>
      <c r="Q143" s="2"/>
      <c r="R143" s="19">
        <f t="shared" si="35"/>
        <v>-2.3272057345943363E-5</v>
      </c>
      <c r="S143" s="2"/>
      <c r="T143" s="2">
        <v>70844.78</v>
      </c>
      <c r="U143" s="2"/>
      <c r="V143" s="19">
        <f t="shared" si="36"/>
        <v>7.278093930470993E-3</v>
      </c>
      <c r="W143" s="2"/>
      <c r="X143" s="2">
        <f t="shared" si="37"/>
        <v>-70928.179999999993</v>
      </c>
      <c r="Y143" s="2"/>
      <c r="Z143" s="19">
        <f t="shared" si="38"/>
        <v>-1.0011772215257073</v>
      </c>
    </row>
    <row r="144" spans="1:26" s="24" customFormat="1" hidden="1" outlineLevel="1" x14ac:dyDescent="0.25">
      <c r="A144" s="44"/>
      <c r="B144" s="11" t="str">
        <f>CONCATENATE("          ", "5031", " - ", "PURCHASES @ COST-FOOD")</f>
        <v xml:space="preserve">          5031 - PURCHASES @ COST-FOOD</v>
      </c>
      <c r="C144" s="11"/>
      <c r="D144" s="2">
        <v>4065.92</v>
      </c>
      <c r="E144" s="2"/>
      <c r="F144" s="19">
        <f t="shared" si="31"/>
        <v>4.5388879668664915E-3</v>
      </c>
      <c r="G144" s="2"/>
      <c r="H144" s="2">
        <v>5471.01</v>
      </c>
      <c r="I144" s="2"/>
      <c r="J144" s="19">
        <f t="shared" si="32"/>
        <v>1.3647611244460636E-3</v>
      </c>
      <c r="K144" s="2"/>
      <c r="L144" s="2">
        <f t="shared" si="33"/>
        <v>-1405.0900000000001</v>
      </c>
      <c r="M144" s="2"/>
      <c r="N144" s="19">
        <f t="shared" si="34"/>
        <v>-0.25682460825332071</v>
      </c>
      <c r="O144" s="11"/>
      <c r="P144" s="2">
        <v>4065.92</v>
      </c>
      <c r="Q144" s="2"/>
      <c r="R144" s="19">
        <f t="shared" si="35"/>
        <v>1.1345602326620868E-3</v>
      </c>
      <c r="S144" s="2"/>
      <c r="T144" s="2">
        <v>8150.05</v>
      </c>
      <c r="U144" s="2"/>
      <c r="V144" s="19">
        <f t="shared" si="36"/>
        <v>8.3727875840725475E-4</v>
      </c>
      <c r="W144" s="2"/>
      <c r="X144" s="2">
        <f t="shared" si="37"/>
        <v>-4084.13</v>
      </c>
      <c r="Y144" s="2"/>
      <c r="Z144" s="19">
        <f t="shared" si="38"/>
        <v>-0.50111717106030029</v>
      </c>
    </row>
    <row r="145" spans="1:26" s="24" customFormat="1" hidden="1" outlineLevel="1" x14ac:dyDescent="0.25">
      <c r="A145" s="44"/>
      <c r="B145" s="11" t="str">
        <f>CONCATENATE("          ", "5032", " - ", "PURCHASES @ COST-JUICE")</f>
        <v xml:space="preserve">          5032 - PURCHASES @ COST-JUICE</v>
      </c>
      <c r="C145" s="11"/>
      <c r="D145" s="2"/>
      <c r="E145" s="2"/>
      <c r="F145" s="19">
        <f t="shared" si="31"/>
        <v>0</v>
      </c>
      <c r="G145" s="2"/>
      <c r="H145" s="2">
        <v>477.55</v>
      </c>
      <c r="I145" s="2"/>
      <c r="J145" s="19">
        <f t="shared" si="32"/>
        <v>1.1912639073575403E-4</v>
      </c>
      <c r="K145" s="2"/>
      <c r="L145" s="2">
        <f t="shared" si="33"/>
        <v>-477.55</v>
      </c>
      <c r="M145" s="2"/>
      <c r="N145" s="19">
        <f t="shared" si="34"/>
        <v>-1</v>
      </c>
      <c r="O145" s="11"/>
      <c r="P145" s="2"/>
      <c r="Q145" s="2"/>
      <c r="R145" s="19">
        <f t="shared" si="35"/>
        <v>0</v>
      </c>
      <c r="S145" s="2"/>
      <c r="T145" s="2">
        <v>819.15</v>
      </c>
      <c r="U145" s="2"/>
      <c r="V145" s="19">
        <f t="shared" si="36"/>
        <v>8.4153703958785868E-5</v>
      </c>
      <c r="W145" s="2"/>
      <c r="X145" s="2">
        <f t="shared" si="37"/>
        <v>-819.15</v>
      </c>
      <c r="Y145" s="2"/>
      <c r="Z145" s="19">
        <f t="shared" si="38"/>
        <v>-1</v>
      </c>
    </row>
    <row r="146" spans="1:26" s="24" customFormat="1" hidden="1" outlineLevel="1" x14ac:dyDescent="0.25">
      <c r="A146" s="44"/>
      <c r="B146" s="11" t="str">
        <f>CONCATENATE("          ", "5033", " - ", "PURCHASES @ COST-CANDY")</f>
        <v xml:space="preserve">          5033 - PURCHASES @ COST-CANDY</v>
      </c>
      <c r="C146" s="11"/>
      <c r="D146" s="2"/>
      <c r="E146" s="2"/>
      <c r="F146" s="19">
        <f t="shared" si="31"/>
        <v>0</v>
      </c>
      <c r="G146" s="2"/>
      <c r="H146" s="2">
        <v>1366.65</v>
      </c>
      <c r="I146" s="2"/>
      <c r="J146" s="19">
        <f t="shared" si="32"/>
        <v>3.409152589237111E-4</v>
      </c>
      <c r="K146" s="2"/>
      <c r="L146" s="2">
        <f t="shared" si="33"/>
        <v>-1366.65</v>
      </c>
      <c r="M146" s="2"/>
      <c r="N146" s="19">
        <f t="shared" si="34"/>
        <v>-1</v>
      </c>
      <c r="O146" s="11"/>
      <c r="P146" s="2"/>
      <c r="Q146" s="2"/>
      <c r="R146" s="19">
        <f t="shared" si="35"/>
        <v>0</v>
      </c>
      <c r="S146" s="2"/>
      <c r="T146" s="2">
        <v>2353.11</v>
      </c>
      <c r="U146" s="2"/>
      <c r="V146" s="19">
        <f t="shared" si="36"/>
        <v>2.4174195485864448E-4</v>
      </c>
      <c r="W146" s="2"/>
      <c r="X146" s="2">
        <f t="shared" si="37"/>
        <v>-2353.11</v>
      </c>
      <c r="Y146" s="2"/>
      <c r="Z146" s="19">
        <f t="shared" si="38"/>
        <v>-1</v>
      </c>
    </row>
    <row r="147" spans="1:26" s="24" customFormat="1" hidden="1" outlineLevel="1" x14ac:dyDescent="0.25">
      <c r="A147" s="44"/>
      <c r="B147" s="11" t="str">
        <f>CONCATENATE("          ", "5034", " - ", "PURCHASES @ COST-SODA")</f>
        <v xml:space="preserve">          5034 - PURCHASES @ COST-SODA</v>
      </c>
      <c r="C147" s="11"/>
      <c r="D147" s="2"/>
      <c r="E147" s="2"/>
      <c r="F147" s="19">
        <f t="shared" si="31"/>
        <v>0</v>
      </c>
      <c r="G147" s="2"/>
      <c r="H147" s="2">
        <v>330.04</v>
      </c>
      <c r="I147" s="2"/>
      <c r="J147" s="19">
        <f t="shared" si="32"/>
        <v>8.2329544547017617E-5</v>
      </c>
      <c r="K147" s="2"/>
      <c r="L147" s="2">
        <f t="shared" si="33"/>
        <v>-330.04</v>
      </c>
      <c r="M147" s="2"/>
      <c r="N147" s="19">
        <f t="shared" si="34"/>
        <v>-1</v>
      </c>
      <c r="O147" s="11"/>
      <c r="P147" s="2"/>
      <c r="Q147" s="2"/>
      <c r="R147" s="19">
        <f t="shared" si="35"/>
        <v>0</v>
      </c>
      <c r="S147" s="2"/>
      <c r="T147" s="2">
        <v>618.54</v>
      </c>
      <c r="U147" s="2"/>
      <c r="V147" s="19">
        <f t="shared" si="36"/>
        <v>6.3544444908340855E-5</v>
      </c>
      <c r="W147" s="2"/>
      <c r="X147" s="2">
        <f t="shared" si="37"/>
        <v>-618.54</v>
      </c>
      <c r="Y147" s="2"/>
      <c r="Z147" s="19">
        <f t="shared" si="38"/>
        <v>-1</v>
      </c>
    </row>
    <row r="148" spans="1:26" s="24" customFormat="1" hidden="1" outlineLevel="1" x14ac:dyDescent="0.25">
      <c r="A148" s="44"/>
      <c r="B148" s="11" t="str">
        <f>CONCATENATE("          ", "5035", " - ", "PURCHASES @ COST-HEALTH &amp; BEAU")</f>
        <v xml:space="preserve">          5035 - PURCHASES @ COST-HEALTH &amp; BEAU</v>
      </c>
      <c r="C148" s="11"/>
      <c r="D148" s="2"/>
      <c r="E148" s="2"/>
      <c r="F148" s="19">
        <f t="shared" si="31"/>
        <v>0</v>
      </c>
      <c r="G148" s="2"/>
      <c r="H148" s="2">
        <v>210.83</v>
      </c>
      <c r="I148" s="2"/>
      <c r="J148" s="19">
        <f t="shared" si="32"/>
        <v>5.259222481168259E-5</v>
      </c>
      <c r="K148" s="2"/>
      <c r="L148" s="2">
        <f t="shared" si="33"/>
        <v>-210.83</v>
      </c>
      <c r="M148" s="2"/>
      <c r="N148" s="19">
        <f t="shared" si="34"/>
        <v>-1</v>
      </c>
      <c r="O148" s="11"/>
      <c r="P148" s="2"/>
      <c r="Q148" s="2"/>
      <c r="R148" s="19">
        <f t="shared" si="35"/>
        <v>0</v>
      </c>
      <c r="S148" s="2"/>
      <c r="T148" s="2">
        <v>287.56</v>
      </c>
      <c r="U148" s="2"/>
      <c r="V148" s="19">
        <f t="shared" si="36"/>
        <v>2.9541889898539295E-5</v>
      </c>
      <c r="W148" s="2"/>
      <c r="X148" s="2">
        <f t="shared" si="37"/>
        <v>-287.56</v>
      </c>
      <c r="Y148" s="2"/>
      <c r="Z148" s="19">
        <f t="shared" si="38"/>
        <v>-1</v>
      </c>
    </row>
    <row r="149" spans="1:26" s="24" customFormat="1" hidden="1" outlineLevel="1" x14ac:dyDescent="0.25">
      <c r="A149" s="44"/>
      <c r="B149" s="11" t="str">
        <f>CONCATENATE("          ", "5037", " - ", "PURCHASES @ COST-WATER")</f>
        <v xml:space="preserve">          5037 - PURCHASES @ COST-WATER</v>
      </c>
      <c r="C149" s="11"/>
      <c r="D149" s="2"/>
      <c r="E149" s="2"/>
      <c r="F149" s="19">
        <f t="shared" si="31"/>
        <v>0</v>
      </c>
      <c r="G149" s="2"/>
      <c r="H149" s="2">
        <v>896.64</v>
      </c>
      <c r="I149" s="2"/>
      <c r="J149" s="19">
        <f t="shared" si="32"/>
        <v>2.2366974555398697E-4</v>
      </c>
      <c r="K149" s="2"/>
      <c r="L149" s="2">
        <f t="shared" si="33"/>
        <v>-896.64</v>
      </c>
      <c r="M149" s="2"/>
      <c r="N149" s="19">
        <f t="shared" si="34"/>
        <v>-1</v>
      </c>
      <c r="O149" s="11"/>
      <c r="P149" s="2"/>
      <c r="Q149" s="2"/>
      <c r="R149" s="19">
        <f t="shared" si="35"/>
        <v>0</v>
      </c>
      <c r="S149" s="2"/>
      <c r="T149" s="2">
        <v>1392.58</v>
      </c>
      <c r="U149" s="2"/>
      <c r="V149" s="19">
        <f t="shared" si="36"/>
        <v>1.4306386505392909E-4</v>
      </c>
      <c r="W149" s="2"/>
      <c r="X149" s="2">
        <f t="shared" si="37"/>
        <v>-1392.58</v>
      </c>
      <c r="Y149" s="2"/>
      <c r="Z149" s="19">
        <f t="shared" si="38"/>
        <v>-1</v>
      </c>
    </row>
    <row r="150" spans="1:26" s="24" customFormat="1" hidden="1" outlineLevel="1" x14ac:dyDescent="0.25">
      <c r="A150" s="44"/>
      <c r="B150" s="11" t="str">
        <f>CONCATENATE("          ", "5040", " - ", "PURCHASES @ COST-LOGO CLOTHING")</f>
        <v xml:space="preserve">          5040 - PURCHASES @ COST-LOGO CLOTHING</v>
      </c>
      <c r="C150" s="11"/>
      <c r="D150" s="2">
        <v>4398.1499999999996</v>
      </c>
      <c r="E150" s="2"/>
      <c r="F150" s="19">
        <f t="shared" si="31"/>
        <v>4.9097646071427524E-3</v>
      </c>
      <c r="G150" s="2"/>
      <c r="H150" s="2">
        <v>150282.89000000001</v>
      </c>
      <c r="I150" s="2"/>
      <c r="J150" s="19">
        <f t="shared" si="32"/>
        <v>3.7488552560021655E-2</v>
      </c>
      <c r="K150" s="2"/>
      <c r="L150" s="2">
        <f t="shared" si="33"/>
        <v>-145884.74000000002</v>
      </c>
      <c r="M150" s="2"/>
      <c r="N150" s="19">
        <f t="shared" si="34"/>
        <v>-0.97073419336026878</v>
      </c>
      <c r="O150" s="11"/>
      <c r="P150" s="2">
        <v>13750.05</v>
      </c>
      <c r="Q150" s="2"/>
      <c r="R150" s="19">
        <f t="shared" si="35"/>
        <v>3.8368339581485431E-3</v>
      </c>
      <c r="S150" s="2"/>
      <c r="T150" s="2">
        <v>335851.86000000004</v>
      </c>
      <c r="U150" s="2"/>
      <c r="V150" s="19">
        <f t="shared" si="36"/>
        <v>3.450305560696771E-2</v>
      </c>
      <c r="W150" s="2"/>
      <c r="X150" s="2">
        <f t="shared" si="37"/>
        <v>-322101.81000000006</v>
      </c>
      <c r="Y150" s="2"/>
      <c r="Z150" s="19">
        <f t="shared" si="38"/>
        <v>-0.95905918162847159</v>
      </c>
    </row>
    <row r="151" spans="1:26" s="24" customFormat="1" hidden="1" outlineLevel="1" x14ac:dyDescent="0.25">
      <c r="A151" s="44"/>
      <c r="B151" s="11" t="str">
        <f>CONCATENATE("          ", "5041", " - ", "PURCHASES @ COST-LOGO GIFTS")</f>
        <v xml:space="preserve">          5041 - PURCHASES @ COST-LOGO GIFTS</v>
      </c>
      <c r="C151" s="11"/>
      <c r="D151" s="2">
        <v>868</v>
      </c>
      <c r="E151" s="2"/>
      <c r="F151" s="19">
        <f t="shared" si="31"/>
        <v>9.6897006218521638E-4</v>
      </c>
      <c r="G151" s="2"/>
      <c r="H151" s="2">
        <v>14167.32</v>
      </c>
      <c r="I151" s="2"/>
      <c r="J151" s="19">
        <f t="shared" si="32"/>
        <v>3.5340837566714745E-3</v>
      </c>
      <c r="K151" s="2"/>
      <c r="L151" s="2">
        <f t="shared" si="33"/>
        <v>-13299.32</v>
      </c>
      <c r="M151" s="2"/>
      <c r="N151" s="19">
        <f t="shared" si="34"/>
        <v>-0.93873223728976263</v>
      </c>
      <c r="O151" s="11"/>
      <c r="P151" s="2">
        <v>1997.54</v>
      </c>
      <c r="Q151" s="2"/>
      <c r="R151" s="19">
        <f t="shared" si="35"/>
        <v>5.5739646799539216E-4</v>
      </c>
      <c r="S151" s="2"/>
      <c r="T151" s="2">
        <v>42696.480000000003</v>
      </c>
      <c r="U151" s="2"/>
      <c r="V151" s="19">
        <f t="shared" si="36"/>
        <v>4.3863357602419847E-3</v>
      </c>
      <c r="W151" s="2"/>
      <c r="X151" s="2">
        <f t="shared" si="37"/>
        <v>-40698.94</v>
      </c>
      <c r="Y151" s="2"/>
      <c r="Z151" s="19">
        <f t="shared" si="38"/>
        <v>-0.95321534702626542</v>
      </c>
    </row>
    <row r="152" spans="1:26" s="24" customFormat="1" hidden="1" outlineLevel="1" x14ac:dyDescent="0.25">
      <c r="A152" s="44"/>
      <c r="B152" s="11" t="str">
        <f>CONCATENATE("          ", "5042", " - ", "PURCHASES @ COST-EVERYDAY GIFT")</f>
        <v xml:space="preserve">          5042 - PURCHASES @ COST-EVERYDAY GIFT</v>
      </c>
      <c r="C152" s="11"/>
      <c r="D152" s="2">
        <v>522</v>
      </c>
      <c r="E152" s="2"/>
      <c r="F152" s="19">
        <f t="shared" si="31"/>
        <v>5.8272162725885133E-4</v>
      </c>
      <c r="G152" s="2"/>
      <c r="H152" s="2">
        <v>11559.46</v>
      </c>
      <c r="I152" s="2"/>
      <c r="J152" s="19">
        <f t="shared" si="32"/>
        <v>2.8835446521920617E-3</v>
      </c>
      <c r="K152" s="2"/>
      <c r="L152" s="2">
        <f t="shared" si="33"/>
        <v>-11037.46</v>
      </c>
      <c r="M152" s="2"/>
      <c r="N152" s="19">
        <f t="shared" si="34"/>
        <v>-0.95484218120915687</v>
      </c>
      <c r="O152" s="11"/>
      <c r="P152" s="2">
        <v>1491.15</v>
      </c>
      <c r="Q152" s="2"/>
      <c r="R152" s="19">
        <f t="shared" si="35"/>
        <v>4.1609266560435788E-4</v>
      </c>
      <c r="S152" s="2"/>
      <c r="T152" s="2">
        <v>35291.68</v>
      </c>
      <c r="U152" s="2"/>
      <c r="V152" s="19">
        <f t="shared" si="36"/>
        <v>3.6256187400698333E-3</v>
      </c>
      <c r="W152" s="2"/>
      <c r="X152" s="2">
        <f t="shared" si="37"/>
        <v>-33800.53</v>
      </c>
      <c r="Y152" s="2"/>
      <c r="Z152" s="19">
        <f t="shared" si="38"/>
        <v>-0.9577478317835818</v>
      </c>
    </row>
    <row r="153" spans="1:26" s="24" customFormat="1" hidden="1" outlineLevel="1" x14ac:dyDescent="0.25">
      <c r="A153" s="44"/>
      <c r="B153" s="11" t="str">
        <f>CONCATENATE("          ", "5043", " - ", "PURCHASES @ COST-CARDS")</f>
        <v xml:space="preserve">          5043 - PURCHASES @ COST-CARDS</v>
      </c>
      <c r="C153" s="11"/>
      <c r="D153" s="2">
        <v>1401</v>
      </c>
      <c r="E153" s="2"/>
      <c r="F153" s="19">
        <f t="shared" si="31"/>
        <v>1.563971263964848E-3</v>
      </c>
      <c r="G153" s="2"/>
      <c r="H153" s="2">
        <v>495.49</v>
      </c>
      <c r="I153" s="2"/>
      <c r="J153" s="19">
        <f t="shared" si="32"/>
        <v>1.2360158171010105E-4</v>
      </c>
      <c r="K153" s="2"/>
      <c r="L153" s="2">
        <f t="shared" si="33"/>
        <v>905.51</v>
      </c>
      <c r="M153" s="2"/>
      <c r="N153" s="19">
        <f t="shared" si="34"/>
        <v>1.8275040868635088</v>
      </c>
      <c r="O153" s="11"/>
      <c r="P153" s="2">
        <v>3116.25</v>
      </c>
      <c r="Q153" s="2"/>
      <c r="R153" s="19">
        <f t="shared" si="35"/>
        <v>8.6956293410426859E-4</v>
      </c>
      <c r="S153" s="2"/>
      <c r="T153" s="2">
        <v>1008.99</v>
      </c>
      <c r="U153" s="2"/>
      <c r="V153" s="19">
        <f t="shared" si="36"/>
        <v>1.0365652903299195E-4</v>
      </c>
      <c r="W153" s="2"/>
      <c r="X153" s="2">
        <f t="shared" si="37"/>
        <v>2107.2600000000002</v>
      </c>
      <c r="Y153" s="2"/>
      <c r="Z153" s="19">
        <f t="shared" si="38"/>
        <v>2.0884845241280887</v>
      </c>
    </row>
    <row r="154" spans="1:26" s="24" customFormat="1" hidden="1" outlineLevel="1" x14ac:dyDescent="0.25">
      <c r="A154" s="44"/>
      <c r="B154" s="11" t="str">
        <f>CONCATENATE("          ", "5044", " - ", "PURCHASES @ COST-ACCESSORIES")</f>
        <v xml:space="preserve">          5044 - PURCHASES @ COST-ACCESSORIES</v>
      </c>
      <c r="C154" s="11"/>
      <c r="D154" s="2"/>
      <c r="E154" s="2"/>
      <c r="F154" s="19">
        <f t="shared" si="31"/>
        <v>0</v>
      </c>
      <c r="G154" s="2"/>
      <c r="H154" s="2">
        <v>2315.5300000000002</v>
      </c>
      <c r="I154" s="2"/>
      <c r="J154" s="19">
        <f t="shared" si="32"/>
        <v>5.7761644129486033E-4</v>
      </c>
      <c r="K154" s="2"/>
      <c r="L154" s="2">
        <f t="shared" si="33"/>
        <v>-2315.5300000000002</v>
      </c>
      <c r="M154" s="2"/>
      <c r="N154" s="19">
        <f t="shared" si="34"/>
        <v>-1</v>
      </c>
      <c r="O154" s="11"/>
      <c r="P154" s="2"/>
      <c r="Q154" s="2"/>
      <c r="R154" s="19">
        <f t="shared" si="35"/>
        <v>0</v>
      </c>
      <c r="S154" s="2"/>
      <c r="T154" s="2">
        <v>20403.649999999998</v>
      </c>
      <c r="U154" s="2"/>
      <c r="V154" s="19">
        <f t="shared" si="36"/>
        <v>2.0961273536942941E-3</v>
      </c>
      <c r="W154" s="2"/>
      <c r="X154" s="2">
        <f t="shared" si="37"/>
        <v>-20403.649999999998</v>
      </c>
      <c r="Y154" s="2"/>
      <c r="Z154" s="19">
        <f t="shared" si="38"/>
        <v>-1</v>
      </c>
    </row>
    <row r="155" spans="1:26" s="24" customFormat="1" hidden="1" outlineLevel="1" x14ac:dyDescent="0.25">
      <c r="A155" s="44"/>
      <c r="B155" s="11" t="str">
        <f>CONCATENATE("          ", "5045", " - ", "PURCHASES @ COST-SPECIAL ORDER")</f>
        <v xml:space="preserve">          5045 - PURCHASES @ COST-SPECIAL ORDER</v>
      </c>
      <c r="C155" s="11"/>
      <c r="D155" s="2">
        <v>52784.12</v>
      </c>
      <c r="E155" s="2"/>
      <c r="F155" s="19">
        <f t="shared" si="31"/>
        <v>5.8924230459437697E-2</v>
      </c>
      <c r="G155" s="2"/>
      <c r="H155" s="2">
        <v>4318.3999999999996</v>
      </c>
      <c r="I155" s="2"/>
      <c r="J155" s="19">
        <f t="shared" si="32"/>
        <v>1.0772388352073713E-3</v>
      </c>
      <c r="K155" s="2"/>
      <c r="L155" s="2">
        <f t="shared" si="33"/>
        <v>48465.72</v>
      </c>
      <c r="M155" s="2"/>
      <c r="N155" s="19">
        <f t="shared" si="34"/>
        <v>11.223073360503891</v>
      </c>
      <c r="O155" s="11"/>
      <c r="P155" s="2">
        <v>61174.290000000008</v>
      </c>
      <c r="Q155" s="2"/>
      <c r="R155" s="19">
        <f t="shared" si="35"/>
        <v>1.7070162889416905E-2</v>
      </c>
      <c r="S155" s="2"/>
      <c r="T155" s="2">
        <v>24464.030000000002</v>
      </c>
      <c r="U155" s="2"/>
      <c r="V155" s="19">
        <f t="shared" si="36"/>
        <v>2.5132622087027483E-3</v>
      </c>
      <c r="W155" s="2"/>
      <c r="X155" s="2">
        <f t="shared" si="37"/>
        <v>36710.260000000009</v>
      </c>
      <c r="Y155" s="2"/>
      <c r="Z155" s="19">
        <f t="shared" si="38"/>
        <v>1.5005810571684226</v>
      </c>
    </row>
    <row r="156" spans="1:26" s="24" customFormat="1" hidden="1" outlineLevel="1" x14ac:dyDescent="0.25">
      <c r="A156" s="44"/>
      <c r="B156" s="11" t="str">
        <f>CONCATENATE("          ", "5053", " - ", "PURCHASES @ COST-FOOD")</f>
        <v xml:space="preserve">          5053 - PURCHASES @ COST-FOOD</v>
      </c>
      <c r="C156" s="11"/>
      <c r="D156" s="2">
        <v>41608.75</v>
      </c>
      <c r="E156" s="2"/>
      <c r="F156" s="19">
        <f t="shared" si="31"/>
        <v>4.6448886031047375E-2</v>
      </c>
      <c r="G156" s="2"/>
      <c r="H156" s="2">
        <v>746436.17</v>
      </c>
      <c r="I156" s="2"/>
      <c r="J156" s="19">
        <f t="shared" si="32"/>
        <v>0.18620091476645317</v>
      </c>
      <c r="K156" s="2"/>
      <c r="L156" s="2">
        <f t="shared" si="33"/>
        <v>-704827.42</v>
      </c>
      <c r="M156" s="2"/>
      <c r="N156" s="19">
        <f t="shared" si="34"/>
        <v>-0.94425678755626219</v>
      </c>
      <c r="O156" s="11"/>
      <c r="P156" s="2">
        <v>128080.36</v>
      </c>
      <c r="Q156" s="2"/>
      <c r="R156" s="19">
        <f t="shared" si="35"/>
        <v>3.5739730009701084E-2</v>
      </c>
      <c r="S156" s="2"/>
      <c r="T156" s="2">
        <v>1412561.04</v>
      </c>
      <c r="U156" s="2"/>
      <c r="V156" s="19">
        <f t="shared" si="36"/>
        <v>0.14511657643151399</v>
      </c>
      <c r="W156" s="2"/>
      <c r="X156" s="2">
        <f t="shared" si="37"/>
        <v>-1284480.68</v>
      </c>
      <c r="Y156" s="2"/>
      <c r="Z156" s="19">
        <f t="shared" si="38"/>
        <v>-0.90932755727143655</v>
      </c>
    </row>
    <row r="157" spans="1:26" s="24" customFormat="1" hidden="1" outlineLevel="1" x14ac:dyDescent="0.25">
      <c r="A157" s="44"/>
      <c r="B157" s="11" t="str">
        <f>CONCATENATE("          ", "5059", " - ", "PURCHASES @ COST-FOOD")</f>
        <v xml:space="preserve">          5059 - PURCHASES @ COST-FOOD</v>
      </c>
      <c r="C157" s="11"/>
      <c r="D157" s="2">
        <v>3861.48</v>
      </c>
      <c r="E157" s="2"/>
      <c r="F157" s="19">
        <f t="shared" si="31"/>
        <v>4.3106664927730059E-3</v>
      </c>
      <c r="G157" s="2"/>
      <c r="H157" s="2">
        <v>7808.84</v>
      </c>
      <c r="I157" s="2"/>
      <c r="J157" s="19">
        <f t="shared" si="32"/>
        <v>1.9479403728049115E-3</v>
      </c>
      <c r="K157" s="2"/>
      <c r="L157" s="2">
        <f t="shared" si="33"/>
        <v>-3947.36</v>
      </c>
      <c r="M157" s="2"/>
      <c r="N157" s="19">
        <f t="shared" si="34"/>
        <v>-0.50549889612285559</v>
      </c>
      <c r="O157" s="11"/>
      <c r="P157" s="2">
        <v>-22871.609999999997</v>
      </c>
      <c r="Q157" s="2"/>
      <c r="R157" s="19">
        <f t="shared" si="35"/>
        <v>-6.3821273323027769E-3</v>
      </c>
      <c r="S157" s="2"/>
      <c r="T157" s="2">
        <v>-87541.29</v>
      </c>
      <c r="U157" s="2"/>
      <c r="V157" s="19">
        <f t="shared" si="36"/>
        <v>-8.9933758198501145E-3</v>
      </c>
      <c r="W157" s="2"/>
      <c r="X157" s="2">
        <f t="shared" si="37"/>
        <v>64669.679999999993</v>
      </c>
      <c r="Y157" s="2"/>
      <c r="Z157" s="19">
        <f t="shared" si="38"/>
        <v>-0.73873345937671242</v>
      </c>
    </row>
    <row r="158" spans="1:26" s="24" customFormat="1" hidden="1" outlineLevel="1" x14ac:dyDescent="0.25">
      <c r="A158" s="44"/>
      <c r="B158" s="11" t="str">
        <f>CONCATENATE("          ", "5081", " - ", "PURCHASES @ COST-ELECTRONICS")</f>
        <v xml:space="preserve">          5081 - PURCHASES @ COST-ELECTRONICS</v>
      </c>
      <c r="C158" s="11"/>
      <c r="D158" s="2">
        <v>8274.98</v>
      </c>
      <c r="E158" s="2"/>
      <c r="F158" s="19">
        <f t="shared" si="31"/>
        <v>9.2375666879970283E-3</v>
      </c>
      <c r="G158" s="2"/>
      <c r="H158" s="2">
        <v>66395.33</v>
      </c>
      <c r="I158" s="2"/>
      <c r="J158" s="19">
        <f t="shared" si="32"/>
        <v>1.6562529629587125E-2</v>
      </c>
      <c r="K158" s="2"/>
      <c r="L158" s="2">
        <f t="shared" si="33"/>
        <v>-58120.350000000006</v>
      </c>
      <c r="M158" s="2"/>
      <c r="N158" s="19">
        <f t="shared" si="34"/>
        <v>-0.87536804169811344</v>
      </c>
      <c r="O158" s="11"/>
      <c r="P158" s="2">
        <v>15697.449999999999</v>
      </c>
      <c r="Q158" s="2"/>
      <c r="R158" s="19">
        <f t="shared" si="35"/>
        <v>4.3802392875908706E-3</v>
      </c>
      <c r="S158" s="2"/>
      <c r="T158" s="2">
        <v>150158.17000000001</v>
      </c>
      <c r="U158" s="2"/>
      <c r="V158" s="19">
        <f t="shared" si="36"/>
        <v>1.5426193230999257E-2</v>
      </c>
      <c r="W158" s="2"/>
      <c r="X158" s="2">
        <f t="shared" si="37"/>
        <v>-134460.72</v>
      </c>
      <c r="Y158" s="2"/>
      <c r="Z158" s="19">
        <f t="shared" si="38"/>
        <v>-0.89546056668112028</v>
      </c>
    </row>
    <row r="159" spans="1:26" s="24" customFormat="1" hidden="1" outlineLevel="1" x14ac:dyDescent="0.25">
      <c r="A159" s="44"/>
      <c r="B159" s="11" t="str">
        <f>CONCATENATE("          ", "5082", " - ", "PURCHASES @ COST-COMPUTER HARD")</f>
        <v xml:space="preserve">          5082 - PURCHASES @ COST-COMPUTER HARD</v>
      </c>
      <c r="C159" s="11"/>
      <c r="D159" s="2">
        <v>470149.41</v>
      </c>
      <c r="E159" s="2"/>
      <c r="F159" s="19">
        <f t="shared" si="31"/>
        <v>0.52483951963599396</v>
      </c>
      <c r="G159" s="2"/>
      <c r="H159" s="2">
        <v>127439.07</v>
      </c>
      <c r="I159" s="2"/>
      <c r="J159" s="19">
        <f t="shared" si="32"/>
        <v>3.1790087839642149E-2</v>
      </c>
      <c r="K159" s="2"/>
      <c r="L159" s="2">
        <f t="shared" si="33"/>
        <v>342710.33999999997</v>
      </c>
      <c r="M159" s="2"/>
      <c r="N159" s="19">
        <f t="shared" si="34"/>
        <v>2.6892093609910992</v>
      </c>
      <c r="O159" s="11"/>
      <c r="P159" s="2">
        <v>713373.21</v>
      </c>
      <c r="Q159" s="2"/>
      <c r="R159" s="19">
        <f t="shared" si="35"/>
        <v>0.19906069846738245</v>
      </c>
      <c r="S159" s="2"/>
      <c r="T159" s="2">
        <v>801192.57</v>
      </c>
      <c r="U159" s="2"/>
      <c r="V159" s="19">
        <f t="shared" si="36"/>
        <v>8.2308884025830212E-2</v>
      </c>
      <c r="W159" s="2"/>
      <c r="X159" s="2">
        <f t="shared" si="37"/>
        <v>-87819.359999999986</v>
      </c>
      <c r="Y159" s="2"/>
      <c r="Z159" s="19">
        <f t="shared" si="38"/>
        <v>-0.10961080180761036</v>
      </c>
    </row>
    <row r="160" spans="1:26" s="24" customFormat="1" hidden="1" outlineLevel="1" x14ac:dyDescent="0.25">
      <c r="A160" s="44"/>
      <c r="B160" s="11" t="str">
        <f>CONCATENATE("          ", "5083", " - ", "PURCHASES @ COST-COMPUTER EQUI")</f>
        <v xml:space="preserve">          5083 - PURCHASES @ COST-COMPUTER EQUI</v>
      </c>
      <c r="C160" s="11"/>
      <c r="D160" s="2">
        <v>24155.15</v>
      </c>
      <c r="E160" s="2"/>
      <c r="F160" s="19">
        <f t="shared" si="31"/>
        <v>2.6964996771420773E-2</v>
      </c>
      <c r="G160" s="2"/>
      <c r="H160" s="2">
        <v>10594.52</v>
      </c>
      <c r="I160" s="2"/>
      <c r="J160" s="19">
        <f t="shared" si="32"/>
        <v>2.6428372509219155E-3</v>
      </c>
      <c r="K160" s="2"/>
      <c r="L160" s="2">
        <f t="shared" si="33"/>
        <v>13560.630000000001</v>
      </c>
      <c r="M160" s="2"/>
      <c r="N160" s="19">
        <f t="shared" si="34"/>
        <v>1.2799664354779641</v>
      </c>
      <c r="O160" s="11"/>
      <c r="P160" s="2">
        <v>61434</v>
      </c>
      <c r="Q160" s="2"/>
      <c r="R160" s="19">
        <f t="shared" si="35"/>
        <v>1.7142632745691663E-2</v>
      </c>
      <c r="S160" s="2"/>
      <c r="T160" s="2">
        <v>27868.41</v>
      </c>
      <c r="U160" s="2"/>
      <c r="V160" s="19">
        <f t="shared" si="36"/>
        <v>2.8630042421315602E-3</v>
      </c>
      <c r="W160" s="2"/>
      <c r="X160" s="2">
        <f t="shared" si="37"/>
        <v>33565.589999999997</v>
      </c>
      <c r="Y160" s="2"/>
      <c r="Z160" s="19">
        <f t="shared" si="38"/>
        <v>1.2044314691796194</v>
      </c>
    </row>
    <row r="161" spans="1:26" s="24" customFormat="1" hidden="1" outlineLevel="1" x14ac:dyDescent="0.25">
      <c r="A161" s="44"/>
      <c r="B161" s="11" t="str">
        <f>CONCATENATE("          ", "5084", " - ", "PURCHASES @ COST-SOFTWARE LICE")</f>
        <v xml:space="preserve">          5084 - PURCHASES @ COST-SOFTWARE LICE</v>
      </c>
      <c r="C161" s="11"/>
      <c r="D161" s="2"/>
      <c r="E161" s="2"/>
      <c r="F161" s="19">
        <f t="shared" si="31"/>
        <v>0</v>
      </c>
      <c r="G161" s="2"/>
      <c r="H161" s="2"/>
      <c r="I161" s="2"/>
      <c r="J161" s="19">
        <f t="shared" si="32"/>
        <v>0</v>
      </c>
      <c r="K161" s="2"/>
      <c r="L161" s="2">
        <f t="shared" si="33"/>
        <v>0</v>
      </c>
      <c r="M161" s="2"/>
      <c r="N161" s="19">
        <f t="shared" si="34"/>
        <v>0</v>
      </c>
      <c r="O161" s="11"/>
      <c r="P161" s="2"/>
      <c r="Q161" s="2"/>
      <c r="R161" s="19">
        <f t="shared" si="35"/>
        <v>0</v>
      </c>
      <c r="S161" s="2"/>
      <c r="T161" s="2">
        <v>1522</v>
      </c>
      <c r="U161" s="2"/>
      <c r="V161" s="19">
        <f t="shared" si="36"/>
        <v>1.5635956470154685E-4</v>
      </c>
      <c r="W161" s="2"/>
      <c r="X161" s="2">
        <f t="shared" si="37"/>
        <v>-1522</v>
      </c>
      <c r="Y161" s="2"/>
      <c r="Z161" s="19">
        <f t="shared" si="38"/>
        <v>-1</v>
      </c>
    </row>
    <row r="162" spans="1:26" s="24" customFormat="1" hidden="1" outlineLevel="1" x14ac:dyDescent="0.25">
      <c r="A162" s="44"/>
      <c r="B162" s="11" t="str">
        <f>CONCATENATE("          ", "5085", " - ", "PURCHASES @ COST-SOFTWARE")</f>
        <v xml:space="preserve">          5085 - PURCHASES @ COST-SOFTWARE</v>
      </c>
      <c r="C162" s="11"/>
      <c r="D162" s="2">
        <v>8609.1200000000008</v>
      </c>
      <c r="E162" s="2"/>
      <c r="F162" s="19">
        <f t="shared" si="31"/>
        <v>9.6105755089400807E-3</v>
      </c>
      <c r="G162" s="2"/>
      <c r="H162" s="2">
        <v>3058</v>
      </c>
      <c r="I162" s="2"/>
      <c r="J162" s="19">
        <f t="shared" si="32"/>
        <v>7.6282798213786159E-4</v>
      </c>
      <c r="K162" s="2"/>
      <c r="L162" s="2">
        <f t="shared" si="33"/>
        <v>5551.1200000000008</v>
      </c>
      <c r="M162" s="2"/>
      <c r="N162" s="19">
        <f t="shared" si="34"/>
        <v>1.8152779594506216</v>
      </c>
      <c r="O162" s="11"/>
      <c r="P162" s="2">
        <v>14837.68</v>
      </c>
      <c r="Q162" s="2"/>
      <c r="R162" s="19">
        <f t="shared" si="35"/>
        <v>4.1403278158364141E-3</v>
      </c>
      <c r="S162" s="2"/>
      <c r="T162" s="2">
        <v>6426</v>
      </c>
      <c r="U162" s="2"/>
      <c r="V162" s="19">
        <f t="shared" si="36"/>
        <v>6.6016199919325888E-4</v>
      </c>
      <c r="W162" s="2"/>
      <c r="X162" s="2">
        <f t="shared" si="37"/>
        <v>8411.68</v>
      </c>
      <c r="Y162" s="2"/>
      <c r="Z162" s="19">
        <f t="shared" si="38"/>
        <v>1.3090071584189231</v>
      </c>
    </row>
    <row r="163" spans="1:26" s="24" customFormat="1" hidden="1" outlineLevel="1" x14ac:dyDescent="0.25">
      <c r="A163" s="44"/>
      <c r="B163" s="11" t="str">
        <f>CONCATENATE("          ", "5086", " - ", "PURCHASES @ COST-COMPUTER SUPP")</f>
        <v xml:space="preserve">          5086 - PURCHASES @ COST-COMPUTER SUPP</v>
      </c>
      <c r="C163" s="11"/>
      <c r="D163" s="2">
        <v>18.760000000000002</v>
      </c>
      <c r="E163" s="2"/>
      <c r="F163" s="19">
        <f t="shared" si="31"/>
        <v>2.0942256182712743E-5</v>
      </c>
      <c r="G163" s="2"/>
      <c r="H163" s="2">
        <v>6301.87</v>
      </c>
      <c r="I163" s="2"/>
      <c r="J163" s="19">
        <f t="shared" si="32"/>
        <v>1.5720218364274447E-3</v>
      </c>
      <c r="K163" s="2"/>
      <c r="L163" s="2">
        <f t="shared" si="33"/>
        <v>-6283.11</v>
      </c>
      <c r="M163" s="2"/>
      <c r="N163" s="19">
        <f t="shared" si="34"/>
        <v>-0.99702310584001252</v>
      </c>
      <c r="O163" s="11"/>
      <c r="P163" s="2">
        <v>21755.969999999998</v>
      </c>
      <c r="Q163" s="2"/>
      <c r="R163" s="19">
        <f t="shared" si="35"/>
        <v>6.0708175234607115E-3</v>
      </c>
      <c r="S163" s="2"/>
      <c r="T163" s="2">
        <v>12566.75</v>
      </c>
      <c r="U163" s="2"/>
      <c r="V163" s="19">
        <f t="shared" si="36"/>
        <v>1.2910194216249433E-3</v>
      </c>
      <c r="W163" s="2"/>
      <c r="X163" s="2">
        <f t="shared" si="37"/>
        <v>9189.2199999999975</v>
      </c>
      <c r="Y163" s="2"/>
      <c r="Z163" s="19">
        <f t="shared" si="38"/>
        <v>0.73123281675850937</v>
      </c>
    </row>
    <row r="164" spans="1:26" s="24" customFormat="1" hidden="1" outlineLevel="1" x14ac:dyDescent="0.25">
      <c r="A164" s="44"/>
      <c r="B164" s="11" t="str">
        <f>CONCATENATE("          ", "5088", " - ", "PURCHASES @ COST-MUSIC")</f>
        <v xml:space="preserve">          5088 - PURCHASES @ COST-MUSIC</v>
      </c>
      <c r="C164" s="11"/>
      <c r="D164" s="2"/>
      <c r="E164" s="2"/>
      <c r="F164" s="19">
        <f t="shared" si="31"/>
        <v>0</v>
      </c>
      <c r="G164" s="2"/>
      <c r="H164" s="2">
        <v>6.75</v>
      </c>
      <c r="I164" s="2"/>
      <c r="J164" s="19">
        <f t="shared" si="32"/>
        <v>1.6838093130904401E-6</v>
      </c>
      <c r="K164" s="2"/>
      <c r="L164" s="2">
        <f t="shared" si="33"/>
        <v>-6.75</v>
      </c>
      <c r="M164" s="2"/>
      <c r="N164" s="19">
        <f t="shared" si="34"/>
        <v>-1</v>
      </c>
      <c r="O164" s="11"/>
      <c r="P164" s="2"/>
      <c r="Q164" s="2"/>
      <c r="R164" s="19">
        <f t="shared" si="35"/>
        <v>0</v>
      </c>
      <c r="S164" s="2"/>
      <c r="T164" s="2">
        <v>88.75</v>
      </c>
      <c r="U164" s="2"/>
      <c r="V164" s="19">
        <f t="shared" si="36"/>
        <v>9.1175501755993969E-6</v>
      </c>
      <c r="W164" s="2"/>
      <c r="X164" s="2">
        <f t="shared" si="37"/>
        <v>-88.75</v>
      </c>
      <c r="Y164" s="2"/>
      <c r="Z164" s="19">
        <f t="shared" si="38"/>
        <v>-1</v>
      </c>
    </row>
    <row r="165" spans="1:26" s="24" customFormat="1" hidden="1" outlineLevel="1" x14ac:dyDescent="0.25">
      <c r="A165" s="44"/>
      <c r="B165" s="11" t="str">
        <f>CONCATENATE("          ", "5092", " - ", "PURCHASES @ COST-GRAD MERCH")</f>
        <v xml:space="preserve">          5092 - PURCHASES @ COST-GRAD MERCH</v>
      </c>
      <c r="C165" s="11"/>
      <c r="D165" s="2"/>
      <c r="E165" s="2"/>
      <c r="F165" s="19">
        <f t="shared" si="31"/>
        <v>0</v>
      </c>
      <c r="G165" s="2"/>
      <c r="H165" s="2">
        <v>-628</v>
      </c>
      <c r="I165" s="2"/>
      <c r="J165" s="19">
        <f t="shared" si="32"/>
        <v>-1.5665662942530316E-4</v>
      </c>
      <c r="K165" s="2"/>
      <c r="L165" s="2">
        <f t="shared" si="33"/>
        <v>628</v>
      </c>
      <c r="M165" s="2"/>
      <c r="N165" s="19">
        <f t="shared" si="34"/>
        <v>-1</v>
      </c>
      <c r="O165" s="11"/>
      <c r="P165" s="2"/>
      <c r="Q165" s="2"/>
      <c r="R165" s="19">
        <f t="shared" si="35"/>
        <v>0</v>
      </c>
      <c r="S165" s="2"/>
      <c r="T165" s="2">
        <v>0</v>
      </c>
      <c r="U165" s="2"/>
      <c r="V165" s="19">
        <f t="shared" si="36"/>
        <v>0</v>
      </c>
      <c r="W165" s="2"/>
      <c r="X165" s="2">
        <f t="shared" si="37"/>
        <v>0</v>
      </c>
      <c r="Y165" s="2"/>
      <c r="Z165" s="19">
        <f t="shared" si="38"/>
        <v>0</v>
      </c>
    </row>
    <row r="166" spans="1:26" s="24" customFormat="1" hidden="1" outlineLevel="1" x14ac:dyDescent="0.25">
      <c r="A166" s="44"/>
      <c r="B166" s="11" t="str">
        <f>CONCATENATE("          ", "5095", " - ", "PURCHASES @ COST-CUSTOMER SERV")</f>
        <v xml:space="preserve">          5095 - PURCHASES @ COST-CUSTOMER SERV</v>
      </c>
      <c r="C166" s="11"/>
      <c r="D166" s="2"/>
      <c r="E166" s="2"/>
      <c r="F166" s="19">
        <f t="shared" si="31"/>
        <v>0</v>
      </c>
      <c r="G166" s="2"/>
      <c r="H166" s="2"/>
      <c r="I166" s="2"/>
      <c r="J166" s="19">
        <f t="shared" si="32"/>
        <v>0</v>
      </c>
      <c r="K166" s="2"/>
      <c r="L166" s="2">
        <f t="shared" si="33"/>
        <v>0</v>
      </c>
      <c r="M166" s="2"/>
      <c r="N166" s="19">
        <f t="shared" si="34"/>
        <v>0</v>
      </c>
      <c r="O166" s="11"/>
      <c r="P166" s="2"/>
      <c r="Q166" s="2"/>
      <c r="R166" s="19">
        <f t="shared" si="35"/>
        <v>0</v>
      </c>
      <c r="S166" s="2"/>
      <c r="T166" s="2">
        <v>0</v>
      </c>
      <c r="U166" s="2"/>
      <c r="V166" s="19">
        <f t="shared" si="36"/>
        <v>0</v>
      </c>
      <c r="W166" s="2"/>
      <c r="X166" s="2">
        <f t="shared" si="37"/>
        <v>0</v>
      </c>
      <c r="Y166" s="2"/>
      <c r="Z166" s="19">
        <f t="shared" si="38"/>
        <v>0</v>
      </c>
    </row>
    <row r="167" spans="1:26" s="24" customFormat="1" hidden="1" outlineLevel="1" x14ac:dyDescent="0.25">
      <c r="A167" s="44"/>
      <c r="B167" s="11" t="str">
        <f>CONCATENATE("          ", "5200", " - ", "PURCHASES OFFSET")</f>
        <v xml:space="preserve">          5200 - PURCHASES OFFSET</v>
      </c>
      <c r="C167" s="11"/>
      <c r="D167" s="2">
        <v>-1333358.52</v>
      </c>
      <c r="E167" s="2"/>
      <c r="F167" s="19">
        <f t="shared" si="31"/>
        <v>-1.4884613917506775</v>
      </c>
      <c r="G167" s="2"/>
      <c r="H167" s="2">
        <v>-493649</v>
      </c>
      <c r="I167" s="2"/>
      <c r="J167" s="19">
        <f t="shared" si="32"/>
        <v>-0.12314233831078261</v>
      </c>
      <c r="K167" s="2"/>
      <c r="L167" s="2">
        <f t="shared" si="33"/>
        <v>-839709.52</v>
      </c>
      <c r="M167" s="2"/>
      <c r="N167" s="19">
        <f t="shared" si="34"/>
        <v>1.7010254654623023</v>
      </c>
      <c r="O167" s="11"/>
      <c r="P167" s="2">
        <v>-2362293.5</v>
      </c>
      <c r="Q167" s="2"/>
      <c r="R167" s="19">
        <f t="shared" si="35"/>
        <v>-0.65917781534711339</v>
      </c>
      <c r="S167" s="2"/>
      <c r="T167" s="2">
        <v>-3635482</v>
      </c>
      <c r="U167" s="2"/>
      <c r="V167" s="19">
        <f t="shared" si="36"/>
        <v>-0.37348382588719375</v>
      </c>
      <c r="W167" s="2"/>
      <c r="X167" s="2">
        <f t="shared" si="37"/>
        <v>1273188.5</v>
      </c>
      <c r="Y167" s="2"/>
      <c r="Z167" s="19">
        <f t="shared" si="38"/>
        <v>-0.35021174633789964</v>
      </c>
    </row>
    <row r="168" spans="1:26" s="24" customFormat="1" hidden="1" outlineLevel="1" x14ac:dyDescent="0.25">
      <c r="A168" s="44"/>
      <c r="B168" s="11" t="str">
        <f>CONCATENATE("          ", "5300", " - ", "COG$ OFFSET")</f>
        <v xml:space="preserve">          5300 - COG$ OFFSET</v>
      </c>
      <c r="C168" s="11"/>
      <c r="D168" s="2">
        <v>466553</v>
      </c>
      <c r="E168" s="2"/>
      <c r="F168" s="19">
        <f t="shared" si="31"/>
        <v>0.52082475739942313</v>
      </c>
      <c r="G168" s="2"/>
      <c r="H168" s="2">
        <v>777079</v>
      </c>
      <c r="I168" s="2"/>
      <c r="J168" s="19">
        <f t="shared" si="32"/>
        <v>0.19384486773437126</v>
      </c>
      <c r="K168" s="2"/>
      <c r="L168" s="2">
        <f t="shared" si="33"/>
        <v>-310526</v>
      </c>
      <c r="M168" s="2"/>
      <c r="N168" s="19">
        <f t="shared" si="34"/>
        <v>-0.39960673239142996</v>
      </c>
      <c r="O168" s="11"/>
      <c r="P168" s="2">
        <v>2035029.9999999998</v>
      </c>
      <c r="Q168" s="2"/>
      <c r="R168" s="19">
        <f t="shared" si="35"/>
        <v>0.56785773214286706</v>
      </c>
      <c r="S168" s="2"/>
      <c r="T168" s="2">
        <v>3003907</v>
      </c>
      <c r="U168" s="2"/>
      <c r="V168" s="19">
        <f t="shared" si="36"/>
        <v>0.30860025684883668</v>
      </c>
      <c r="W168" s="2"/>
      <c r="X168" s="2">
        <f t="shared" si="37"/>
        <v>-968877.00000000023</v>
      </c>
      <c r="Y168" s="2"/>
      <c r="Z168" s="19">
        <f t="shared" si="38"/>
        <v>-0.32253894677831246</v>
      </c>
    </row>
    <row r="169" spans="1:26" s="24" customFormat="1" hidden="1" outlineLevel="1" x14ac:dyDescent="0.25">
      <c r="A169" s="44"/>
      <c r="B169" s="11" t="str">
        <f>CONCATENATE("          ", "5500", " - ", "FREIGHT-IN")</f>
        <v xml:space="preserve">          5500 - FREIGHT-IN</v>
      </c>
      <c r="C169" s="11"/>
      <c r="D169" s="2"/>
      <c r="E169" s="2"/>
      <c r="F169" s="19">
        <f t="shared" si="31"/>
        <v>0</v>
      </c>
      <c r="G169" s="2"/>
      <c r="H169" s="2">
        <v>-49</v>
      </c>
      <c r="I169" s="2"/>
      <c r="J169" s="19">
        <f t="shared" si="32"/>
        <v>-1.2223208346878751E-5</v>
      </c>
      <c r="K169" s="2"/>
      <c r="L169" s="2">
        <f t="shared" si="33"/>
        <v>49</v>
      </c>
      <c r="M169" s="2"/>
      <c r="N169" s="19">
        <f t="shared" si="34"/>
        <v>-1</v>
      </c>
      <c r="O169" s="11"/>
      <c r="P169" s="2"/>
      <c r="Q169" s="2"/>
      <c r="R169" s="19">
        <f t="shared" si="35"/>
        <v>0</v>
      </c>
      <c r="S169" s="2"/>
      <c r="T169" s="2">
        <v>0</v>
      </c>
      <c r="U169" s="2"/>
      <c r="V169" s="19">
        <f t="shared" si="36"/>
        <v>0</v>
      </c>
      <c r="W169" s="2"/>
      <c r="X169" s="2">
        <f t="shared" si="37"/>
        <v>0</v>
      </c>
      <c r="Y169" s="2"/>
      <c r="Z169" s="19">
        <f t="shared" si="38"/>
        <v>0</v>
      </c>
    </row>
    <row r="170" spans="1:26" s="24" customFormat="1" hidden="1" outlineLevel="1" x14ac:dyDescent="0.25">
      <c r="A170" s="44"/>
      <c r="B170" s="11" t="str">
        <f>CONCATENATE("          ", "5501", " - ", "FREIGHT-IN-NEW TEXT")</f>
        <v xml:space="preserve">          5501 - FREIGHT-IN-NEW TEXT</v>
      </c>
      <c r="C170" s="11"/>
      <c r="D170" s="2">
        <v>5279.6</v>
      </c>
      <c r="E170" s="2"/>
      <c r="F170" s="19">
        <f t="shared" si="31"/>
        <v>5.8937492399920143E-3</v>
      </c>
      <c r="G170" s="2"/>
      <c r="H170" s="2">
        <v>13859.22</v>
      </c>
      <c r="I170" s="2"/>
      <c r="J170" s="19">
        <f t="shared" si="32"/>
        <v>3.4572272160250796E-3</v>
      </c>
      <c r="K170" s="2"/>
      <c r="L170" s="2">
        <f t="shared" si="33"/>
        <v>-8579.619999999999</v>
      </c>
      <c r="M170" s="2"/>
      <c r="N170" s="19">
        <f t="shared" si="34"/>
        <v>-0.61905504061556127</v>
      </c>
      <c r="O170" s="11"/>
      <c r="P170" s="2">
        <v>10762.88</v>
      </c>
      <c r="Q170" s="2"/>
      <c r="R170" s="19">
        <f t="shared" si="35"/>
        <v>3.0032896950540392E-3</v>
      </c>
      <c r="S170" s="2"/>
      <c r="T170" s="2">
        <v>26583.46</v>
      </c>
      <c r="U170" s="2"/>
      <c r="V170" s="19">
        <f t="shared" si="36"/>
        <v>2.7309975255328397E-3</v>
      </c>
      <c r="W170" s="2"/>
      <c r="X170" s="2">
        <f t="shared" si="37"/>
        <v>-15820.58</v>
      </c>
      <c r="Y170" s="2"/>
      <c r="Z170" s="19">
        <f t="shared" si="38"/>
        <v>-0.595128700327196</v>
      </c>
    </row>
    <row r="171" spans="1:26" s="24" customFormat="1" hidden="1" outlineLevel="1" x14ac:dyDescent="0.25">
      <c r="A171" s="44"/>
      <c r="B171" s="11" t="str">
        <f>CONCATENATE("          ", "5502", " - ", "FREIGHT-IN-USED TEXT")</f>
        <v xml:space="preserve">          5502 - FREIGHT-IN-USED TEXT</v>
      </c>
      <c r="C171" s="11"/>
      <c r="D171" s="2">
        <v>7276.27</v>
      </c>
      <c r="E171" s="2"/>
      <c r="F171" s="19">
        <f t="shared" si="31"/>
        <v>8.1226817907562501E-3</v>
      </c>
      <c r="G171" s="2"/>
      <c r="H171" s="2">
        <v>1998.66</v>
      </c>
      <c r="I171" s="2"/>
      <c r="J171" s="19">
        <f t="shared" si="32"/>
        <v>4.9857219580760578E-4</v>
      </c>
      <c r="K171" s="2"/>
      <c r="L171" s="2">
        <f t="shared" si="33"/>
        <v>5277.6100000000006</v>
      </c>
      <c r="M171" s="2"/>
      <c r="N171" s="19">
        <f t="shared" si="34"/>
        <v>2.6405741847037518</v>
      </c>
      <c r="O171" s="11"/>
      <c r="P171" s="2">
        <v>8510.82</v>
      </c>
      <c r="Q171" s="2"/>
      <c r="R171" s="19">
        <f t="shared" si="35"/>
        <v>2.3748715959352718E-3</v>
      </c>
      <c r="S171" s="2"/>
      <c r="T171" s="2">
        <v>6261.17</v>
      </c>
      <c r="U171" s="2"/>
      <c r="V171" s="19">
        <f t="shared" si="36"/>
        <v>6.432285254417766E-4</v>
      </c>
      <c r="W171" s="2"/>
      <c r="X171" s="2">
        <f t="shared" si="37"/>
        <v>2249.6499999999996</v>
      </c>
      <c r="Y171" s="2"/>
      <c r="Z171" s="19">
        <f t="shared" si="38"/>
        <v>0.35930185572345097</v>
      </c>
    </row>
    <row r="172" spans="1:26" s="24" customFormat="1" hidden="1" outlineLevel="1" x14ac:dyDescent="0.25">
      <c r="A172" s="44"/>
      <c r="B172" s="11" t="str">
        <f>CONCATENATE("          ", "5504", " - ", "FREIGHT-IN-DIGITAL TEXT")</f>
        <v xml:space="preserve">          5504 - FREIGHT-IN-DIGITAL TEXT</v>
      </c>
      <c r="C172" s="11"/>
      <c r="D172" s="2">
        <v>10.99</v>
      </c>
      <c r="E172" s="2"/>
      <c r="F172" s="19">
        <f t="shared" si="31"/>
        <v>1.2268411271216046E-5</v>
      </c>
      <c r="G172" s="2"/>
      <c r="H172" s="2"/>
      <c r="I172" s="2"/>
      <c r="J172" s="19">
        <f t="shared" si="32"/>
        <v>0</v>
      </c>
      <c r="K172" s="2"/>
      <c r="L172" s="2">
        <f t="shared" si="33"/>
        <v>10.99</v>
      </c>
      <c r="M172" s="2"/>
      <c r="N172" s="19">
        <f t="shared" si="34"/>
        <v>0</v>
      </c>
      <c r="O172" s="11"/>
      <c r="P172" s="2">
        <v>10.99</v>
      </c>
      <c r="Q172" s="2"/>
      <c r="R172" s="19">
        <f t="shared" si="35"/>
        <v>3.0666655903107621E-6</v>
      </c>
      <c r="S172" s="2"/>
      <c r="T172" s="2">
        <v>7.03</v>
      </c>
      <c r="U172" s="2"/>
      <c r="V172" s="19">
        <f t="shared" si="36"/>
        <v>7.2221270686719728E-7</v>
      </c>
      <c r="W172" s="2"/>
      <c r="X172" s="2">
        <f t="shared" si="37"/>
        <v>3.96</v>
      </c>
      <c r="Y172" s="2"/>
      <c r="Z172" s="19">
        <f t="shared" si="38"/>
        <v>0.56330014224751068</v>
      </c>
    </row>
    <row r="173" spans="1:26" s="24" customFormat="1" hidden="1" outlineLevel="1" x14ac:dyDescent="0.25">
      <c r="A173" s="44"/>
      <c r="B173" s="11" t="str">
        <f>CONCATENATE("          ", "5526", " - ", "FREIGHT-IN-WRITING INSTRUMENTS")</f>
        <v xml:space="preserve">          5526 - FREIGHT-IN-WRITING INSTRUMENTS</v>
      </c>
      <c r="C173" s="11"/>
      <c r="D173" s="2"/>
      <c r="E173" s="2"/>
      <c r="F173" s="19">
        <f t="shared" si="31"/>
        <v>0</v>
      </c>
      <c r="G173" s="2"/>
      <c r="H173" s="2"/>
      <c r="I173" s="2"/>
      <c r="J173" s="19">
        <f t="shared" si="32"/>
        <v>0</v>
      </c>
      <c r="K173" s="2"/>
      <c r="L173" s="2">
        <f t="shared" si="33"/>
        <v>0</v>
      </c>
      <c r="M173" s="2"/>
      <c r="N173" s="19">
        <f t="shared" si="34"/>
        <v>0</v>
      </c>
      <c r="O173" s="11"/>
      <c r="P173" s="2"/>
      <c r="Q173" s="2"/>
      <c r="R173" s="19">
        <f t="shared" si="35"/>
        <v>0</v>
      </c>
      <c r="S173" s="2"/>
      <c r="T173" s="2">
        <v>56.57</v>
      </c>
      <c r="U173" s="2"/>
      <c r="V173" s="19">
        <f t="shared" si="36"/>
        <v>5.8116035316468492E-6</v>
      </c>
      <c r="W173" s="2"/>
      <c r="X173" s="2">
        <f t="shared" si="37"/>
        <v>-56.57</v>
      </c>
      <c r="Y173" s="2"/>
      <c r="Z173" s="19">
        <f t="shared" si="38"/>
        <v>-1</v>
      </c>
    </row>
    <row r="174" spans="1:26" s="24" customFormat="1" hidden="1" outlineLevel="1" x14ac:dyDescent="0.25">
      <c r="A174" s="44"/>
      <c r="B174" s="11" t="str">
        <f>CONCATENATE("          ", "5527", " - ", "FREIGHT-IN-SCHOOL SUPPLIES")</f>
        <v xml:space="preserve">          5527 - FREIGHT-IN-SCHOOL SUPPLIES</v>
      </c>
      <c r="C174" s="11"/>
      <c r="D174" s="2"/>
      <c r="E174" s="2"/>
      <c r="F174" s="19">
        <f t="shared" si="31"/>
        <v>0</v>
      </c>
      <c r="G174" s="2"/>
      <c r="H174" s="2">
        <v>133.38999999999999</v>
      </c>
      <c r="I174" s="2"/>
      <c r="J174" s="19">
        <f t="shared" si="32"/>
        <v>3.327456655898278E-5</v>
      </c>
      <c r="K174" s="2"/>
      <c r="L174" s="2">
        <f t="shared" si="33"/>
        <v>-133.38999999999999</v>
      </c>
      <c r="M174" s="2"/>
      <c r="N174" s="19">
        <f t="shared" si="34"/>
        <v>-1</v>
      </c>
      <c r="O174" s="11"/>
      <c r="P174" s="2"/>
      <c r="Q174" s="2"/>
      <c r="R174" s="19">
        <f t="shared" si="35"/>
        <v>0</v>
      </c>
      <c r="S174" s="2"/>
      <c r="T174" s="2">
        <v>393.9</v>
      </c>
      <c r="U174" s="2"/>
      <c r="V174" s="19">
        <f t="shared" si="36"/>
        <v>4.0466512835702556E-5</v>
      </c>
      <c r="W174" s="2"/>
      <c r="X174" s="2">
        <f t="shared" si="37"/>
        <v>-393.9</v>
      </c>
      <c r="Y174" s="2"/>
      <c r="Z174" s="19">
        <f t="shared" si="38"/>
        <v>-1</v>
      </c>
    </row>
    <row r="175" spans="1:26" s="24" customFormat="1" hidden="1" outlineLevel="1" x14ac:dyDescent="0.25">
      <c r="A175" s="44"/>
      <c r="B175" s="11" t="str">
        <f>CONCATENATE("          ", "5528", " - ", "FREIGHT-IN-ART/TECH")</f>
        <v xml:space="preserve">          5528 - FREIGHT-IN-ART/TECH</v>
      </c>
      <c r="C175" s="11"/>
      <c r="D175" s="2">
        <v>6.76</v>
      </c>
      <c r="E175" s="2"/>
      <c r="F175" s="19">
        <f t="shared" si="31"/>
        <v>7.5463567054977676E-6</v>
      </c>
      <c r="G175" s="2"/>
      <c r="H175" s="2">
        <v>332.97</v>
      </c>
      <c r="I175" s="2"/>
      <c r="J175" s="19">
        <f t="shared" si="32"/>
        <v>8.306044251551465E-5</v>
      </c>
      <c r="K175" s="2"/>
      <c r="L175" s="2">
        <f t="shared" si="33"/>
        <v>-326.21000000000004</v>
      </c>
      <c r="M175" s="2"/>
      <c r="N175" s="19">
        <f t="shared" si="34"/>
        <v>-0.97969787067904013</v>
      </c>
      <c r="O175" s="11"/>
      <c r="P175" s="2">
        <v>44.81</v>
      </c>
      <c r="Q175" s="2"/>
      <c r="R175" s="19">
        <f t="shared" si="35"/>
        <v>1.250384759798228E-5</v>
      </c>
      <c r="S175" s="2"/>
      <c r="T175" s="2">
        <v>632.77</v>
      </c>
      <c r="U175" s="2"/>
      <c r="V175" s="19">
        <f t="shared" si="36"/>
        <v>6.5006334925228509E-5</v>
      </c>
      <c r="W175" s="2"/>
      <c r="X175" s="2">
        <f t="shared" si="37"/>
        <v>-587.96</v>
      </c>
      <c r="Y175" s="2"/>
      <c r="Z175" s="19">
        <f t="shared" si="38"/>
        <v>-0.92918437979044533</v>
      </c>
    </row>
    <row r="176" spans="1:26" s="24" customFormat="1" hidden="1" outlineLevel="1" x14ac:dyDescent="0.25">
      <c r="A176" s="44"/>
      <c r="B176" s="11" t="str">
        <f>CONCATENATE("          ", "5540", " - ", "FREIGHT-IN-LOGO CLOTHING")</f>
        <v xml:space="preserve">          5540 - FREIGHT-IN-LOGO CLOTHING</v>
      </c>
      <c r="C176" s="11"/>
      <c r="D176" s="2">
        <v>234.23</v>
      </c>
      <c r="E176" s="2"/>
      <c r="F176" s="19">
        <f t="shared" si="31"/>
        <v>2.6147679454567189E-4</v>
      </c>
      <c r="G176" s="2"/>
      <c r="H176" s="2">
        <v>2672.92</v>
      </c>
      <c r="I176" s="2"/>
      <c r="J176" s="19">
        <f t="shared" si="32"/>
        <v>6.6676853172528878E-4</v>
      </c>
      <c r="K176" s="2"/>
      <c r="L176" s="2">
        <f t="shared" si="33"/>
        <v>-2438.69</v>
      </c>
      <c r="M176" s="2"/>
      <c r="N176" s="19">
        <f t="shared" si="34"/>
        <v>-0.91236924412253262</v>
      </c>
      <c r="O176" s="11"/>
      <c r="P176" s="2">
        <v>2165.7600000000002</v>
      </c>
      <c r="Q176" s="2"/>
      <c r="R176" s="19">
        <f t="shared" si="35"/>
        <v>6.0433682155336095E-4</v>
      </c>
      <c r="S176" s="2"/>
      <c r="T176" s="2">
        <v>5004.8599999999997</v>
      </c>
      <c r="U176" s="2"/>
      <c r="V176" s="19">
        <f t="shared" si="36"/>
        <v>5.141640808095819E-4</v>
      </c>
      <c r="W176" s="2"/>
      <c r="X176" s="2">
        <f t="shared" si="37"/>
        <v>-2839.0999999999995</v>
      </c>
      <c r="Y176" s="2"/>
      <c r="Z176" s="19">
        <f t="shared" si="38"/>
        <v>-0.56726861490631098</v>
      </c>
    </row>
    <row r="177" spans="1:26" s="24" customFormat="1" hidden="1" outlineLevel="1" x14ac:dyDescent="0.25">
      <c r="A177" s="44"/>
      <c r="B177" s="11" t="str">
        <f>CONCATENATE("          ", "5541", " - ", "FREIGHT-IN-LOGO GIFTS")</f>
        <v xml:space="preserve">          5541 - FREIGHT-IN-LOGO GIFTS</v>
      </c>
      <c r="C177" s="11"/>
      <c r="D177" s="2">
        <v>154.41</v>
      </c>
      <c r="E177" s="2"/>
      <c r="F177" s="19">
        <f t="shared" si="31"/>
        <v>1.7237173652306364E-4</v>
      </c>
      <c r="G177" s="2"/>
      <c r="H177" s="2">
        <v>97.6</v>
      </c>
      <c r="I177" s="2"/>
      <c r="J177" s="19">
        <f t="shared" si="32"/>
        <v>2.4346635401129915E-5</v>
      </c>
      <c r="K177" s="2"/>
      <c r="L177" s="2">
        <f t="shared" si="33"/>
        <v>56.81</v>
      </c>
      <c r="M177" s="2"/>
      <c r="N177" s="19">
        <f t="shared" si="34"/>
        <v>0.58206967213114758</v>
      </c>
      <c r="O177" s="11"/>
      <c r="P177" s="2">
        <v>361.11</v>
      </c>
      <c r="Q177" s="2"/>
      <c r="R177" s="19">
        <f t="shared" si="35"/>
        <v>1.0076465981047492E-4</v>
      </c>
      <c r="S177" s="2"/>
      <c r="T177" s="2">
        <v>818.01</v>
      </c>
      <c r="U177" s="2"/>
      <c r="V177" s="19">
        <f t="shared" si="36"/>
        <v>8.40365883846993E-5</v>
      </c>
      <c r="W177" s="2"/>
      <c r="X177" s="2">
        <f t="shared" si="37"/>
        <v>-456.9</v>
      </c>
      <c r="Y177" s="2"/>
      <c r="Z177" s="19">
        <f t="shared" si="38"/>
        <v>-0.55855062896541607</v>
      </c>
    </row>
    <row r="178" spans="1:26" s="24" customFormat="1" hidden="1" outlineLevel="1" x14ac:dyDescent="0.25">
      <c r="A178" s="44"/>
      <c r="B178" s="11" t="str">
        <f>CONCATENATE("          ", "5542", " - ", "FREIGHT-IN-EVERYDAY GIFTS")</f>
        <v xml:space="preserve">          5542 - FREIGHT-IN-EVERYDAY GIFTS</v>
      </c>
      <c r="C178" s="11"/>
      <c r="D178" s="2">
        <v>65.44</v>
      </c>
      <c r="E178" s="2"/>
      <c r="F178" s="19">
        <f t="shared" si="31"/>
        <v>7.3052305149078983E-5</v>
      </c>
      <c r="G178" s="2"/>
      <c r="H178" s="2">
        <v>58.91</v>
      </c>
      <c r="I178" s="2"/>
      <c r="J178" s="19">
        <f t="shared" si="32"/>
        <v>1.4695289871727085E-5</v>
      </c>
      <c r="K178" s="2"/>
      <c r="L178" s="2">
        <f t="shared" si="33"/>
        <v>6.5300000000000011</v>
      </c>
      <c r="M178" s="2"/>
      <c r="N178" s="19">
        <f t="shared" si="34"/>
        <v>0.11084705482940081</v>
      </c>
      <c r="O178" s="11"/>
      <c r="P178" s="2">
        <v>71.38</v>
      </c>
      <c r="Q178" s="2"/>
      <c r="R178" s="19">
        <f t="shared" si="35"/>
        <v>1.9917979056995648E-5</v>
      </c>
      <c r="S178" s="2"/>
      <c r="T178" s="2">
        <v>171.68</v>
      </c>
      <c r="U178" s="2"/>
      <c r="V178" s="19">
        <f t="shared" si="36"/>
        <v>1.7637194525598924E-5</v>
      </c>
      <c r="W178" s="2"/>
      <c r="X178" s="2">
        <f t="shared" si="37"/>
        <v>-100.30000000000001</v>
      </c>
      <c r="Y178" s="2"/>
      <c r="Z178" s="19">
        <f t="shared" si="38"/>
        <v>-0.58422646784715759</v>
      </c>
    </row>
    <row r="179" spans="1:26" s="24" customFormat="1" hidden="1" outlineLevel="1" x14ac:dyDescent="0.25">
      <c r="A179" s="44"/>
      <c r="B179" s="11" t="str">
        <f>CONCATENATE("          ", "5543", " - ", "FREIGHT-IN-CARDS")</f>
        <v xml:space="preserve">          5543 - FREIGHT-IN-CARDS</v>
      </c>
      <c r="C179" s="11"/>
      <c r="D179" s="2">
        <v>81.77</v>
      </c>
      <c r="E179" s="2"/>
      <c r="F179" s="19">
        <f t="shared" si="31"/>
        <v>9.1281891687655688E-5</v>
      </c>
      <c r="G179" s="2"/>
      <c r="H179" s="2"/>
      <c r="I179" s="2"/>
      <c r="J179" s="19">
        <f t="shared" si="32"/>
        <v>0</v>
      </c>
      <c r="K179" s="2"/>
      <c r="L179" s="2">
        <f t="shared" si="33"/>
        <v>81.77</v>
      </c>
      <c r="M179" s="2"/>
      <c r="N179" s="19">
        <f t="shared" si="34"/>
        <v>0</v>
      </c>
      <c r="O179" s="11"/>
      <c r="P179" s="2">
        <v>81.77</v>
      </c>
      <c r="Q179" s="2"/>
      <c r="R179" s="19">
        <f t="shared" si="35"/>
        <v>2.2817219774314011E-5</v>
      </c>
      <c r="S179" s="2"/>
      <c r="T179" s="2">
        <v>4.58</v>
      </c>
      <c r="U179" s="2"/>
      <c r="V179" s="19">
        <f t="shared" si="36"/>
        <v>4.7051695554079139E-7</v>
      </c>
      <c r="W179" s="2"/>
      <c r="X179" s="2">
        <f t="shared" si="37"/>
        <v>77.19</v>
      </c>
      <c r="Y179" s="2"/>
      <c r="Z179" s="19">
        <f t="shared" si="38"/>
        <v>16.853711790393014</v>
      </c>
    </row>
    <row r="180" spans="1:26" s="24" customFormat="1" hidden="1" outlineLevel="1" x14ac:dyDescent="0.25">
      <c r="A180" s="44"/>
      <c r="B180" s="11" t="str">
        <f>CONCATENATE("          ", "5544", " - ", "FREIGHT-IN-ACCESSORIES")</f>
        <v xml:space="preserve">          5544 - FREIGHT-IN-ACCESSORIES</v>
      </c>
      <c r="C180" s="11"/>
      <c r="D180" s="2"/>
      <c r="E180" s="2"/>
      <c r="F180" s="19">
        <f t="shared" si="31"/>
        <v>0</v>
      </c>
      <c r="G180" s="2"/>
      <c r="H180" s="2">
        <v>34.18</v>
      </c>
      <c r="I180" s="2"/>
      <c r="J180" s="19">
        <f t="shared" si="32"/>
        <v>8.5263114550268498E-6</v>
      </c>
      <c r="K180" s="2"/>
      <c r="L180" s="2">
        <f t="shared" si="33"/>
        <v>-34.18</v>
      </c>
      <c r="M180" s="2"/>
      <c r="N180" s="19">
        <f t="shared" si="34"/>
        <v>-1</v>
      </c>
      <c r="O180" s="11"/>
      <c r="P180" s="2"/>
      <c r="Q180" s="2"/>
      <c r="R180" s="19">
        <f t="shared" si="35"/>
        <v>0</v>
      </c>
      <c r="S180" s="2"/>
      <c r="T180" s="2">
        <v>135.84</v>
      </c>
      <c r="U180" s="2"/>
      <c r="V180" s="19">
        <f t="shared" si="36"/>
        <v>1.3955245249052643E-5</v>
      </c>
      <c r="W180" s="2"/>
      <c r="X180" s="2">
        <f t="shared" si="37"/>
        <v>-135.84</v>
      </c>
      <c r="Y180" s="2"/>
      <c r="Z180" s="19">
        <f t="shared" si="38"/>
        <v>-1</v>
      </c>
    </row>
    <row r="181" spans="1:26" s="24" customFormat="1" hidden="1" outlineLevel="1" x14ac:dyDescent="0.25">
      <c r="A181" s="44"/>
      <c r="B181" s="11" t="str">
        <f>CONCATENATE("          ", "5545", " - ", "FREIGHT-IN-SPECIAL ORDERS")</f>
        <v xml:space="preserve">          5545 - FREIGHT-IN-SPECIAL ORDERS</v>
      </c>
      <c r="C181" s="11"/>
      <c r="D181" s="2">
        <v>214.61</v>
      </c>
      <c r="E181" s="2"/>
      <c r="F181" s="19">
        <f t="shared" si="31"/>
        <v>2.3957449890042544E-4</v>
      </c>
      <c r="G181" s="2"/>
      <c r="H181" s="2">
        <v>26.56</v>
      </c>
      <c r="I181" s="2"/>
      <c r="J181" s="19">
        <f t="shared" si="32"/>
        <v>6.6254778304714202E-6</v>
      </c>
      <c r="K181" s="2"/>
      <c r="L181" s="2">
        <f t="shared" si="33"/>
        <v>188.05</v>
      </c>
      <c r="M181" s="2"/>
      <c r="N181" s="19">
        <f t="shared" si="34"/>
        <v>7.0801957831325311</v>
      </c>
      <c r="O181" s="11"/>
      <c r="P181" s="2">
        <v>660.61</v>
      </c>
      <c r="Q181" s="2"/>
      <c r="R181" s="19">
        <f t="shared" si="35"/>
        <v>1.8433757557918039E-4</v>
      </c>
      <c r="S181" s="2"/>
      <c r="T181" s="2">
        <v>262.51</v>
      </c>
      <c r="U181" s="2"/>
      <c r="V181" s="19">
        <f t="shared" si="36"/>
        <v>2.6968429257426452E-5</v>
      </c>
      <c r="W181" s="2"/>
      <c r="X181" s="2">
        <f t="shared" si="37"/>
        <v>398.1</v>
      </c>
      <c r="Y181" s="2"/>
      <c r="Z181" s="19">
        <f t="shared" si="38"/>
        <v>1.516513656622605</v>
      </c>
    </row>
    <row r="182" spans="1:26" s="24" customFormat="1" hidden="1" outlineLevel="1" x14ac:dyDescent="0.25">
      <c r="A182" s="44"/>
      <c r="B182" s="11" t="str">
        <f>CONCATENATE("          ", "5581", " - ", "FREIGHT-IN-ELECTRONICS")</f>
        <v xml:space="preserve">          5581 - FREIGHT-IN-ELECTRONICS</v>
      </c>
      <c r="C182" s="11"/>
      <c r="D182" s="2"/>
      <c r="E182" s="2"/>
      <c r="F182" s="19">
        <f t="shared" si="31"/>
        <v>0</v>
      </c>
      <c r="G182" s="2"/>
      <c r="H182" s="2">
        <v>92.95</v>
      </c>
      <c r="I182" s="2"/>
      <c r="J182" s="19">
        <f t="shared" si="32"/>
        <v>2.3186677874334283E-5</v>
      </c>
      <c r="K182" s="2"/>
      <c r="L182" s="2">
        <f t="shared" si="33"/>
        <v>-92.95</v>
      </c>
      <c r="M182" s="2"/>
      <c r="N182" s="19">
        <f t="shared" si="34"/>
        <v>-1</v>
      </c>
      <c r="O182" s="11"/>
      <c r="P182" s="2"/>
      <c r="Q182" s="2"/>
      <c r="R182" s="19">
        <f t="shared" si="35"/>
        <v>0</v>
      </c>
      <c r="S182" s="2"/>
      <c r="T182" s="2">
        <v>92.95</v>
      </c>
      <c r="U182" s="2"/>
      <c r="V182" s="19">
        <f t="shared" si="36"/>
        <v>9.5490286064446645E-6</v>
      </c>
      <c r="W182" s="2"/>
      <c r="X182" s="2">
        <f t="shared" si="37"/>
        <v>-92.95</v>
      </c>
      <c r="Y182" s="2"/>
      <c r="Z182" s="19">
        <f t="shared" si="38"/>
        <v>-1</v>
      </c>
    </row>
    <row r="183" spans="1:26" s="24" customFormat="1" hidden="1" outlineLevel="1" x14ac:dyDescent="0.25">
      <c r="A183" s="44"/>
      <c r="B183" s="11" t="str">
        <f>CONCATENATE("          ", "5582", " - ", "FREIGHT-IN-COMPUTER HARDWARE")</f>
        <v xml:space="preserve">          5582 - FREIGHT-IN-COMPUTER HARDWARE</v>
      </c>
      <c r="C183" s="11"/>
      <c r="D183" s="2">
        <v>24</v>
      </c>
      <c r="E183" s="2"/>
      <c r="F183" s="19">
        <f t="shared" si="31"/>
        <v>2.6791798954429946E-5</v>
      </c>
      <c r="G183" s="2"/>
      <c r="H183" s="2">
        <v>4.84</v>
      </c>
      <c r="I183" s="2"/>
      <c r="J183" s="19">
        <f t="shared" si="32"/>
        <v>1.2073536407937377E-6</v>
      </c>
      <c r="K183" s="2"/>
      <c r="L183" s="2">
        <f t="shared" si="33"/>
        <v>19.16</v>
      </c>
      <c r="M183" s="2"/>
      <c r="N183" s="19">
        <f t="shared" si="34"/>
        <v>3.9586776859504136</v>
      </c>
      <c r="O183" s="11"/>
      <c r="P183" s="2">
        <v>24</v>
      </c>
      <c r="Q183" s="2"/>
      <c r="R183" s="19">
        <f t="shared" si="35"/>
        <v>6.6969949196959319E-6</v>
      </c>
      <c r="S183" s="2"/>
      <c r="T183" s="2">
        <v>4.84</v>
      </c>
      <c r="U183" s="2"/>
      <c r="V183" s="19">
        <f t="shared" si="36"/>
        <v>4.9722752506930792E-7</v>
      </c>
      <c r="W183" s="2"/>
      <c r="X183" s="2">
        <f t="shared" si="37"/>
        <v>19.16</v>
      </c>
      <c r="Y183" s="2"/>
      <c r="Z183" s="19">
        <f t="shared" si="38"/>
        <v>3.9586776859504136</v>
      </c>
    </row>
    <row r="184" spans="1:26" s="24" customFormat="1" hidden="1" outlineLevel="1" x14ac:dyDescent="0.25">
      <c r="A184" s="44"/>
      <c r="B184" s="11" t="str">
        <f>CONCATENATE("          ", "5583", " - ", "FREIGHT-IN-COMPUTER EQUIPMENT")</f>
        <v xml:space="preserve">          5583 - FREIGHT-IN-COMPUTER EQUIPMENT</v>
      </c>
      <c r="C184" s="11"/>
      <c r="D184" s="2">
        <v>156</v>
      </c>
      <c r="E184" s="2"/>
      <c r="F184" s="19">
        <f t="shared" si="31"/>
        <v>1.7414669320379463E-4</v>
      </c>
      <c r="G184" s="2"/>
      <c r="H184" s="2">
        <v>7.86</v>
      </c>
      <c r="I184" s="2"/>
      <c r="J184" s="19">
        <f t="shared" si="32"/>
        <v>1.9607024001319791E-6</v>
      </c>
      <c r="K184" s="2"/>
      <c r="L184" s="2">
        <f t="shared" si="33"/>
        <v>148.13999999999999</v>
      </c>
      <c r="M184" s="2"/>
      <c r="N184" s="19">
        <f t="shared" si="34"/>
        <v>18.847328244274806</v>
      </c>
      <c r="O184" s="11"/>
      <c r="P184" s="2">
        <v>173.39</v>
      </c>
      <c r="Q184" s="2"/>
      <c r="R184" s="19">
        <f t="shared" si="35"/>
        <v>4.8382997880253226E-5</v>
      </c>
      <c r="S184" s="2"/>
      <c r="T184" s="2">
        <v>41</v>
      </c>
      <c r="U184" s="2"/>
      <c r="V184" s="19">
        <f t="shared" si="36"/>
        <v>4.2120513487276089E-6</v>
      </c>
      <c r="W184" s="2"/>
      <c r="X184" s="2">
        <f t="shared" si="37"/>
        <v>132.38999999999999</v>
      </c>
      <c r="Y184" s="2"/>
      <c r="Z184" s="19">
        <f t="shared" si="38"/>
        <v>3.229024390243902</v>
      </c>
    </row>
    <row r="185" spans="1:26" s="24" customFormat="1" hidden="1" outlineLevel="1" x14ac:dyDescent="0.25">
      <c r="A185" s="44"/>
      <c r="B185" s="11" t="str">
        <f>CONCATENATE("          ", "5586", " - ", "FREIGHT-IN-COMPUTER SUPPLIES")</f>
        <v xml:space="preserve">          5586 - FREIGHT-IN-COMPUTER SUPPLIES</v>
      </c>
      <c r="C185" s="11"/>
      <c r="D185" s="2"/>
      <c r="E185" s="2"/>
      <c r="F185" s="19">
        <f t="shared" si="31"/>
        <v>0</v>
      </c>
      <c r="G185" s="2"/>
      <c r="H185" s="2">
        <v>65.36</v>
      </c>
      <c r="I185" s="2"/>
      <c r="J185" s="19">
        <f t="shared" si="32"/>
        <v>1.6304263215346839E-5</v>
      </c>
      <c r="K185" s="2"/>
      <c r="L185" s="2">
        <f t="shared" si="33"/>
        <v>-65.36</v>
      </c>
      <c r="M185" s="2"/>
      <c r="N185" s="19">
        <f t="shared" si="34"/>
        <v>-1</v>
      </c>
      <c r="O185" s="11"/>
      <c r="P185" s="2">
        <v>24.12</v>
      </c>
      <c r="Q185" s="2"/>
      <c r="R185" s="19">
        <f t="shared" si="35"/>
        <v>6.7304798942944112E-6</v>
      </c>
      <c r="S185" s="2"/>
      <c r="T185" s="2">
        <v>102.39</v>
      </c>
      <c r="U185" s="2"/>
      <c r="V185" s="19">
        <f t="shared" si="36"/>
        <v>1.0518827746249264E-5</v>
      </c>
      <c r="W185" s="2"/>
      <c r="X185" s="2">
        <f t="shared" si="37"/>
        <v>-78.27</v>
      </c>
      <c r="Y185" s="2"/>
      <c r="Z185" s="19">
        <f t="shared" si="38"/>
        <v>-0.76443012012891876</v>
      </c>
    </row>
    <row r="186" spans="1:26" s="24" customFormat="1" hidden="1" outlineLevel="1" x14ac:dyDescent="0.25">
      <c r="A186" s="44"/>
      <c r="B186" s="11" t="str">
        <f>CONCATENATE("          ", "5592", " - ", "FREIGHT-IN-GRAD MERCH")</f>
        <v xml:space="preserve">          5592 - FREIGHT-IN-GRAD MERCH</v>
      </c>
      <c r="C186" s="11"/>
      <c r="D186" s="2"/>
      <c r="E186" s="2"/>
      <c r="F186" s="19">
        <f t="shared" si="31"/>
        <v>0</v>
      </c>
      <c r="G186" s="2"/>
      <c r="H186" s="2">
        <v>11.21</v>
      </c>
      <c r="I186" s="2"/>
      <c r="J186" s="19">
        <f t="shared" si="32"/>
        <v>2.7963707258879756E-6</v>
      </c>
      <c r="K186" s="2"/>
      <c r="L186" s="2">
        <f t="shared" si="33"/>
        <v>-11.21</v>
      </c>
      <c r="M186" s="2"/>
      <c r="N186" s="19">
        <f t="shared" si="34"/>
        <v>-1</v>
      </c>
      <c r="O186" s="11"/>
      <c r="P186" s="2"/>
      <c r="Q186" s="2"/>
      <c r="R186" s="19">
        <f t="shared" si="35"/>
        <v>0</v>
      </c>
      <c r="S186" s="2"/>
      <c r="T186" s="2">
        <v>70.78</v>
      </c>
      <c r="U186" s="2"/>
      <c r="V186" s="19">
        <f t="shared" si="36"/>
        <v>7.2714388893400036E-6</v>
      </c>
      <c r="W186" s="2"/>
      <c r="X186" s="2">
        <f t="shared" si="37"/>
        <v>-70.78</v>
      </c>
      <c r="Y186" s="2"/>
      <c r="Z186" s="19">
        <f t="shared" si="38"/>
        <v>-1</v>
      </c>
    </row>
    <row r="187" spans="1:26" x14ac:dyDescent="0.25">
      <c r="A187" s="9"/>
      <c r="B187" s="10"/>
      <c r="C187" s="10"/>
      <c r="D187" s="3"/>
      <c r="E187" s="3"/>
      <c r="F187" s="8"/>
      <c r="G187" s="3"/>
      <c r="H187" s="3"/>
      <c r="I187" s="3"/>
      <c r="J187" s="8"/>
      <c r="K187" s="3"/>
      <c r="L187" s="3"/>
      <c r="M187" s="3"/>
      <c r="N187" s="8"/>
      <c r="O187" s="10"/>
      <c r="P187" s="3"/>
      <c r="Q187" s="3"/>
      <c r="R187" s="8"/>
      <c r="S187" s="3"/>
      <c r="T187" s="3"/>
      <c r="U187" s="3"/>
      <c r="V187" s="8"/>
      <c r="W187" s="3"/>
      <c r="X187" s="3"/>
      <c r="Y187" s="3"/>
      <c r="Z187" s="8"/>
    </row>
    <row r="188" spans="1:26" s="23" customFormat="1" x14ac:dyDescent="0.25">
      <c r="A188" s="10"/>
      <c r="B188" s="25" t="s">
        <v>6</v>
      </c>
      <c r="C188" s="25"/>
      <c r="D188" s="22">
        <f>D12-D130</f>
        <v>357053.18000000028</v>
      </c>
      <c r="E188" s="13"/>
      <c r="F188" s="21">
        <f>IF(D$12=0,0,D188/D$12)</f>
        <v>0.39858737560832891</v>
      </c>
      <c r="G188" s="13"/>
      <c r="H188" s="22">
        <f>H12-H130</f>
        <v>2337855.0199999986</v>
      </c>
      <c r="I188" s="13"/>
      <c r="J188" s="21">
        <f>IF(H$12=0,0,H188/H$12)</f>
        <v>0.58318548967870143</v>
      </c>
      <c r="K188" s="15"/>
      <c r="L188" s="22">
        <f>+D188-H188</f>
        <v>-1980801.8399999985</v>
      </c>
      <c r="M188" s="15"/>
      <c r="N188" s="21">
        <f>IF(H188=0,0,L188/H188)</f>
        <v>-0.8472731726537942</v>
      </c>
      <c r="O188" s="26"/>
      <c r="P188" s="22">
        <f>P12-P130</f>
        <v>1099976.7299999991</v>
      </c>
      <c r="Q188" s="13"/>
      <c r="R188" s="21">
        <f>IF(P$12=0,0,P188/P$12)</f>
        <v>0.30693910719140571</v>
      </c>
      <c r="S188" s="13"/>
      <c r="T188" s="22">
        <f>T12-T130</f>
        <v>4730691.8799999962</v>
      </c>
      <c r="U188" s="13"/>
      <c r="V188" s="21">
        <f>IF(T$12=0,0,T188/T$12)</f>
        <v>0.48599797837972514</v>
      </c>
      <c r="W188" s="15"/>
      <c r="X188" s="22">
        <f>+P188-T188</f>
        <v>-3630715.1499999971</v>
      </c>
      <c r="Y188" s="15"/>
      <c r="Z188" s="21">
        <f>IF(T188=0,0,X188/T188)</f>
        <v>-0.76748079183715512</v>
      </c>
    </row>
    <row r="189" spans="1:26" x14ac:dyDescent="0.25">
      <c r="A189" s="9"/>
      <c r="B189" s="10"/>
      <c r="C189" s="9"/>
      <c r="D189" s="1"/>
      <c r="E189" s="1"/>
      <c r="F189" s="5"/>
      <c r="G189" s="1"/>
      <c r="H189" s="1"/>
      <c r="I189" s="1"/>
      <c r="J189" s="5"/>
      <c r="K189" s="1"/>
      <c r="L189" s="1"/>
      <c r="M189" s="1"/>
      <c r="N189" s="5"/>
      <c r="O189" s="37"/>
      <c r="P189" s="1"/>
      <c r="Q189" s="1"/>
      <c r="R189" s="5"/>
      <c r="S189" s="1"/>
      <c r="T189" s="1"/>
      <c r="U189" s="1"/>
      <c r="V189" s="5"/>
      <c r="W189" s="1"/>
      <c r="X189" s="1"/>
      <c r="Y189" s="1"/>
      <c r="Z189" s="5"/>
    </row>
    <row r="190" spans="1:26" s="23" customFormat="1" x14ac:dyDescent="0.25">
      <c r="A190" s="10"/>
      <c r="B190" s="26" t="s">
        <v>9</v>
      </c>
      <c r="C190" s="10"/>
      <c r="D190" s="20">
        <f>SUM(OSRRefD22x_0)</f>
        <v>689724.47</v>
      </c>
      <c r="E190" s="20"/>
      <c r="F190" s="36">
        <f t="shared" ref="F190:F201" si="39">IF(D$12=0,0,D190/D$12)</f>
        <v>0.76995663892461441</v>
      </c>
      <c r="G190" s="20"/>
      <c r="H190" s="20">
        <f>SUM(OSRRefH22x_0)</f>
        <v>1621976.6500000006</v>
      </c>
      <c r="I190" s="20"/>
      <c r="J190" s="36">
        <f t="shared" ref="J190:J201" si="40">IF(H$12=0,0,H190/H$12)</f>
        <v>0.40460731687188656</v>
      </c>
      <c r="K190" s="4"/>
      <c r="L190" s="20">
        <f t="shared" ref="L190:L201" si="41">+D190-H190</f>
        <v>-932252.18000000063</v>
      </c>
      <c r="M190" s="4"/>
      <c r="N190" s="36">
        <f t="shared" ref="N190:N201" si="42">IF(H190=0,0,L190/H190)</f>
        <v>-0.57476300907291134</v>
      </c>
      <c r="O190" s="10"/>
      <c r="P190" s="20">
        <f>SUM(OSRRefP22x_0)</f>
        <v>1998642.2599999993</v>
      </c>
      <c r="Q190" s="20"/>
      <c r="R190" s="36">
        <f t="shared" ref="R190:R201" si="43">IF(P$12=0,0,P190/P$12)</f>
        <v>0.55770404422956632</v>
      </c>
      <c r="S190" s="20"/>
      <c r="T190" s="20">
        <f>SUM(OSRRefT22x_0)</f>
        <v>4285479.4999999991</v>
      </c>
      <c r="U190" s="20"/>
      <c r="V190" s="36">
        <f t="shared" ref="V190:V201" si="44">IF(T$12=0,0,T190/T$12)</f>
        <v>0.44025999287608569</v>
      </c>
      <c r="W190" s="4"/>
      <c r="X190" s="20">
        <f t="shared" ref="X190:X201" si="45">+P190-T190</f>
        <v>-2286837.2399999998</v>
      </c>
      <c r="Y190" s="4"/>
      <c r="Z190" s="36">
        <f t="shared" ref="Z190:Z201" si="46">IF(T190=0,0,X190/T190)</f>
        <v>-0.53362458973377436</v>
      </c>
    </row>
    <row r="191" spans="1:26" s="27" customFormat="1" outlineLevel="1" collapsed="1" x14ac:dyDescent="0.25">
      <c r="A191" s="29"/>
      <c r="B191" s="14" t="str">
        <f>CONCATENATE("     ","*Benefits                                         ")</f>
        <v xml:space="preserve">     *Benefits                                         </v>
      </c>
      <c r="C191" s="14"/>
      <c r="D191" s="1">
        <f>SUM(OSRRefD22_0x_0)</f>
        <v>157498.78</v>
      </c>
      <c r="E191" s="1"/>
      <c r="F191" s="5">
        <f t="shared" si="39"/>
        <v>0.17581981872199967</v>
      </c>
      <c r="G191" s="1"/>
      <c r="H191" s="1">
        <f>SUM(OSRRefH22_0x_0)</f>
        <v>239113.31000000003</v>
      </c>
      <c r="I191" s="1"/>
      <c r="J191" s="5">
        <f t="shared" si="40"/>
        <v>5.9647587890649112E-2</v>
      </c>
      <c r="K191" s="1"/>
      <c r="L191" s="1">
        <f t="shared" si="41"/>
        <v>-81614.530000000028</v>
      </c>
      <c r="M191" s="1"/>
      <c r="N191" s="5">
        <f t="shared" si="42"/>
        <v>-0.34132156842293732</v>
      </c>
      <c r="O191" s="14"/>
      <c r="P191" s="1">
        <f>SUM(OSRRefP22_0x_0)</f>
        <v>463577.5</v>
      </c>
      <c r="Q191" s="1"/>
      <c r="R191" s="5">
        <f t="shared" si="43"/>
        <v>0.12935734009938921</v>
      </c>
      <c r="S191" s="1"/>
      <c r="T191" s="1">
        <f>SUM(OSRRefT22_0x_0)</f>
        <v>700895.40000000014</v>
      </c>
      <c r="U191" s="1"/>
      <c r="V191" s="5">
        <f t="shared" si="44"/>
        <v>7.2005058899682367E-2</v>
      </c>
      <c r="W191" s="1"/>
      <c r="X191" s="1">
        <f t="shared" si="45"/>
        <v>-237317.90000000014</v>
      </c>
      <c r="Y191" s="1"/>
      <c r="Z191" s="5">
        <f t="shared" si="46"/>
        <v>-0.33859246329766196</v>
      </c>
    </row>
    <row r="192" spans="1:26" s="24" customFormat="1" hidden="1" outlineLevel="2" x14ac:dyDescent="0.25">
      <c r="A192" s="28"/>
      <c r="B192" s="11" t="str">
        <f>CONCATENATE("          ", "6111", " - ", "F.I.C.A.")</f>
        <v xml:space="preserve">          6111 - F.I.C.A.</v>
      </c>
      <c r="C192" s="11"/>
      <c r="D192" s="7">
        <v>24213.34</v>
      </c>
      <c r="E192" s="2"/>
      <c r="F192" s="6">
        <f t="shared" si="39"/>
        <v>2.7029955720635698E-2</v>
      </c>
      <c r="G192" s="2"/>
      <c r="H192" s="7">
        <v>35451.65</v>
      </c>
      <c r="I192" s="2"/>
      <c r="J192" s="6">
        <f t="shared" si="40"/>
        <v>8.8435286569515121E-3</v>
      </c>
      <c r="K192" s="2"/>
      <c r="L192" s="7">
        <f t="shared" si="41"/>
        <v>-11238.310000000001</v>
      </c>
      <c r="M192" s="2"/>
      <c r="N192" s="6">
        <f t="shared" si="42"/>
        <v>-0.31700386300778671</v>
      </c>
      <c r="O192" s="11"/>
      <c r="P192" s="7">
        <v>65678.210000000006</v>
      </c>
      <c r="Q192" s="2"/>
      <c r="R192" s="6">
        <f t="shared" si="43"/>
        <v>1.832694327936344E-2</v>
      </c>
      <c r="S192" s="2"/>
      <c r="T192" s="7">
        <v>117898.25</v>
      </c>
      <c r="U192" s="2"/>
      <c r="V192" s="6">
        <f t="shared" si="44"/>
        <v>1.2112036168905483E-2</v>
      </c>
      <c r="W192" s="2"/>
      <c r="X192" s="7">
        <f t="shared" si="45"/>
        <v>-52220.039999999994</v>
      </c>
      <c r="Y192" s="2"/>
      <c r="Z192" s="6">
        <f t="shared" si="46"/>
        <v>-0.44292464052689495</v>
      </c>
    </row>
    <row r="193" spans="1:26" s="24" customFormat="1" hidden="1" outlineLevel="2" x14ac:dyDescent="0.25">
      <c r="A193" s="28"/>
      <c r="B193" s="11" t="str">
        <f>CONCATENATE("          ", "6112", " - ", "COMPENSATION INSURANCE")</f>
        <v xml:space="preserve">          6112 - COMPENSATION INSURANCE</v>
      </c>
      <c r="C193" s="11"/>
      <c r="D193" s="7">
        <v>10584.2</v>
      </c>
      <c r="E193" s="2"/>
      <c r="F193" s="6">
        <f t="shared" si="39"/>
        <v>1.1815406603894893E-2</v>
      </c>
      <c r="G193" s="2"/>
      <c r="H193" s="7">
        <v>24731.89</v>
      </c>
      <c r="I193" s="2"/>
      <c r="J193" s="6">
        <f t="shared" si="40"/>
        <v>6.1694498833078995E-3</v>
      </c>
      <c r="K193" s="2"/>
      <c r="L193" s="7">
        <f t="shared" si="41"/>
        <v>-14147.689999999999</v>
      </c>
      <c r="M193" s="2"/>
      <c r="N193" s="6">
        <f t="shared" si="42"/>
        <v>-0.57204241163938541</v>
      </c>
      <c r="O193" s="11"/>
      <c r="P193" s="7">
        <v>23984.969999999998</v>
      </c>
      <c r="Q193" s="2"/>
      <c r="R193" s="6">
        <f t="shared" si="43"/>
        <v>6.6928009266274714E-3</v>
      </c>
      <c r="S193" s="2"/>
      <c r="T193" s="7">
        <v>56642.409999999996</v>
      </c>
      <c r="U193" s="2"/>
      <c r="V193" s="6">
        <f t="shared" si="44"/>
        <v>5.8190424252605403E-3</v>
      </c>
      <c r="W193" s="2"/>
      <c r="X193" s="7">
        <f t="shared" si="45"/>
        <v>-32657.439999999999</v>
      </c>
      <c r="Y193" s="2"/>
      <c r="Z193" s="6">
        <f t="shared" si="46"/>
        <v>-0.57655456397423765</v>
      </c>
    </row>
    <row r="194" spans="1:26" s="24" customFormat="1" hidden="1" outlineLevel="2" x14ac:dyDescent="0.25">
      <c r="A194" s="28"/>
      <c r="B194" s="11" t="str">
        <f>CONCATENATE("          ", "6113", " - ", "GROUP INSURANCE")</f>
        <v xml:space="preserve">          6113 - GROUP INSURANCE</v>
      </c>
      <c r="C194" s="11"/>
      <c r="D194" s="7">
        <v>74825.47</v>
      </c>
      <c r="E194" s="2"/>
      <c r="F194" s="6">
        <f t="shared" si="39"/>
        <v>8.3529539537947048E-2</v>
      </c>
      <c r="G194" s="2"/>
      <c r="H194" s="7">
        <v>93890.200000000012</v>
      </c>
      <c r="I194" s="2"/>
      <c r="J194" s="6">
        <f t="shared" si="40"/>
        <v>2.3421213802655414E-2</v>
      </c>
      <c r="K194" s="2"/>
      <c r="L194" s="7">
        <f t="shared" si="41"/>
        <v>-19064.73000000001</v>
      </c>
      <c r="M194" s="2"/>
      <c r="N194" s="6">
        <f t="shared" si="42"/>
        <v>-0.20305346031854238</v>
      </c>
      <c r="O194" s="11"/>
      <c r="P194" s="7">
        <v>226050.11000000002</v>
      </c>
      <c r="Q194" s="2"/>
      <c r="R194" s="6">
        <f t="shared" si="43"/>
        <v>6.3077351594446107E-2</v>
      </c>
      <c r="S194" s="2"/>
      <c r="T194" s="7">
        <v>280351.12</v>
      </c>
      <c r="U194" s="2"/>
      <c r="V194" s="6">
        <f t="shared" si="44"/>
        <v>2.8801300319836479E-2</v>
      </c>
      <c r="W194" s="2"/>
      <c r="X194" s="7">
        <f t="shared" si="45"/>
        <v>-54301.00999999998</v>
      </c>
      <c r="Y194" s="2"/>
      <c r="Z194" s="6">
        <f t="shared" si="46"/>
        <v>-0.19368929219901093</v>
      </c>
    </row>
    <row r="195" spans="1:26" s="24" customFormat="1" hidden="1" outlineLevel="2" x14ac:dyDescent="0.25">
      <c r="A195" s="28"/>
      <c r="B195" s="11" t="str">
        <f>CONCATENATE("          ", "6114", " - ", "STATE UNEMPLOYMENT INSURANCE")</f>
        <v xml:space="preserve">          6114 - STATE UNEMPLOYMENT INSURANCE</v>
      </c>
      <c r="C195" s="11"/>
      <c r="D195" s="7">
        <v>982.97</v>
      </c>
      <c r="E195" s="2"/>
      <c r="F195" s="6">
        <f t="shared" si="39"/>
        <v>1.0973139424265001E-3</v>
      </c>
      <c r="G195" s="2"/>
      <c r="H195" s="7">
        <v>2173.44</v>
      </c>
      <c r="I195" s="2"/>
      <c r="J195" s="6">
        <f t="shared" si="40"/>
        <v>5.4217163162122758E-4</v>
      </c>
      <c r="K195" s="2"/>
      <c r="L195" s="7">
        <f t="shared" si="41"/>
        <v>-1190.47</v>
      </c>
      <c r="M195" s="2"/>
      <c r="N195" s="6">
        <f t="shared" si="42"/>
        <v>-0.54773538722025916</v>
      </c>
      <c r="O195" s="11"/>
      <c r="P195" s="7">
        <v>2484.44</v>
      </c>
      <c r="Q195" s="2"/>
      <c r="R195" s="6">
        <f t="shared" si="43"/>
        <v>6.9326175242872341E-4</v>
      </c>
      <c r="S195" s="2"/>
      <c r="T195" s="7">
        <v>5034.71</v>
      </c>
      <c r="U195" s="2"/>
      <c r="V195" s="6">
        <f t="shared" si="44"/>
        <v>5.1723065965737509E-4</v>
      </c>
      <c r="W195" s="2"/>
      <c r="X195" s="7">
        <f t="shared" si="45"/>
        <v>-2550.27</v>
      </c>
      <c r="Y195" s="2"/>
      <c r="Z195" s="6">
        <f t="shared" si="46"/>
        <v>-0.50653761587062607</v>
      </c>
    </row>
    <row r="196" spans="1:26" s="24" customFormat="1" hidden="1" outlineLevel="2" x14ac:dyDescent="0.25">
      <c r="A196" s="28"/>
      <c r="B196" s="11" t="str">
        <f>CONCATENATE("          ", "6115", " - ", "P.E.R.S.")</f>
        <v xml:space="preserve">          6115 - P.E.R.S.</v>
      </c>
      <c r="C196" s="11"/>
      <c r="D196" s="7">
        <v>14016.4</v>
      </c>
      <c r="E196" s="2"/>
      <c r="F196" s="6">
        <f t="shared" si="39"/>
        <v>1.564685711936966E-2</v>
      </c>
      <c r="G196" s="2"/>
      <c r="H196" s="7">
        <v>18918.350000000002</v>
      </c>
      <c r="I196" s="2"/>
      <c r="J196" s="6">
        <f t="shared" si="40"/>
        <v>4.7192435434525231E-3</v>
      </c>
      <c r="K196" s="2"/>
      <c r="L196" s="7">
        <f t="shared" si="41"/>
        <v>-4901.9500000000025</v>
      </c>
      <c r="M196" s="2"/>
      <c r="N196" s="6">
        <f t="shared" si="42"/>
        <v>-0.25911086326238819</v>
      </c>
      <c r="O196" s="11"/>
      <c r="P196" s="7">
        <v>49509.35</v>
      </c>
      <c r="Q196" s="2"/>
      <c r="R196" s="6">
        <f t="shared" si="43"/>
        <v>1.381516105947699E-2</v>
      </c>
      <c r="S196" s="2"/>
      <c r="T196" s="7">
        <v>55541.18</v>
      </c>
      <c r="U196" s="2"/>
      <c r="V196" s="6">
        <f t="shared" si="44"/>
        <v>5.7059098080225095E-3</v>
      </c>
      <c r="W196" s="2"/>
      <c r="X196" s="7">
        <f t="shared" si="45"/>
        <v>-6031.8300000000017</v>
      </c>
      <c r="Y196" s="2"/>
      <c r="Z196" s="6">
        <f t="shared" si="46"/>
        <v>-0.10860104160552587</v>
      </c>
    </row>
    <row r="197" spans="1:26" s="24" customFormat="1" hidden="1" outlineLevel="2" x14ac:dyDescent="0.25">
      <c r="A197" s="28"/>
      <c r="B197" s="11" t="str">
        <f>CONCATENATE("          ", "6116", " - ", "EDUCATIONAL BENEFITS")</f>
        <v xml:space="preserve">          6116 - EDUCATIONAL BENEFITS</v>
      </c>
      <c r="C197" s="11"/>
      <c r="D197" s="7"/>
      <c r="E197" s="2"/>
      <c r="F197" s="6">
        <f t="shared" si="39"/>
        <v>0</v>
      </c>
      <c r="G197" s="2"/>
      <c r="H197" s="7"/>
      <c r="I197" s="2"/>
      <c r="J197" s="6">
        <f t="shared" si="40"/>
        <v>0</v>
      </c>
      <c r="K197" s="2"/>
      <c r="L197" s="7">
        <f t="shared" si="41"/>
        <v>0</v>
      </c>
      <c r="M197" s="2"/>
      <c r="N197" s="6">
        <f t="shared" si="42"/>
        <v>0</v>
      </c>
      <c r="O197" s="11"/>
      <c r="P197" s="7">
        <v>0</v>
      </c>
      <c r="Q197" s="2"/>
      <c r="R197" s="6">
        <f t="shared" si="43"/>
        <v>0</v>
      </c>
      <c r="S197" s="2"/>
      <c r="T197" s="7"/>
      <c r="U197" s="2"/>
      <c r="V197" s="6">
        <f t="shared" si="44"/>
        <v>0</v>
      </c>
      <c r="W197" s="2"/>
      <c r="X197" s="7">
        <f t="shared" si="45"/>
        <v>0</v>
      </c>
      <c r="Y197" s="2"/>
      <c r="Z197" s="6">
        <f t="shared" si="46"/>
        <v>0</v>
      </c>
    </row>
    <row r="198" spans="1:26" s="24" customFormat="1" hidden="1" outlineLevel="2" x14ac:dyDescent="0.25">
      <c r="A198" s="28"/>
      <c r="B198" s="11" t="str">
        <f>CONCATENATE("          ", "6117", " - ", "RETIREMENT STAFF HOURLY")</f>
        <v xml:space="preserve">          6117 - RETIREMENT STAFF HOURLY</v>
      </c>
      <c r="C198" s="11"/>
      <c r="D198" s="7">
        <v>2046.41</v>
      </c>
      <c r="E198" s="2"/>
      <c r="F198" s="6">
        <f t="shared" si="39"/>
        <v>2.2844585540972911E-3</v>
      </c>
      <c r="G198" s="2"/>
      <c r="H198" s="7">
        <v>2816.51</v>
      </c>
      <c r="I198" s="2"/>
      <c r="J198" s="6">
        <f t="shared" si="40"/>
        <v>7.0258752124627494E-4</v>
      </c>
      <c r="K198" s="2"/>
      <c r="L198" s="7">
        <f t="shared" si="41"/>
        <v>-770.10000000000014</v>
      </c>
      <c r="M198" s="2"/>
      <c r="N198" s="6">
        <f t="shared" si="42"/>
        <v>-0.27342349219424039</v>
      </c>
      <c r="O198" s="11"/>
      <c r="P198" s="7">
        <v>6616.3</v>
      </c>
      <c r="Q198" s="2"/>
      <c r="R198" s="6">
        <f t="shared" si="43"/>
        <v>1.8462219786326748E-3</v>
      </c>
      <c r="S198" s="2"/>
      <c r="T198" s="7">
        <v>6042.17</v>
      </c>
      <c r="U198" s="2"/>
      <c r="V198" s="6">
        <f t="shared" si="44"/>
        <v>6.2073000726198767E-4</v>
      </c>
      <c r="W198" s="2"/>
      <c r="X198" s="7">
        <f t="shared" si="45"/>
        <v>574.13000000000011</v>
      </c>
      <c r="Y198" s="2"/>
      <c r="Z198" s="6">
        <f t="shared" si="46"/>
        <v>9.5020497602682497E-2</v>
      </c>
    </row>
    <row r="199" spans="1:26" s="24" customFormat="1" hidden="1" outlineLevel="2" x14ac:dyDescent="0.25">
      <c r="A199" s="28"/>
      <c r="B199" s="11" t="str">
        <f>CONCATENATE("          ", "6118", " - ", "VACATION")</f>
        <v xml:space="preserve">          6118 - VACATION</v>
      </c>
      <c r="C199" s="11"/>
      <c r="D199" s="7">
        <v>15107.470000000001</v>
      </c>
      <c r="E199" s="2"/>
      <c r="F199" s="6">
        <f t="shared" si="39"/>
        <v>1.686484578958674E-2</v>
      </c>
      <c r="G199" s="2"/>
      <c r="H199" s="7">
        <v>25071.38</v>
      </c>
      <c r="I199" s="2"/>
      <c r="J199" s="6">
        <f t="shared" si="40"/>
        <v>6.2541367608932438E-3</v>
      </c>
      <c r="K199" s="2"/>
      <c r="L199" s="7">
        <f t="shared" si="41"/>
        <v>-9963.91</v>
      </c>
      <c r="M199" s="2"/>
      <c r="N199" s="6">
        <f t="shared" si="42"/>
        <v>-0.3974216816146538</v>
      </c>
      <c r="O199" s="11"/>
      <c r="P199" s="7">
        <v>44276.85</v>
      </c>
      <c r="Q199" s="2"/>
      <c r="R199" s="6">
        <f t="shared" si="43"/>
        <v>1.2355076646255783E-2</v>
      </c>
      <c r="S199" s="2"/>
      <c r="T199" s="7">
        <v>73900.099999999991</v>
      </c>
      <c r="U199" s="2"/>
      <c r="V199" s="6">
        <f t="shared" si="44"/>
        <v>7.5919759969781736E-3</v>
      </c>
      <c r="W199" s="2"/>
      <c r="X199" s="7">
        <f t="shared" si="45"/>
        <v>-29623.249999999993</v>
      </c>
      <c r="Y199" s="2"/>
      <c r="Z199" s="6">
        <f t="shared" si="46"/>
        <v>-0.40085534390345878</v>
      </c>
    </row>
    <row r="200" spans="1:26" s="24" customFormat="1" hidden="1" outlineLevel="2" x14ac:dyDescent="0.25">
      <c r="A200" s="28"/>
      <c r="B200" s="11" t="str">
        <f>CONCATENATE("          ", "6119", " - ", "SICK LEAVE")</f>
        <v xml:space="preserve">          6119 - SICK LEAVE</v>
      </c>
      <c r="C200" s="11"/>
      <c r="D200" s="7">
        <v>10103.620000000001</v>
      </c>
      <c r="E200" s="2"/>
      <c r="F200" s="6">
        <f t="shared" si="39"/>
        <v>1.1278923156331562E-2</v>
      </c>
      <c r="G200" s="2"/>
      <c r="H200" s="7">
        <v>26478.46</v>
      </c>
      <c r="I200" s="2"/>
      <c r="J200" s="6">
        <f t="shared" si="40"/>
        <v>6.6051374139692873E-3</v>
      </c>
      <c r="K200" s="2"/>
      <c r="L200" s="7">
        <f t="shared" si="41"/>
        <v>-16374.839999999998</v>
      </c>
      <c r="M200" s="2"/>
      <c r="N200" s="6">
        <f t="shared" si="42"/>
        <v>-0.61842116195579344</v>
      </c>
      <c r="O200" s="11"/>
      <c r="P200" s="7">
        <v>30502.739999999998</v>
      </c>
      <c r="Q200" s="2"/>
      <c r="R200" s="6">
        <f t="shared" si="43"/>
        <v>8.5115289507002451E-3</v>
      </c>
      <c r="S200" s="2"/>
      <c r="T200" s="7">
        <v>79594.42</v>
      </c>
      <c r="U200" s="2"/>
      <c r="V200" s="6">
        <f t="shared" si="44"/>
        <v>8.1769703441997976E-3</v>
      </c>
      <c r="W200" s="2"/>
      <c r="X200" s="7">
        <f t="shared" si="45"/>
        <v>-49091.68</v>
      </c>
      <c r="Y200" s="2"/>
      <c r="Z200" s="6">
        <f t="shared" si="46"/>
        <v>-0.61677288433033373</v>
      </c>
    </row>
    <row r="201" spans="1:26" s="24" customFormat="1" hidden="1" outlineLevel="2" x14ac:dyDescent="0.25">
      <c r="A201" s="28"/>
      <c r="B201" s="11" t="str">
        <f>CONCATENATE("          ", "6156", " - ", "EMPLOYEE MEALS")</f>
        <v xml:space="preserve">          6156 - EMPLOYEE MEALS</v>
      </c>
      <c r="C201" s="11"/>
      <c r="D201" s="7">
        <v>5618.9</v>
      </c>
      <c r="E201" s="2"/>
      <c r="F201" s="6">
        <f t="shared" si="39"/>
        <v>6.2725182977102665E-3</v>
      </c>
      <c r="G201" s="2"/>
      <c r="H201" s="7">
        <v>9581.43</v>
      </c>
      <c r="I201" s="2"/>
      <c r="J201" s="6">
        <f t="shared" si="40"/>
        <v>2.3901186765517236E-3</v>
      </c>
      <c r="K201" s="2"/>
      <c r="L201" s="7">
        <f t="shared" si="41"/>
        <v>-3962.5300000000007</v>
      </c>
      <c r="M201" s="2"/>
      <c r="N201" s="6">
        <f t="shared" si="42"/>
        <v>-0.41356352861733586</v>
      </c>
      <c r="O201" s="11"/>
      <c r="P201" s="7">
        <v>14474.53</v>
      </c>
      <c r="Q201" s="2"/>
      <c r="R201" s="6">
        <f t="shared" si="43"/>
        <v>4.0389939114577646E-3</v>
      </c>
      <c r="S201" s="2"/>
      <c r="T201" s="7">
        <v>25891.040000000001</v>
      </c>
      <c r="U201" s="2"/>
      <c r="V201" s="6">
        <f t="shared" si="44"/>
        <v>2.6598631695600112E-3</v>
      </c>
      <c r="W201" s="2"/>
      <c r="X201" s="7">
        <f t="shared" si="45"/>
        <v>-11416.51</v>
      </c>
      <c r="Y201" s="2"/>
      <c r="Z201" s="6">
        <f t="shared" si="46"/>
        <v>-0.44094443483150925</v>
      </c>
    </row>
    <row r="202" spans="1:26" s="27" customFormat="1" outlineLevel="1" collapsed="1" x14ac:dyDescent="0.25">
      <c r="A202" s="29"/>
      <c r="B202" s="14" t="str">
        <f>CONCATENATE("     ","*Payroll                                          ")</f>
        <v xml:space="preserve">     *Payroll                                          </v>
      </c>
      <c r="C202" s="14"/>
      <c r="D202" s="1">
        <f>SUM(OSRRefD22_1x_0)</f>
        <v>302225.3</v>
      </c>
      <c r="E202" s="1"/>
      <c r="F202" s="5">
        <f t="shared" ref="F202:F209" si="47">IF(D$12=0,0,D202/D$12)</f>
        <v>0.33738164485592814</v>
      </c>
      <c r="G202" s="1"/>
      <c r="H202" s="1">
        <f>SUM(OSRRefH22_1x_0)</f>
        <v>793810.63</v>
      </c>
      <c r="I202" s="1"/>
      <c r="J202" s="5">
        <f t="shared" ref="J202:J209" si="48">IF(H$12=0,0,H202/H$12)</f>
        <v>0.19801862690728733</v>
      </c>
      <c r="K202" s="1"/>
      <c r="L202" s="1">
        <f t="shared" ref="L202:L209" si="49">+D202-H202</f>
        <v>-491585.33</v>
      </c>
      <c r="M202" s="1"/>
      <c r="N202" s="5">
        <f t="shared" ref="N202:N209" si="50">IF(H202=0,0,L202/H202)</f>
        <v>-0.61927279809795444</v>
      </c>
      <c r="O202" s="14"/>
      <c r="P202" s="1">
        <f>SUM(OSRRefP22_1x_0)</f>
        <v>894308.61999999988</v>
      </c>
      <c r="Q202" s="1"/>
      <c r="R202" s="5">
        <f t="shared" ref="R202:R209" si="51">IF(P$12=0,0,P202/P$12)</f>
        <v>0.2495491785325116</v>
      </c>
      <c r="S202" s="1"/>
      <c r="T202" s="1">
        <f>SUM(OSRRefT22_1x_0)</f>
        <v>2064466.3699999999</v>
      </c>
      <c r="U202" s="1"/>
      <c r="V202" s="5">
        <f t="shared" ref="V202:V209" si="52">IF(T$12=0,0,T202/T$12)</f>
        <v>0.21208874044295828</v>
      </c>
      <c r="W202" s="1"/>
      <c r="X202" s="1">
        <f t="shared" ref="X202:X209" si="53">+P202-T202</f>
        <v>-1170157.75</v>
      </c>
      <c r="Y202" s="1"/>
      <c r="Z202" s="5">
        <f t="shared" ref="Z202:Z209" si="54">IF(T202=0,0,X202/T202)</f>
        <v>-0.56680882140017619</v>
      </c>
    </row>
    <row r="203" spans="1:26" s="24" customFormat="1" hidden="1" outlineLevel="2" x14ac:dyDescent="0.25">
      <c r="A203" s="28"/>
      <c r="B203" s="11" t="str">
        <f>CONCATENATE("          ", "6001", " - ", "ADMINISTRATIVE SALARIES")</f>
        <v xml:space="preserve">          6001 - ADMINISTRATIVE SALARIES</v>
      </c>
      <c r="C203" s="11"/>
      <c r="D203" s="7">
        <v>28440.28</v>
      </c>
      <c r="E203" s="2"/>
      <c r="F203" s="6">
        <f t="shared" si="47"/>
        <v>3.1748594331987283E-2</v>
      </c>
      <c r="G203" s="2"/>
      <c r="H203" s="7">
        <v>35074.049999999996</v>
      </c>
      <c r="I203" s="2"/>
      <c r="J203" s="6">
        <f t="shared" si="48"/>
        <v>8.7493351167110735E-3</v>
      </c>
      <c r="K203" s="2"/>
      <c r="L203" s="7">
        <f t="shared" si="49"/>
        <v>-6633.7699999999968</v>
      </c>
      <c r="M203" s="2"/>
      <c r="N203" s="6">
        <f t="shared" si="50"/>
        <v>-0.18913612770695137</v>
      </c>
      <c r="O203" s="11"/>
      <c r="P203" s="7">
        <v>85487.180000000008</v>
      </c>
      <c r="Q203" s="2"/>
      <c r="R203" s="6">
        <f t="shared" si="51"/>
        <v>2.3854467089963822E-2</v>
      </c>
      <c r="S203" s="2"/>
      <c r="T203" s="7">
        <v>106630.32</v>
      </c>
      <c r="U203" s="2"/>
      <c r="V203" s="6">
        <f t="shared" si="52"/>
        <v>1.0954448370030647E-2</v>
      </c>
      <c r="W203" s="2"/>
      <c r="X203" s="7">
        <f t="shared" si="53"/>
        <v>-21143.14</v>
      </c>
      <c r="Y203" s="2"/>
      <c r="Z203" s="6">
        <f t="shared" si="54"/>
        <v>-0.19828450294437827</v>
      </c>
    </row>
    <row r="204" spans="1:26" s="24" customFormat="1" hidden="1" outlineLevel="2" x14ac:dyDescent="0.25">
      <c r="A204" s="28"/>
      <c r="B204" s="11" t="str">
        <f>CONCATENATE("          ", "6002", " - ", "STAFF SALARIES")</f>
        <v xml:space="preserve">          6002 - STAFF SALARIES</v>
      </c>
      <c r="C204" s="11"/>
      <c r="D204" s="7">
        <v>110555.99</v>
      </c>
      <c r="E204" s="2"/>
      <c r="F204" s="6">
        <f t="shared" si="47"/>
        <v>0.12341641072033198</v>
      </c>
      <c r="G204" s="2"/>
      <c r="H204" s="7">
        <v>177558.41999999998</v>
      </c>
      <c r="I204" s="2"/>
      <c r="J204" s="6">
        <f t="shared" si="48"/>
        <v>4.4292521661277603E-2</v>
      </c>
      <c r="K204" s="2"/>
      <c r="L204" s="7">
        <f t="shared" si="49"/>
        <v>-67002.429999999978</v>
      </c>
      <c r="M204" s="2"/>
      <c r="N204" s="6">
        <f t="shared" si="50"/>
        <v>-0.37735428148099082</v>
      </c>
      <c r="O204" s="11"/>
      <c r="P204" s="7">
        <v>357011.6</v>
      </c>
      <c r="Q204" s="2"/>
      <c r="R204" s="6">
        <f t="shared" si="51"/>
        <v>9.9621036311354827E-2</v>
      </c>
      <c r="S204" s="2"/>
      <c r="T204" s="7">
        <v>542062.06999999995</v>
      </c>
      <c r="U204" s="2"/>
      <c r="V204" s="6">
        <f t="shared" si="52"/>
        <v>5.5687640805794615E-2</v>
      </c>
      <c r="W204" s="2"/>
      <c r="X204" s="7">
        <f t="shared" si="53"/>
        <v>-185050.46999999997</v>
      </c>
      <c r="Y204" s="2"/>
      <c r="Z204" s="6">
        <f t="shared" si="54"/>
        <v>-0.34138243614794889</v>
      </c>
    </row>
    <row r="205" spans="1:26" s="24" customFormat="1" hidden="1" outlineLevel="2" x14ac:dyDescent="0.25">
      <c r="A205" s="28"/>
      <c r="B205" s="11" t="str">
        <f>CONCATENATE("          ", "6004", " - ", "STAFF HOURLY")</f>
        <v xml:space="preserve">          6004 - STAFF HOURLY</v>
      </c>
      <c r="C205" s="11"/>
      <c r="D205" s="7">
        <v>71482.58</v>
      </c>
      <c r="E205" s="2"/>
      <c r="F205" s="6">
        <f t="shared" si="47"/>
        <v>7.979778800433146E-2</v>
      </c>
      <c r="G205" s="2"/>
      <c r="H205" s="7">
        <v>84287.74</v>
      </c>
      <c r="I205" s="2"/>
      <c r="J205" s="6">
        <f t="shared" si="48"/>
        <v>2.1025849124643795E-2</v>
      </c>
      <c r="K205" s="2"/>
      <c r="L205" s="7">
        <f t="shared" si="49"/>
        <v>-12805.160000000003</v>
      </c>
      <c r="M205" s="2"/>
      <c r="N205" s="6">
        <f t="shared" si="50"/>
        <v>-0.15192197584132641</v>
      </c>
      <c r="O205" s="11"/>
      <c r="P205" s="7">
        <v>190378.37</v>
      </c>
      <c r="Q205" s="2"/>
      <c r="R205" s="6">
        <f t="shared" si="51"/>
        <v>5.3123457362916349E-2</v>
      </c>
      <c r="S205" s="2"/>
      <c r="T205" s="7">
        <v>205806.9</v>
      </c>
      <c r="U205" s="2"/>
      <c r="V205" s="6">
        <f t="shared" si="52"/>
        <v>2.1143151968840194E-2</v>
      </c>
      <c r="W205" s="2"/>
      <c r="X205" s="7">
        <f t="shared" si="53"/>
        <v>-15428.529999999999</v>
      </c>
      <c r="Y205" s="2"/>
      <c r="Z205" s="6">
        <f t="shared" si="54"/>
        <v>-7.4966048271462221E-2</v>
      </c>
    </row>
    <row r="206" spans="1:26" s="24" customFormat="1" hidden="1" outlineLevel="2" x14ac:dyDescent="0.25">
      <c r="A206" s="28"/>
      <c r="B206" s="11" t="str">
        <f>CONCATENATE("          ", "6005", " - ", "TEMPORARY WAGES-HOURLY")</f>
        <v xml:space="preserve">          6005 - TEMPORARY WAGES-HOURLY</v>
      </c>
      <c r="C206" s="11"/>
      <c r="D206" s="7">
        <v>48822.03</v>
      </c>
      <c r="E206" s="2"/>
      <c r="F206" s="6">
        <f t="shared" si="47"/>
        <v>5.4501250512797805E-2</v>
      </c>
      <c r="G206" s="2"/>
      <c r="H206" s="7">
        <v>140603.4</v>
      </c>
      <c r="I206" s="2"/>
      <c r="J206" s="6">
        <f t="shared" si="48"/>
        <v>3.507397249958228E-2</v>
      </c>
      <c r="K206" s="2"/>
      <c r="L206" s="7">
        <f t="shared" si="49"/>
        <v>-91781.37</v>
      </c>
      <c r="M206" s="2"/>
      <c r="N206" s="6">
        <f t="shared" si="50"/>
        <v>-0.65276778513179623</v>
      </c>
      <c r="O206" s="11"/>
      <c r="P206" s="7">
        <v>99463.62999999999</v>
      </c>
      <c r="Q206" s="2"/>
      <c r="R206" s="6">
        <f t="shared" si="51"/>
        <v>2.7754476033521491E-2</v>
      </c>
      <c r="S206" s="2"/>
      <c r="T206" s="7">
        <v>330390.83999999997</v>
      </c>
      <c r="U206" s="2"/>
      <c r="V206" s="6">
        <f t="shared" si="52"/>
        <v>3.3942028859249934E-2</v>
      </c>
      <c r="W206" s="2"/>
      <c r="X206" s="7">
        <f t="shared" si="53"/>
        <v>-230927.20999999996</v>
      </c>
      <c r="Y206" s="2"/>
      <c r="Z206" s="6">
        <f t="shared" si="54"/>
        <v>-0.69895161137033945</v>
      </c>
    </row>
    <row r="207" spans="1:26" s="24" customFormat="1" hidden="1" outlineLevel="2" x14ac:dyDescent="0.25">
      <c r="A207" s="28"/>
      <c r="B207" s="11" t="str">
        <f>CONCATENATE("          ", "6006", " - ", "TEMPORARY PART TIME")</f>
        <v xml:space="preserve">          6006 - TEMPORARY PART TIME</v>
      </c>
      <c r="C207" s="11"/>
      <c r="D207" s="7">
        <v>1728.86</v>
      </c>
      <c r="E207" s="2"/>
      <c r="F207" s="6">
        <f t="shared" si="47"/>
        <v>1.9299695641814896E-3</v>
      </c>
      <c r="G207" s="2"/>
      <c r="H207" s="7">
        <v>18360.919999999998</v>
      </c>
      <c r="I207" s="2"/>
      <c r="J207" s="6">
        <f t="shared" si="48"/>
        <v>4.5801908285790401E-3</v>
      </c>
      <c r="K207" s="2"/>
      <c r="L207" s="7">
        <f t="shared" si="49"/>
        <v>-16632.059999999998</v>
      </c>
      <c r="M207" s="2"/>
      <c r="N207" s="6">
        <f t="shared" si="50"/>
        <v>-0.90584023022811488</v>
      </c>
      <c r="O207" s="11"/>
      <c r="P207" s="7">
        <v>5704.41</v>
      </c>
      <c r="Q207" s="2"/>
      <c r="R207" s="6">
        <f t="shared" si="51"/>
        <v>1.5917668662442778E-3</v>
      </c>
      <c r="S207" s="2"/>
      <c r="T207" s="7">
        <v>46446.89</v>
      </c>
      <c r="U207" s="2"/>
      <c r="V207" s="6">
        <f t="shared" si="52"/>
        <v>4.77162647972446E-3</v>
      </c>
      <c r="W207" s="2"/>
      <c r="X207" s="7">
        <f t="shared" si="53"/>
        <v>-40742.479999999996</v>
      </c>
      <c r="Y207" s="2"/>
      <c r="Z207" s="6">
        <f t="shared" si="54"/>
        <v>-0.87718424204505396</v>
      </c>
    </row>
    <row r="208" spans="1:26" s="24" customFormat="1" hidden="1" outlineLevel="2" x14ac:dyDescent="0.25">
      <c r="A208" s="28"/>
      <c r="B208" s="11" t="str">
        <f>CONCATENATE("          ", "6007", " - ", "STUDENT HOURLY")</f>
        <v xml:space="preserve">          6007 - STUDENT HOURLY</v>
      </c>
      <c r="C208" s="11"/>
      <c r="D208" s="7">
        <v>36210.199999999997</v>
      </c>
      <c r="E208" s="2"/>
      <c r="F208" s="6">
        <f t="shared" si="47"/>
        <v>4.0422349937487466E-2</v>
      </c>
      <c r="G208" s="2"/>
      <c r="H208" s="7">
        <v>305295.46999999997</v>
      </c>
      <c r="I208" s="2"/>
      <c r="J208" s="6">
        <f t="shared" si="48"/>
        <v>7.6156941574862663E-2</v>
      </c>
      <c r="K208" s="2"/>
      <c r="L208" s="7">
        <f t="shared" si="49"/>
        <v>-269085.26999999996</v>
      </c>
      <c r="M208" s="2"/>
      <c r="N208" s="6">
        <f t="shared" si="50"/>
        <v>-0.88139293386829487</v>
      </c>
      <c r="O208" s="11"/>
      <c r="P208" s="7">
        <v>150228.71</v>
      </c>
      <c r="Q208" s="2"/>
      <c r="R208" s="6">
        <f t="shared" si="51"/>
        <v>4.1920037819269722E-2</v>
      </c>
      <c r="S208" s="2"/>
      <c r="T208" s="7">
        <v>770862.02</v>
      </c>
      <c r="U208" s="2"/>
      <c r="V208" s="6">
        <f t="shared" si="52"/>
        <v>7.9192936854241197E-2</v>
      </c>
      <c r="W208" s="2"/>
      <c r="X208" s="7">
        <f t="shared" si="53"/>
        <v>-620633.31000000006</v>
      </c>
      <c r="Y208" s="2"/>
      <c r="Z208" s="6">
        <f t="shared" si="54"/>
        <v>-0.80511595317667883</v>
      </c>
    </row>
    <row r="209" spans="1:26" s="24" customFormat="1" hidden="1" outlineLevel="2" x14ac:dyDescent="0.25">
      <c r="A209" s="28"/>
      <c r="B209" s="11" t="str">
        <f>CONCATENATE("          ", "6008", " - ", "STUDENT HOURLY-FICA EXEMPT")</f>
        <v xml:space="preserve">          6008 - STUDENT HOURLY-FICA EXEMPT</v>
      </c>
      <c r="C209" s="11"/>
      <c r="D209" s="7">
        <v>4985.3599999999997</v>
      </c>
      <c r="E209" s="2"/>
      <c r="F209" s="6">
        <f t="shared" si="47"/>
        <v>5.5652817848107026E-3</v>
      </c>
      <c r="G209" s="2"/>
      <c r="H209" s="7">
        <v>32630.63</v>
      </c>
      <c r="I209" s="2"/>
      <c r="J209" s="6">
        <f t="shared" si="48"/>
        <v>8.1398161016308611E-3</v>
      </c>
      <c r="K209" s="2"/>
      <c r="L209" s="7">
        <f t="shared" si="49"/>
        <v>-27645.27</v>
      </c>
      <c r="M209" s="2"/>
      <c r="N209" s="6">
        <f t="shared" si="50"/>
        <v>-0.84721839572205626</v>
      </c>
      <c r="O209" s="11"/>
      <c r="P209" s="7">
        <v>6034.72</v>
      </c>
      <c r="Q209" s="2"/>
      <c r="R209" s="6">
        <f t="shared" si="51"/>
        <v>1.683937049241143E-3</v>
      </c>
      <c r="S209" s="2"/>
      <c r="T209" s="7">
        <v>62267.33</v>
      </c>
      <c r="U209" s="2"/>
      <c r="V209" s="6">
        <f t="shared" si="52"/>
        <v>6.3969071050772458E-3</v>
      </c>
      <c r="W209" s="2"/>
      <c r="X209" s="7">
        <f t="shared" si="53"/>
        <v>-56232.61</v>
      </c>
      <c r="Y209" s="2"/>
      <c r="Z209" s="6">
        <f t="shared" si="54"/>
        <v>-0.90308368770589653</v>
      </c>
    </row>
    <row r="210" spans="1:26" s="27" customFormat="1" outlineLevel="1" collapsed="1" x14ac:dyDescent="0.25">
      <c r="A210" s="29"/>
      <c r="B210" s="14" t="str">
        <f>CONCATENATE("     ","Advertising/Promo                                 ")</f>
        <v xml:space="preserve">     Advertising/Promo                                 </v>
      </c>
      <c r="C210" s="14"/>
      <c r="D210" s="1">
        <f>SUM(OSRRefD22_2x_0)</f>
        <v>441</v>
      </c>
      <c r="E210" s="1"/>
      <c r="F210" s="5">
        <f t="shared" ref="F210:F219" si="55">IF(D$12=0,0,D210/D$12)</f>
        <v>4.9229930578765027E-4</v>
      </c>
      <c r="G210" s="1"/>
      <c r="H210" s="1">
        <f>SUM(OSRRefH22_2x_0)</f>
        <v>1492.68</v>
      </c>
      <c r="I210" s="1"/>
      <c r="J210" s="5">
        <f t="shared" ref="J210:J219" si="56">IF(H$12=0,0,H210/H$12)</f>
        <v>3.7235384969834637E-4</v>
      </c>
      <c r="K210" s="1"/>
      <c r="L210" s="1">
        <f t="shared" ref="L210:L219" si="57">+D210-H210</f>
        <v>-1051.68</v>
      </c>
      <c r="M210" s="1"/>
      <c r="N210" s="5">
        <f t="shared" ref="N210:N219" si="58">IF(H210=0,0,L210/H210)</f>
        <v>-0.70455824423185143</v>
      </c>
      <c r="O210" s="14"/>
      <c r="P210" s="1">
        <f>SUM(OSRRefP22_2x_0)</f>
        <v>14167.05</v>
      </c>
      <c r="Q210" s="1"/>
      <c r="R210" s="5">
        <f t="shared" ref="R210:R219" si="59">IF(P$12=0,0,P210/P$12)</f>
        <v>3.9531942448782602E-3</v>
      </c>
      <c r="S210" s="1"/>
      <c r="T210" s="1">
        <f>SUM(OSRRefT22_2x_0)</f>
        <v>21984.09</v>
      </c>
      <c r="U210" s="1"/>
      <c r="V210" s="5">
        <f t="shared" ref="V210:V219" si="60">IF(T$12=0,0,T210/T$12)</f>
        <v>2.2584906325621738E-3</v>
      </c>
      <c r="W210" s="1"/>
      <c r="X210" s="1">
        <f t="shared" ref="X210:X219" si="61">+P210-T210</f>
        <v>-7817.0400000000009</v>
      </c>
      <c r="Y210" s="1"/>
      <c r="Z210" s="5">
        <f t="shared" ref="Z210:Z219" si="62">IF(T210=0,0,X210/T210)</f>
        <v>-0.35557714692761905</v>
      </c>
    </row>
    <row r="211" spans="1:26" s="24" customFormat="1" hidden="1" outlineLevel="2" x14ac:dyDescent="0.25">
      <c r="A211" s="28"/>
      <c r="B211" s="11" t="str">
        <f>CONCATENATE("          ", "6362", " - ", "ADVERTISING EXPENSE")</f>
        <v xml:space="preserve">          6362 - ADVERTISING EXPENSE</v>
      </c>
      <c r="C211" s="11"/>
      <c r="D211" s="7">
        <v>441</v>
      </c>
      <c r="E211" s="2"/>
      <c r="F211" s="6">
        <f t="shared" si="55"/>
        <v>4.9229930578765027E-4</v>
      </c>
      <c r="G211" s="2"/>
      <c r="H211" s="7">
        <v>1492.68</v>
      </c>
      <c r="I211" s="2"/>
      <c r="J211" s="6">
        <f t="shared" si="56"/>
        <v>3.7235384969834637E-4</v>
      </c>
      <c r="K211" s="2"/>
      <c r="L211" s="7">
        <f t="shared" si="57"/>
        <v>-1051.68</v>
      </c>
      <c r="M211" s="2"/>
      <c r="N211" s="6">
        <f t="shared" si="58"/>
        <v>-0.70455824423185143</v>
      </c>
      <c r="O211" s="11"/>
      <c r="P211" s="7">
        <v>14167.05</v>
      </c>
      <c r="Q211" s="2"/>
      <c r="R211" s="6">
        <f t="shared" si="59"/>
        <v>3.9531942448782602E-3</v>
      </c>
      <c r="S211" s="2"/>
      <c r="T211" s="7">
        <v>21984.09</v>
      </c>
      <c r="U211" s="2"/>
      <c r="V211" s="6">
        <f t="shared" si="60"/>
        <v>2.2584906325621738E-3</v>
      </c>
      <c r="W211" s="2"/>
      <c r="X211" s="7">
        <f t="shared" si="61"/>
        <v>-7817.0400000000009</v>
      </c>
      <c r="Y211" s="2"/>
      <c r="Z211" s="6">
        <f t="shared" si="62"/>
        <v>-0.35557714692761905</v>
      </c>
    </row>
    <row r="212" spans="1:26" s="27" customFormat="1" outlineLevel="1" collapsed="1" x14ac:dyDescent="0.25">
      <c r="A212" s="29"/>
      <c r="B212" s="14" t="str">
        <f>CONCATENATE("     ","Bad Debts/Over/Short                              ")</f>
        <v xml:space="preserve">     Bad Debts/Over/Short                              </v>
      </c>
      <c r="C212" s="14"/>
      <c r="D212" s="1">
        <f>SUM(OSRRefD22_3x_0)</f>
        <v>-155.86000000000001</v>
      </c>
      <c r="E212" s="1"/>
      <c r="F212" s="5">
        <f t="shared" si="55"/>
        <v>-1.7399040770989382E-4</v>
      </c>
      <c r="G212" s="1"/>
      <c r="H212" s="1">
        <f>SUM(OSRRefH22_3x_0)</f>
        <v>-231.3</v>
      </c>
      <c r="I212" s="1"/>
      <c r="J212" s="5">
        <f t="shared" si="56"/>
        <v>-5.7698532461899085E-5</v>
      </c>
      <c r="K212" s="1"/>
      <c r="L212" s="1">
        <f t="shared" si="57"/>
        <v>75.44</v>
      </c>
      <c r="M212" s="1"/>
      <c r="N212" s="5">
        <f t="shared" si="58"/>
        <v>-0.32615650670125373</v>
      </c>
      <c r="O212" s="14"/>
      <c r="P212" s="1">
        <f>SUM(OSRRefP22_3x_0)</f>
        <v>-48.46</v>
      </c>
      <c r="Q212" s="1"/>
      <c r="R212" s="5">
        <f t="shared" si="59"/>
        <v>-1.3522348908686035E-5</v>
      </c>
      <c r="S212" s="1"/>
      <c r="T212" s="1">
        <f>SUM(OSRRefT22_3x_0)</f>
        <v>-336.28</v>
      </c>
      <c r="U212" s="1"/>
      <c r="V212" s="5">
        <f t="shared" si="60"/>
        <v>-3.454703969634439E-5</v>
      </c>
      <c r="W212" s="1"/>
      <c r="X212" s="1">
        <f t="shared" si="61"/>
        <v>287.82</v>
      </c>
      <c r="Y212" s="1"/>
      <c r="Z212" s="5">
        <f t="shared" si="62"/>
        <v>-0.85589389794219106</v>
      </c>
    </row>
    <row r="213" spans="1:26" s="24" customFormat="1" hidden="1" outlineLevel="2" x14ac:dyDescent="0.25">
      <c r="A213" s="28"/>
      <c r="B213" s="11" t="str">
        <f>CONCATENATE("          ", "6272", " - ", "CASH (OVER/SHORT)")</f>
        <v xml:space="preserve">          6272 - CASH (OVER/SHORT)</v>
      </c>
      <c r="C213" s="11"/>
      <c r="D213" s="7">
        <v>-155.86000000000001</v>
      </c>
      <c r="E213" s="2"/>
      <c r="F213" s="6">
        <f t="shared" si="55"/>
        <v>-1.7399040770989382E-4</v>
      </c>
      <c r="G213" s="2"/>
      <c r="H213" s="7">
        <v>-231.3</v>
      </c>
      <c r="I213" s="2"/>
      <c r="J213" s="6">
        <f t="shared" si="56"/>
        <v>-5.7698532461899085E-5</v>
      </c>
      <c r="K213" s="2"/>
      <c r="L213" s="7">
        <f t="shared" si="57"/>
        <v>75.44</v>
      </c>
      <c r="M213" s="2"/>
      <c r="N213" s="6">
        <f t="shared" si="58"/>
        <v>-0.32615650670125373</v>
      </c>
      <c r="O213" s="11"/>
      <c r="P213" s="7">
        <v>-48.46</v>
      </c>
      <c r="Q213" s="2"/>
      <c r="R213" s="6">
        <f t="shared" si="59"/>
        <v>-1.3522348908686035E-5</v>
      </c>
      <c r="S213" s="2"/>
      <c r="T213" s="7">
        <v>-336.28</v>
      </c>
      <c r="U213" s="2"/>
      <c r="V213" s="6">
        <f t="shared" si="60"/>
        <v>-3.454703969634439E-5</v>
      </c>
      <c r="W213" s="2"/>
      <c r="X213" s="7">
        <f t="shared" si="61"/>
        <v>287.82</v>
      </c>
      <c r="Y213" s="2"/>
      <c r="Z213" s="6">
        <f t="shared" si="62"/>
        <v>-0.85589389794219106</v>
      </c>
    </row>
    <row r="214" spans="1:26" s="27" customFormat="1" outlineLevel="1" collapsed="1" x14ac:dyDescent="0.25">
      <c r="A214" s="29"/>
      <c r="B214" s="14" t="str">
        <f>CONCATENATE("     ","Bank/card Fees                                    ")</f>
        <v xml:space="preserve">     Bank/card Fees                                    </v>
      </c>
      <c r="C214" s="14"/>
      <c r="D214" s="1">
        <f>SUM(OSRRefD22_4x_0)</f>
        <v>9747.83</v>
      </c>
      <c r="E214" s="1"/>
      <c r="F214" s="5">
        <f t="shared" si="55"/>
        <v>1.0881745900081702E-2</v>
      </c>
      <c r="G214" s="1"/>
      <c r="H214" s="1">
        <f>SUM(OSRRefH22_4x_0)</f>
        <v>59370.49</v>
      </c>
      <c r="I214" s="1"/>
      <c r="J214" s="5">
        <f t="shared" si="56"/>
        <v>1.4810160590332272E-2</v>
      </c>
      <c r="K214" s="1"/>
      <c r="L214" s="1">
        <f t="shared" si="57"/>
        <v>-49622.659999999996</v>
      </c>
      <c r="M214" s="1"/>
      <c r="N214" s="5">
        <f t="shared" si="58"/>
        <v>-0.83581354979552969</v>
      </c>
      <c r="O214" s="14"/>
      <c r="P214" s="1">
        <f>SUM(OSRRefP22_4x_0)</f>
        <v>36051.699999999997</v>
      </c>
      <c r="Q214" s="1"/>
      <c r="R214" s="5">
        <f t="shared" si="59"/>
        <v>1.0059918822766741E-2</v>
      </c>
      <c r="S214" s="1"/>
      <c r="T214" s="1">
        <f>SUM(OSRRefT22_4x_0)</f>
        <v>120854.33</v>
      </c>
      <c r="U214" s="1"/>
      <c r="V214" s="5">
        <f t="shared" si="60"/>
        <v>1.2415723016489549E-2</v>
      </c>
      <c r="W214" s="1"/>
      <c r="X214" s="1">
        <f t="shared" si="61"/>
        <v>-84802.63</v>
      </c>
      <c r="Y214" s="1"/>
      <c r="Z214" s="5">
        <f t="shared" si="62"/>
        <v>-0.70169293892903961</v>
      </c>
    </row>
    <row r="215" spans="1:26" s="24" customFormat="1" hidden="1" outlineLevel="2" x14ac:dyDescent="0.25">
      <c r="A215" s="28"/>
      <c r="B215" s="11" t="str">
        <f>CONCATENATE("          ", "6381", " - ", "BANK/CREDIT CARD FEES")</f>
        <v xml:space="preserve">          6381 - BANK/CREDIT CARD FEES</v>
      </c>
      <c r="C215" s="11"/>
      <c r="D215" s="7">
        <v>9747.83</v>
      </c>
      <c r="E215" s="2"/>
      <c r="F215" s="6">
        <f t="shared" si="55"/>
        <v>1.0881745900081702E-2</v>
      </c>
      <c r="G215" s="2"/>
      <c r="H215" s="7">
        <v>59370.49</v>
      </c>
      <c r="I215" s="2"/>
      <c r="J215" s="6">
        <f t="shared" si="56"/>
        <v>1.4810160590332272E-2</v>
      </c>
      <c r="K215" s="2"/>
      <c r="L215" s="7">
        <f t="shared" si="57"/>
        <v>-49622.659999999996</v>
      </c>
      <c r="M215" s="2"/>
      <c r="N215" s="6">
        <f t="shared" si="58"/>
        <v>-0.83581354979552969</v>
      </c>
      <c r="O215" s="11"/>
      <c r="P215" s="7">
        <v>36051.699999999997</v>
      </c>
      <c r="Q215" s="2"/>
      <c r="R215" s="6">
        <f t="shared" si="59"/>
        <v>1.0059918822766741E-2</v>
      </c>
      <c r="S215" s="2"/>
      <c r="T215" s="7">
        <v>120854.33</v>
      </c>
      <c r="U215" s="2"/>
      <c r="V215" s="6">
        <f t="shared" si="60"/>
        <v>1.2415723016489549E-2</v>
      </c>
      <c r="W215" s="2"/>
      <c r="X215" s="7">
        <f t="shared" si="61"/>
        <v>-84802.63</v>
      </c>
      <c r="Y215" s="2"/>
      <c r="Z215" s="6">
        <f t="shared" si="62"/>
        <v>-0.70169293892903961</v>
      </c>
    </row>
    <row r="216" spans="1:26" s="27" customFormat="1" outlineLevel="1" collapsed="1" x14ac:dyDescent="0.25">
      <c r="A216" s="29"/>
      <c r="B216" s="14" t="str">
        <f>CONCATENATE("     ","Depreciation                                      ")</f>
        <v xml:space="preserve">     Depreciation                                      </v>
      </c>
      <c r="C216" s="14"/>
      <c r="D216" s="1">
        <f>SUM(OSRRefD22_5x_0)</f>
        <v>79051.19</v>
      </c>
      <c r="E216" s="1"/>
      <c r="F216" s="5">
        <f t="shared" si="55"/>
        <v>8.8246816232851785E-2</v>
      </c>
      <c r="G216" s="1"/>
      <c r="H216" s="1">
        <f>SUM(OSRRefH22_5x_0)</f>
        <v>77862.400000000009</v>
      </c>
      <c r="I216" s="1"/>
      <c r="J216" s="5">
        <f t="shared" si="56"/>
        <v>1.9423027297714533E-2</v>
      </c>
      <c r="K216" s="1"/>
      <c r="L216" s="1">
        <f t="shared" si="57"/>
        <v>1188.7899999999936</v>
      </c>
      <c r="M216" s="1"/>
      <c r="N216" s="5">
        <f t="shared" si="58"/>
        <v>1.5267831456518081E-2</v>
      </c>
      <c r="O216" s="14"/>
      <c r="P216" s="1">
        <f>SUM(OSRRefP22_5x_0)</f>
        <v>235546.03000000003</v>
      </c>
      <c r="Q216" s="1"/>
      <c r="R216" s="5">
        <f t="shared" si="59"/>
        <v>6.5727106927689405E-2</v>
      </c>
      <c r="S216" s="1"/>
      <c r="T216" s="1">
        <f>SUM(OSRRefT22_5x_0)</f>
        <v>233587.20000000001</v>
      </c>
      <c r="U216" s="1"/>
      <c r="V216" s="5">
        <f t="shared" si="60"/>
        <v>2.3997104409890384E-2</v>
      </c>
      <c r="W216" s="1"/>
      <c r="X216" s="1">
        <f t="shared" si="61"/>
        <v>1958.8300000000163</v>
      </c>
      <c r="Y216" s="1"/>
      <c r="Z216" s="5">
        <f t="shared" si="62"/>
        <v>8.3858618965423452E-3</v>
      </c>
    </row>
    <row r="217" spans="1:26" s="24" customFormat="1" hidden="1" outlineLevel="2" x14ac:dyDescent="0.25">
      <c r="A217" s="28"/>
      <c r="B217" s="11" t="str">
        <f>CONCATENATE("          ", "6321", " - ", "BUILDING DEPRECIATION")</f>
        <v xml:space="preserve">          6321 - BUILDING DEPRECIATION</v>
      </c>
      <c r="C217" s="11"/>
      <c r="D217" s="7">
        <v>45321.91</v>
      </c>
      <c r="E217" s="2"/>
      <c r="F217" s="6">
        <f t="shared" si="55"/>
        <v>5.059397920628201E-2</v>
      </c>
      <c r="G217" s="2"/>
      <c r="H217" s="7">
        <v>45519.990000000005</v>
      </c>
      <c r="I217" s="2"/>
      <c r="J217" s="6">
        <f t="shared" si="56"/>
        <v>1.1355108606486475E-2</v>
      </c>
      <c r="K217" s="2"/>
      <c r="L217" s="7">
        <f t="shared" si="57"/>
        <v>-198.08000000000175</v>
      </c>
      <c r="M217" s="2"/>
      <c r="N217" s="6">
        <f t="shared" si="58"/>
        <v>-4.3514948048099687E-3</v>
      </c>
      <c r="O217" s="11"/>
      <c r="P217" s="7">
        <v>135965.75</v>
      </c>
      <c r="Q217" s="2"/>
      <c r="R217" s="6">
        <f t="shared" si="59"/>
        <v>3.7940080708443631E-2</v>
      </c>
      <c r="S217" s="2"/>
      <c r="T217" s="7">
        <v>136559.97</v>
      </c>
      <c r="U217" s="2"/>
      <c r="V217" s="6">
        <f t="shared" si="60"/>
        <v>1.4029209898065897E-2</v>
      </c>
      <c r="W217" s="2"/>
      <c r="X217" s="7">
        <f t="shared" si="61"/>
        <v>-594.22000000000116</v>
      </c>
      <c r="Y217" s="2"/>
      <c r="Z217" s="6">
        <f t="shared" si="62"/>
        <v>-4.3513483490074077E-3</v>
      </c>
    </row>
    <row r="218" spans="1:26" s="24" customFormat="1" hidden="1" outlineLevel="2" x14ac:dyDescent="0.25">
      <c r="A218" s="28"/>
      <c r="B218" s="11" t="str">
        <f>CONCATENATE("          ", "6322", " - ", "EQUIPMENT DEPRECIATION EXPENSE")</f>
        <v xml:space="preserve">          6322 - EQUIPMENT DEPRECIATION EXPENSE</v>
      </c>
      <c r="C218" s="11"/>
      <c r="D218" s="7">
        <v>33729.279999999999</v>
      </c>
      <c r="E218" s="2"/>
      <c r="F218" s="6">
        <f t="shared" si="55"/>
        <v>3.7652837026569783E-2</v>
      </c>
      <c r="G218" s="2"/>
      <c r="H218" s="7">
        <v>31918.16</v>
      </c>
      <c r="I218" s="2"/>
      <c r="J218" s="6">
        <f t="shared" si="56"/>
        <v>7.9620881577349267E-3</v>
      </c>
      <c r="K218" s="2"/>
      <c r="L218" s="7">
        <f t="shared" si="57"/>
        <v>1811.119999999999</v>
      </c>
      <c r="M218" s="2"/>
      <c r="N218" s="6">
        <f t="shared" si="58"/>
        <v>5.6742619248728594E-2</v>
      </c>
      <c r="O218" s="11"/>
      <c r="P218" s="7">
        <v>99580.280000000013</v>
      </c>
      <c r="Q218" s="2"/>
      <c r="R218" s="6">
        <f t="shared" si="59"/>
        <v>2.778702621924577E-2</v>
      </c>
      <c r="S218" s="2"/>
      <c r="T218" s="7">
        <v>95754.48</v>
      </c>
      <c r="U218" s="2"/>
      <c r="V218" s="6">
        <f t="shared" si="60"/>
        <v>9.8371411373344101E-3</v>
      </c>
      <c r="W218" s="2"/>
      <c r="X218" s="7">
        <f t="shared" si="61"/>
        <v>3825.8000000000175</v>
      </c>
      <c r="Y218" s="2"/>
      <c r="Z218" s="6">
        <f t="shared" si="62"/>
        <v>3.99542663695737E-2</v>
      </c>
    </row>
    <row r="219" spans="1:26" s="24" customFormat="1" hidden="1" outlineLevel="2" x14ac:dyDescent="0.25">
      <c r="A219" s="28"/>
      <c r="B219" s="11" t="str">
        <f>CONCATENATE("          ", "6326", " - ", "VEHICLES DEPRECIATION EXPENSE")</f>
        <v xml:space="preserve">          6326 - VEHICLES DEPRECIATION EXPENSE</v>
      </c>
      <c r="C219" s="11"/>
      <c r="D219" s="7"/>
      <c r="E219" s="2"/>
      <c r="F219" s="6">
        <f t="shared" si="55"/>
        <v>0</v>
      </c>
      <c r="G219" s="2"/>
      <c r="H219" s="7">
        <v>424.25</v>
      </c>
      <c r="I219" s="2"/>
      <c r="J219" s="6">
        <f t="shared" si="56"/>
        <v>1.0583053349312876E-4</v>
      </c>
      <c r="K219" s="2"/>
      <c r="L219" s="7">
        <f t="shared" si="57"/>
        <v>-424.25</v>
      </c>
      <c r="M219" s="2"/>
      <c r="N219" s="6">
        <f t="shared" si="58"/>
        <v>-1</v>
      </c>
      <c r="O219" s="11"/>
      <c r="P219" s="7"/>
      <c r="Q219" s="2"/>
      <c r="R219" s="6">
        <f t="shared" si="59"/>
        <v>0</v>
      </c>
      <c r="S219" s="2"/>
      <c r="T219" s="7">
        <v>1272.75</v>
      </c>
      <c r="U219" s="2"/>
      <c r="V219" s="6">
        <f t="shared" si="60"/>
        <v>1.3075337449007472E-4</v>
      </c>
      <c r="W219" s="2"/>
      <c r="X219" s="7">
        <f t="shared" si="61"/>
        <v>-1272.75</v>
      </c>
      <c r="Y219" s="2"/>
      <c r="Z219" s="6">
        <f t="shared" si="62"/>
        <v>-1</v>
      </c>
    </row>
    <row r="220" spans="1:26" s="27" customFormat="1" outlineLevel="1" collapsed="1" x14ac:dyDescent="0.25">
      <c r="A220" s="29"/>
      <c r="B220" s="14" t="str">
        <f>CONCATENATE("     ","Discounts and Markdowns                           ")</f>
        <v xml:space="preserve">     Discounts and Markdowns                           </v>
      </c>
      <c r="C220" s="14"/>
      <c r="D220" s="1">
        <f>SUM(OSRRefD22_6x_0)</f>
        <v>830.95</v>
      </c>
      <c r="E220" s="1"/>
      <c r="F220" s="5">
        <f t="shared" ref="F220:F222" si="63">IF(D$12=0,0,D220/D$12)</f>
        <v>9.2761022254931518E-4</v>
      </c>
      <c r="G220" s="1"/>
      <c r="H220" s="1">
        <f>SUM(OSRRefH22_6x_0)</f>
        <v>1937.4800000000002</v>
      </c>
      <c r="I220" s="1"/>
      <c r="J220" s="5">
        <f t="shared" ref="J220:J222" si="64">IF(H$12=0,0,H220/H$12)</f>
        <v>4.8331064710021719E-4</v>
      </c>
      <c r="K220" s="1"/>
      <c r="L220" s="1">
        <f t="shared" ref="L220:L222" si="65">+D220-H220</f>
        <v>-1106.5300000000002</v>
      </c>
      <c r="M220" s="1"/>
      <c r="N220" s="5">
        <f t="shared" ref="N220:N222" si="66">IF(H220=0,0,L220/H220)</f>
        <v>-0.57111815347771333</v>
      </c>
      <c r="O220" s="14"/>
      <c r="P220" s="1">
        <f>SUM(OSRRefP22_6x_0)</f>
        <v>830.95</v>
      </c>
      <c r="Q220" s="1"/>
      <c r="R220" s="5">
        <f t="shared" ref="R220:R222" si="67">IF(P$12=0,0,P220/P$12)</f>
        <v>2.3186949702172228E-4</v>
      </c>
      <c r="S220" s="1"/>
      <c r="T220" s="1">
        <f>SUM(OSRRefT22_6x_0)</f>
        <v>131060.15000000001</v>
      </c>
      <c r="U220" s="1"/>
      <c r="V220" s="5">
        <f t="shared" ref="V220:V222" si="68">IF(T$12=0,0,T220/T$12)</f>
        <v>1.3464197111510798E-2</v>
      </c>
      <c r="W220" s="1"/>
      <c r="X220" s="1">
        <f t="shared" ref="X220:X222" si="69">+P220-T220</f>
        <v>-130229.20000000001</v>
      </c>
      <c r="Y220" s="1"/>
      <c r="Z220" s="5">
        <f t="shared" ref="Z220:Z222" si="70">IF(T220=0,0,X220/T220)</f>
        <v>-0.99365978140571332</v>
      </c>
    </row>
    <row r="221" spans="1:26" s="24" customFormat="1" hidden="1" outlineLevel="2" x14ac:dyDescent="0.25">
      <c r="A221" s="28"/>
      <c r="B221" s="11" t="str">
        <f>CONCATENATE("          ", "6382", " - ", "DISCOUNTS/MARK DOWNS")</f>
        <v xml:space="preserve">          6382 - DISCOUNTS/MARK DOWNS</v>
      </c>
      <c r="C221" s="11"/>
      <c r="D221" s="7">
        <v>830.95</v>
      </c>
      <c r="E221" s="2"/>
      <c r="F221" s="6">
        <f t="shared" si="63"/>
        <v>9.2761022254931518E-4</v>
      </c>
      <c r="G221" s="2"/>
      <c r="H221" s="7">
        <v>2335.7800000000002</v>
      </c>
      <c r="I221" s="2"/>
      <c r="J221" s="6">
        <f t="shared" si="64"/>
        <v>5.8266786923413165E-4</v>
      </c>
      <c r="K221" s="2"/>
      <c r="L221" s="7">
        <f t="shared" si="65"/>
        <v>-1504.8300000000002</v>
      </c>
      <c r="M221" s="2"/>
      <c r="N221" s="6">
        <f t="shared" si="66"/>
        <v>-0.64425159903758056</v>
      </c>
      <c r="O221" s="11"/>
      <c r="P221" s="7">
        <v>830.95</v>
      </c>
      <c r="Q221" s="2"/>
      <c r="R221" s="6">
        <f t="shared" si="67"/>
        <v>2.3186949702172228E-4</v>
      </c>
      <c r="S221" s="2"/>
      <c r="T221" s="7">
        <v>132708.01</v>
      </c>
      <c r="U221" s="2"/>
      <c r="V221" s="6">
        <f t="shared" si="68"/>
        <v>1.3633486646523342E-2</v>
      </c>
      <c r="W221" s="2"/>
      <c r="X221" s="7">
        <f t="shared" si="69"/>
        <v>-131877.06</v>
      </c>
      <c r="Y221" s="2"/>
      <c r="Z221" s="6">
        <f t="shared" si="70"/>
        <v>-0.99373850907718375</v>
      </c>
    </row>
    <row r="222" spans="1:26" s="24" customFormat="1" hidden="1" outlineLevel="2" x14ac:dyDescent="0.25">
      <c r="A222" s="28"/>
      <c r="B222" s="11" t="str">
        <f>CONCATENATE("          ", "9175", " - ", "EARNED DISCOUNTS")</f>
        <v xml:space="preserve">          9175 - EARNED DISCOUNTS</v>
      </c>
      <c r="C222" s="11"/>
      <c r="D222" s="7"/>
      <c r="E222" s="2"/>
      <c r="F222" s="6">
        <f t="shared" si="63"/>
        <v>0</v>
      </c>
      <c r="G222" s="2"/>
      <c r="H222" s="7">
        <v>-398.3</v>
      </c>
      <c r="I222" s="2"/>
      <c r="J222" s="6">
        <f t="shared" si="64"/>
        <v>-9.9357222133914416E-5</v>
      </c>
      <c r="K222" s="2"/>
      <c r="L222" s="7">
        <f t="shared" si="65"/>
        <v>398.3</v>
      </c>
      <c r="M222" s="2"/>
      <c r="N222" s="6">
        <f t="shared" si="66"/>
        <v>-1</v>
      </c>
      <c r="O222" s="11"/>
      <c r="P222" s="7"/>
      <c r="Q222" s="2"/>
      <c r="R222" s="6">
        <f t="shared" si="67"/>
        <v>0</v>
      </c>
      <c r="S222" s="2"/>
      <c r="T222" s="7">
        <v>-1647.86</v>
      </c>
      <c r="U222" s="2"/>
      <c r="V222" s="6">
        <f t="shared" si="68"/>
        <v>-1.6928953501254334E-4</v>
      </c>
      <c r="W222" s="2"/>
      <c r="X222" s="7">
        <f t="shared" si="69"/>
        <v>1647.86</v>
      </c>
      <c r="Y222" s="2"/>
      <c r="Z222" s="6">
        <f t="shared" si="70"/>
        <v>-1</v>
      </c>
    </row>
    <row r="223" spans="1:26" s="27" customFormat="1" outlineLevel="1" collapsed="1" x14ac:dyDescent="0.25">
      <c r="A223" s="29"/>
      <c r="B223" s="14" t="str">
        <f>CONCATENATE("     ","Donations                                         ")</f>
        <v xml:space="preserve">     Donations                                         </v>
      </c>
      <c r="C223" s="14"/>
      <c r="D223" s="1">
        <f>SUM(OSRRefD22_7x_0)</f>
        <v>8888.07</v>
      </c>
      <c r="E223" s="1"/>
      <c r="F223" s="5">
        <f t="shared" ref="F223:F231" si="71">IF(D$12=0,0,D223/D$12)</f>
        <v>9.9219743555375058E-3</v>
      </c>
      <c r="G223" s="1"/>
      <c r="H223" s="1">
        <f>SUM(OSRRefH22_7x_0)</f>
        <v>20424.36</v>
      </c>
      <c r="I223" s="1"/>
      <c r="J223" s="5">
        <f t="shared" ref="J223:J231" si="72">IF(H$12=0,0,H223/H$12)</f>
        <v>5.0949226047276829E-3</v>
      </c>
      <c r="K223" s="1"/>
      <c r="L223" s="1">
        <f t="shared" ref="L223:L231" si="73">+D223-H223</f>
        <v>-11536.29</v>
      </c>
      <c r="M223" s="1"/>
      <c r="N223" s="5">
        <f t="shared" ref="N223:N231" si="74">IF(H223=0,0,L223/H223)</f>
        <v>-0.56482993836771389</v>
      </c>
      <c r="O223" s="14"/>
      <c r="P223" s="1">
        <f>SUM(OSRRefP22_7x_0)</f>
        <v>11110.09</v>
      </c>
      <c r="Q223" s="1"/>
      <c r="R223" s="5">
        <f t="shared" ref="R223:R231" si="75">IF(P$12=0,0,P223/P$12)</f>
        <v>3.1001756786401906E-3</v>
      </c>
      <c r="S223" s="1"/>
      <c r="T223" s="1">
        <f>SUM(OSRRefT22_7x_0)</f>
        <v>31822.09</v>
      </c>
      <c r="U223" s="1"/>
      <c r="V223" s="5">
        <f t="shared" ref="V223:V231" si="76">IF(T$12=0,0,T223/T$12)</f>
        <v>3.26917749033735E-3</v>
      </c>
      <c r="W223" s="1"/>
      <c r="X223" s="1">
        <f t="shared" ref="X223:X231" si="77">+P223-T223</f>
        <v>-20712</v>
      </c>
      <c r="Y223" s="1"/>
      <c r="Z223" s="5">
        <f t="shared" ref="Z223:Z231" si="78">IF(T223=0,0,X223/T223)</f>
        <v>-0.65086862616503194</v>
      </c>
    </row>
    <row r="224" spans="1:26" s="24" customFormat="1" hidden="1" outlineLevel="2" x14ac:dyDescent="0.25">
      <c r="A224" s="28"/>
      <c r="B224" s="11" t="str">
        <f>CONCATENATE("          ", "6399", " - ", "DONATION-ON CAMPUS")</f>
        <v xml:space="preserve">          6399 - DONATION-ON CAMPUS</v>
      </c>
      <c r="C224" s="11"/>
      <c r="D224" s="7">
        <v>8888.07</v>
      </c>
      <c r="E224" s="2"/>
      <c r="F224" s="6">
        <f t="shared" si="71"/>
        <v>9.9219743555375058E-3</v>
      </c>
      <c r="G224" s="2"/>
      <c r="H224" s="7">
        <v>20424.36</v>
      </c>
      <c r="I224" s="2"/>
      <c r="J224" s="6">
        <f t="shared" si="72"/>
        <v>5.0949226047276829E-3</v>
      </c>
      <c r="K224" s="2"/>
      <c r="L224" s="7">
        <f t="shared" si="73"/>
        <v>-11536.29</v>
      </c>
      <c r="M224" s="2"/>
      <c r="N224" s="6">
        <f t="shared" si="74"/>
        <v>-0.56482993836771389</v>
      </c>
      <c r="O224" s="11"/>
      <c r="P224" s="7">
        <v>11110.09</v>
      </c>
      <c r="Q224" s="2"/>
      <c r="R224" s="6">
        <f t="shared" si="75"/>
        <v>3.1001756786401906E-3</v>
      </c>
      <c r="S224" s="2"/>
      <c r="T224" s="7">
        <v>31822.09</v>
      </c>
      <c r="U224" s="2"/>
      <c r="V224" s="6">
        <f t="shared" si="76"/>
        <v>3.26917749033735E-3</v>
      </c>
      <c r="W224" s="2"/>
      <c r="X224" s="7">
        <f t="shared" si="77"/>
        <v>-20712</v>
      </c>
      <c r="Y224" s="2"/>
      <c r="Z224" s="6">
        <f t="shared" si="78"/>
        <v>-0.65086862616503194</v>
      </c>
    </row>
    <row r="225" spans="1:26" s="27" customFormat="1" outlineLevel="1" collapsed="1" x14ac:dyDescent="0.25">
      <c r="A225" s="29"/>
      <c r="B225" s="14" t="str">
        <f>CONCATENATE("     ","Employees' Appreciation                           ")</f>
        <v xml:space="preserve">     Employees' Appreciation                           </v>
      </c>
      <c r="C225" s="14"/>
      <c r="D225" s="1">
        <f>SUM(OSRRefD22_8x_0)</f>
        <v>0</v>
      </c>
      <c r="E225" s="1"/>
      <c r="F225" s="5">
        <f t="shared" si="71"/>
        <v>0</v>
      </c>
      <c r="G225" s="1"/>
      <c r="H225" s="1">
        <f>SUM(OSRRefH22_8x_0)</f>
        <v>953.58</v>
      </c>
      <c r="I225" s="1"/>
      <c r="J225" s="5">
        <f t="shared" si="72"/>
        <v>2.3787361255952325E-4</v>
      </c>
      <c r="K225" s="1"/>
      <c r="L225" s="1">
        <f t="shared" si="73"/>
        <v>-953.58</v>
      </c>
      <c r="M225" s="1"/>
      <c r="N225" s="5">
        <f t="shared" si="74"/>
        <v>-1</v>
      </c>
      <c r="O225" s="14"/>
      <c r="P225" s="1">
        <f>SUM(OSRRefP22_8x_0)</f>
        <v>107.7</v>
      </c>
      <c r="Q225" s="1"/>
      <c r="R225" s="5">
        <f t="shared" si="75"/>
        <v>3.0052764702135493E-5</v>
      </c>
      <c r="S225" s="1"/>
      <c r="T225" s="1">
        <f>SUM(OSRRefT22_8x_0)</f>
        <v>1917.23</v>
      </c>
      <c r="U225" s="1"/>
      <c r="V225" s="5">
        <f t="shared" si="76"/>
        <v>1.9696271237368374E-4</v>
      </c>
      <c r="W225" s="1"/>
      <c r="X225" s="1">
        <f t="shared" si="77"/>
        <v>-1809.53</v>
      </c>
      <c r="Y225" s="1"/>
      <c r="Z225" s="5">
        <f t="shared" si="78"/>
        <v>-0.9438252061567991</v>
      </c>
    </row>
    <row r="226" spans="1:26" s="24" customFormat="1" hidden="1" outlineLevel="2" x14ac:dyDescent="0.25">
      <c r="A226" s="28"/>
      <c r="B226" s="11" t="str">
        <f>CONCATENATE("          ", "6277", " - ", "EMPLOYEE APPRECIATION")</f>
        <v xml:space="preserve">          6277 - EMPLOYEE APPRECIATION</v>
      </c>
      <c r="C226" s="11"/>
      <c r="D226" s="7"/>
      <c r="E226" s="2"/>
      <c r="F226" s="6">
        <f t="shared" si="71"/>
        <v>0</v>
      </c>
      <c r="G226" s="2"/>
      <c r="H226" s="7">
        <v>953.58</v>
      </c>
      <c r="I226" s="2"/>
      <c r="J226" s="6">
        <f t="shared" si="72"/>
        <v>2.3787361255952325E-4</v>
      </c>
      <c r="K226" s="2"/>
      <c r="L226" s="7">
        <f t="shared" si="73"/>
        <v>-953.58</v>
      </c>
      <c r="M226" s="2"/>
      <c r="N226" s="6">
        <f t="shared" si="74"/>
        <v>-1</v>
      </c>
      <c r="O226" s="11"/>
      <c r="P226" s="7">
        <v>107.7</v>
      </c>
      <c r="Q226" s="2"/>
      <c r="R226" s="6">
        <f t="shared" si="75"/>
        <v>3.0052764702135493E-5</v>
      </c>
      <c r="S226" s="2"/>
      <c r="T226" s="7">
        <v>1917.23</v>
      </c>
      <c r="U226" s="2"/>
      <c r="V226" s="6">
        <f t="shared" si="76"/>
        <v>1.9696271237368374E-4</v>
      </c>
      <c r="W226" s="2"/>
      <c r="X226" s="7">
        <f t="shared" si="77"/>
        <v>-1809.53</v>
      </c>
      <c r="Y226" s="2"/>
      <c r="Z226" s="6">
        <f t="shared" si="78"/>
        <v>-0.9438252061567991</v>
      </c>
    </row>
    <row r="227" spans="1:26" s="27" customFormat="1" outlineLevel="1" collapsed="1" x14ac:dyDescent="0.25">
      <c r="A227" s="29"/>
      <c r="B227" s="14" t="str">
        <f>CONCATENATE("     ","Equipment Rental                                  ")</f>
        <v xml:space="preserve">     Equipment Rental                                  </v>
      </c>
      <c r="C227" s="14"/>
      <c r="D227" s="1">
        <f>SUM(OSRRefD22_9x_0)</f>
        <v>2597.83</v>
      </c>
      <c r="E227" s="1"/>
      <c r="F227" s="5">
        <f t="shared" si="71"/>
        <v>2.9000224615744474E-3</v>
      </c>
      <c r="G227" s="1"/>
      <c r="H227" s="1">
        <f>SUM(OSRRefH22_9x_0)</f>
        <v>2100.9499999999998</v>
      </c>
      <c r="I227" s="1"/>
      <c r="J227" s="5">
        <f t="shared" si="72"/>
        <v>5.2408876686479402E-4</v>
      </c>
      <c r="K227" s="1"/>
      <c r="L227" s="1">
        <f t="shared" si="73"/>
        <v>496.88000000000011</v>
      </c>
      <c r="M227" s="1"/>
      <c r="N227" s="5">
        <f t="shared" si="74"/>
        <v>0.23650253456769563</v>
      </c>
      <c r="O227" s="14"/>
      <c r="P227" s="1">
        <f>SUM(OSRRefP22_9x_0)</f>
        <v>7463.66</v>
      </c>
      <c r="Q227" s="1"/>
      <c r="R227" s="5">
        <f t="shared" si="75"/>
        <v>2.082670545930739E-3</v>
      </c>
      <c r="S227" s="1"/>
      <c r="T227" s="1">
        <f>SUM(OSRRefT22_9x_0)</f>
        <v>11853.94</v>
      </c>
      <c r="U227" s="1"/>
      <c r="V227" s="5">
        <f t="shared" si="76"/>
        <v>1.2177903406033208E-3</v>
      </c>
      <c r="W227" s="1"/>
      <c r="X227" s="1">
        <f t="shared" si="77"/>
        <v>-4390.2800000000007</v>
      </c>
      <c r="Y227" s="1"/>
      <c r="Z227" s="5">
        <f t="shared" si="78"/>
        <v>-0.37036462138327009</v>
      </c>
    </row>
    <row r="228" spans="1:26" s="24" customFormat="1" hidden="1" outlineLevel="2" x14ac:dyDescent="0.25">
      <c r="A228" s="28"/>
      <c r="B228" s="11" t="str">
        <f>CONCATENATE("          ", "6351", " - ", "EQUIPMENT RENTAL")</f>
        <v xml:space="preserve">          6351 - EQUIPMENT RENTAL</v>
      </c>
      <c r="C228" s="11"/>
      <c r="D228" s="7">
        <v>2597.83</v>
      </c>
      <c r="E228" s="2"/>
      <c r="F228" s="6">
        <f t="shared" si="71"/>
        <v>2.9000224615744474E-3</v>
      </c>
      <c r="G228" s="2"/>
      <c r="H228" s="7">
        <v>2100.9499999999998</v>
      </c>
      <c r="I228" s="2"/>
      <c r="J228" s="6">
        <f t="shared" si="72"/>
        <v>5.2408876686479402E-4</v>
      </c>
      <c r="K228" s="2"/>
      <c r="L228" s="7">
        <f t="shared" si="73"/>
        <v>496.88000000000011</v>
      </c>
      <c r="M228" s="2"/>
      <c r="N228" s="6">
        <f t="shared" si="74"/>
        <v>0.23650253456769563</v>
      </c>
      <c r="O228" s="11"/>
      <c r="P228" s="7">
        <v>7463.66</v>
      </c>
      <c r="Q228" s="2"/>
      <c r="R228" s="6">
        <f t="shared" si="75"/>
        <v>2.082670545930739E-3</v>
      </c>
      <c r="S228" s="2"/>
      <c r="T228" s="7">
        <v>11853.94</v>
      </c>
      <c r="U228" s="2"/>
      <c r="V228" s="6">
        <f t="shared" si="76"/>
        <v>1.2177903406033208E-3</v>
      </c>
      <c r="W228" s="2"/>
      <c r="X228" s="7">
        <f t="shared" si="77"/>
        <v>-4390.2800000000007</v>
      </c>
      <c r="Y228" s="2"/>
      <c r="Z228" s="6">
        <f t="shared" si="78"/>
        <v>-0.37036462138327009</v>
      </c>
    </row>
    <row r="229" spans="1:26" s="27" customFormat="1" outlineLevel="1" collapsed="1" x14ac:dyDescent="0.25">
      <c r="A229" s="29"/>
      <c r="B229" s="14" t="str">
        <f>CONCATENATE("     ","Freight out/Postage                               ")</f>
        <v xml:space="preserve">     Freight out/Postage                               </v>
      </c>
      <c r="C229" s="14"/>
      <c r="D229" s="1">
        <f>SUM(OSRRefD22_10x_0)</f>
        <v>-5850.9800000000005</v>
      </c>
      <c r="E229" s="1"/>
      <c r="F229" s="5">
        <f t="shared" si="71"/>
        <v>-6.5315949935996053E-3</v>
      </c>
      <c r="G229" s="1"/>
      <c r="H229" s="1">
        <f>SUM(OSRRefH22_10x_0)</f>
        <v>9459.39</v>
      </c>
      <c r="I229" s="1"/>
      <c r="J229" s="5">
        <f t="shared" si="72"/>
        <v>2.3596754041710485E-3</v>
      </c>
      <c r="K229" s="1"/>
      <c r="L229" s="1">
        <f t="shared" si="73"/>
        <v>-15310.369999999999</v>
      </c>
      <c r="M229" s="1"/>
      <c r="N229" s="5">
        <f t="shared" si="74"/>
        <v>-1.6185367132552944</v>
      </c>
      <c r="O229" s="14"/>
      <c r="P229" s="1">
        <f>SUM(OSRRefP22_10x_0)</f>
        <v>-80468.87000000001</v>
      </c>
      <c r="Q229" s="1"/>
      <c r="R229" s="5">
        <f t="shared" si="75"/>
        <v>-2.2454150565986351E-2</v>
      </c>
      <c r="S229" s="1"/>
      <c r="T229" s="1">
        <f>SUM(OSRRefT22_10x_0)</f>
        <v>-5559.8000000000011</v>
      </c>
      <c r="U229" s="1"/>
      <c r="V229" s="5">
        <f t="shared" si="76"/>
        <v>-5.7117470947940885E-4</v>
      </c>
      <c r="W229" s="1"/>
      <c r="X229" s="1">
        <f t="shared" si="77"/>
        <v>-74909.070000000007</v>
      </c>
      <c r="Y229" s="1"/>
      <c r="Z229" s="5">
        <f t="shared" si="78"/>
        <v>13.473338969027662</v>
      </c>
    </row>
    <row r="230" spans="1:26" s="24" customFormat="1" hidden="1" outlineLevel="2" x14ac:dyDescent="0.25">
      <c r="A230" s="28"/>
      <c r="B230" s="11" t="str">
        <f>CONCATENATE("          ", "6305", " - ", "FREIGHT OUT")</f>
        <v xml:space="preserve">          6305 - FREIGHT OUT</v>
      </c>
      <c r="C230" s="11"/>
      <c r="D230" s="7">
        <v>5418.22</v>
      </c>
      <c r="E230" s="2"/>
      <c r="F230" s="6">
        <f t="shared" si="71"/>
        <v>6.0484942054529756E-3</v>
      </c>
      <c r="G230" s="2"/>
      <c r="H230" s="7">
        <v>10687.83</v>
      </c>
      <c r="I230" s="2"/>
      <c r="J230" s="6">
        <f t="shared" si="72"/>
        <v>2.6661137319596144E-3</v>
      </c>
      <c r="K230" s="2"/>
      <c r="L230" s="7">
        <f t="shared" si="73"/>
        <v>-5269.61</v>
      </c>
      <c r="M230" s="2"/>
      <c r="N230" s="6">
        <f t="shared" si="74"/>
        <v>-0.49304770004762422</v>
      </c>
      <c r="O230" s="11"/>
      <c r="P230" s="7">
        <v>25933.01</v>
      </c>
      <c r="Q230" s="2"/>
      <c r="R230" s="6">
        <f t="shared" si="75"/>
        <v>7.2363848426009909E-3</v>
      </c>
      <c r="S230" s="2"/>
      <c r="T230" s="7">
        <v>15082.24</v>
      </c>
      <c r="U230" s="2"/>
      <c r="V230" s="6">
        <f t="shared" si="76"/>
        <v>1.5494431544837435E-3</v>
      </c>
      <c r="W230" s="2"/>
      <c r="X230" s="7">
        <f t="shared" si="77"/>
        <v>10850.769999999999</v>
      </c>
      <c r="Y230" s="2"/>
      <c r="Z230" s="6">
        <f t="shared" si="78"/>
        <v>0.71944021577696671</v>
      </c>
    </row>
    <row r="231" spans="1:26" s="24" customFormat="1" hidden="1" outlineLevel="2" x14ac:dyDescent="0.25">
      <c r="A231" s="28"/>
      <c r="B231" s="11" t="str">
        <f>CONCATENATE("          ", "6307", " - ", "POSTAGE")</f>
        <v xml:space="preserve">          6307 - POSTAGE</v>
      </c>
      <c r="C231" s="11"/>
      <c r="D231" s="7">
        <v>-11269.2</v>
      </c>
      <c r="E231" s="2"/>
      <c r="F231" s="6">
        <f t="shared" si="71"/>
        <v>-1.2580089199052581E-2</v>
      </c>
      <c r="G231" s="2"/>
      <c r="H231" s="7">
        <v>-1228.44</v>
      </c>
      <c r="I231" s="2"/>
      <c r="J231" s="6">
        <f t="shared" si="72"/>
        <v>-3.0643832778856595E-4</v>
      </c>
      <c r="K231" s="2"/>
      <c r="L231" s="7">
        <f t="shared" si="73"/>
        <v>-10040.76</v>
      </c>
      <c r="M231" s="2"/>
      <c r="N231" s="6">
        <f t="shared" si="74"/>
        <v>8.1735860115268135</v>
      </c>
      <c r="O231" s="11"/>
      <c r="P231" s="7">
        <v>-106401.88</v>
      </c>
      <c r="Q231" s="2"/>
      <c r="R231" s="6">
        <f t="shared" si="75"/>
        <v>-2.9690535408587342E-2</v>
      </c>
      <c r="S231" s="2"/>
      <c r="T231" s="7">
        <v>-20642.04</v>
      </c>
      <c r="U231" s="2"/>
      <c r="V231" s="6">
        <f t="shared" si="76"/>
        <v>-2.1206178639631523E-3</v>
      </c>
      <c r="W231" s="2"/>
      <c r="X231" s="7">
        <f t="shared" si="77"/>
        <v>-85759.84</v>
      </c>
      <c r="Y231" s="2"/>
      <c r="Z231" s="6">
        <f t="shared" si="78"/>
        <v>4.1546203766681975</v>
      </c>
    </row>
    <row r="232" spans="1:26" s="27" customFormat="1" outlineLevel="1" collapsed="1" x14ac:dyDescent="0.25">
      <c r="A232" s="29"/>
      <c r="B232" s="14" t="str">
        <f>CONCATENATE("     ","General                                           ")</f>
        <v xml:space="preserve">     General                                           </v>
      </c>
      <c r="C232" s="14"/>
      <c r="D232" s="1">
        <f>SUM(OSRRefD22_11x_0)</f>
        <v>552.16999999999996</v>
      </c>
      <c r="E232" s="1"/>
      <c r="F232" s="5">
        <f t="shared" ref="F232:F234" si="79">IF(D$12=0,0,D232/D$12)</f>
        <v>6.1640115119448253E-4</v>
      </c>
      <c r="G232" s="1"/>
      <c r="H232" s="1">
        <f>SUM(OSRRefH22_11x_0)</f>
        <v>6380.97</v>
      </c>
      <c r="I232" s="1"/>
      <c r="J232" s="5">
        <f t="shared" ref="J232:J234" si="80">IF(H$12=0,0,H232/H$12)</f>
        <v>1.591753587044549E-3</v>
      </c>
      <c r="K232" s="1"/>
      <c r="L232" s="1">
        <f t="shared" ref="L232:L234" si="81">+D232-H232</f>
        <v>-5828.8</v>
      </c>
      <c r="M232" s="1"/>
      <c r="N232" s="5">
        <f t="shared" ref="N232:N234" si="82">IF(H232=0,0,L232/H232)</f>
        <v>-0.91346613445918101</v>
      </c>
      <c r="O232" s="14"/>
      <c r="P232" s="1">
        <f>SUM(OSRRefP22_11x_0)</f>
        <v>8419.52</v>
      </c>
      <c r="Q232" s="1"/>
      <c r="R232" s="5">
        <f t="shared" ref="R232:R234" si="83">IF(P$12=0,0,P232/P$12)</f>
        <v>2.349395111094929E-3</v>
      </c>
      <c r="S232" s="1"/>
      <c r="T232" s="1">
        <f>SUM(OSRRefT22_11x_0)</f>
        <v>24775.769999999997</v>
      </c>
      <c r="U232" s="1"/>
      <c r="V232" s="5">
        <f t="shared" ref="V232:V234" si="84">IF(T$12=0,0,T232/T$12)</f>
        <v>2.5452881815674392E-3</v>
      </c>
      <c r="W232" s="1"/>
      <c r="X232" s="1">
        <f t="shared" ref="X232:X234" si="85">+P232-T232</f>
        <v>-16356.249999999996</v>
      </c>
      <c r="Y232" s="1"/>
      <c r="Z232" s="5">
        <f t="shared" ref="Z232:Z234" si="86">IF(T232=0,0,X232/T232)</f>
        <v>-0.66017120759516246</v>
      </c>
    </row>
    <row r="233" spans="1:26" s="24" customFormat="1" hidden="1" outlineLevel="2" x14ac:dyDescent="0.25">
      <c r="A233" s="28"/>
      <c r="B233" s="11" t="str">
        <f>CONCATENATE("          ", "6269", " - ", "ENTERTAINMENT")</f>
        <v xml:space="preserve">          6269 - ENTERTAINMENT</v>
      </c>
      <c r="C233" s="11"/>
      <c r="D233" s="7"/>
      <c r="E233" s="2"/>
      <c r="F233" s="6">
        <f t="shared" si="79"/>
        <v>0</v>
      </c>
      <c r="G233" s="2"/>
      <c r="H233" s="7">
        <v>1050</v>
      </c>
      <c r="I233" s="2"/>
      <c r="J233" s="6">
        <f t="shared" si="80"/>
        <v>2.6192589314740178E-4</v>
      </c>
      <c r="K233" s="2"/>
      <c r="L233" s="7">
        <f t="shared" si="81"/>
        <v>-1050</v>
      </c>
      <c r="M233" s="2"/>
      <c r="N233" s="6">
        <f t="shared" si="82"/>
        <v>-1</v>
      </c>
      <c r="O233" s="11"/>
      <c r="P233" s="7"/>
      <c r="Q233" s="2"/>
      <c r="R233" s="6">
        <f t="shared" si="83"/>
        <v>0</v>
      </c>
      <c r="S233" s="2"/>
      <c r="T233" s="7">
        <v>3650</v>
      </c>
      <c r="U233" s="2"/>
      <c r="V233" s="6">
        <f t="shared" si="84"/>
        <v>3.7497530299648223E-4</v>
      </c>
      <c r="W233" s="2"/>
      <c r="X233" s="7">
        <f t="shared" si="85"/>
        <v>-3650</v>
      </c>
      <c r="Y233" s="2"/>
      <c r="Z233" s="6">
        <f t="shared" si="86"/>
        <v>-1</v>
      </c>
    </row>
    <row r="234" spans="1:26" s="24" customFormat="1" hidden="1" outlineLevel="2" x14ac:dyDescent="0.25">
      <c r="A234" s="28"/>
      <c r="B234" s="11" t="str">
        <f>CONCATENATE("          ", "6279", " - ", "GENERAL EXPENSE")</f>
        <v xml:space="preserve">          6279 - GENERAL EXPENSE</v>
      </c>
      <c r="C234" s="11"/>
      <c r="D234" s="7">
        <v>552.16999999999996</v>
      </c>
      <c r="E234" s="2"/>
      <c r="F234" s="6">
        <f t="shared" si="79"/>
        <v>6.1640115119448253E-4</v>
      </c>
      <c r="G234" s="2"/>
      <c r="H234" s="7">
        <v>5330.97</v>
      </c>
      <c r="I234" s="2"/>
      <c r="J234" s="6">
        <f t="shared" si="80"/>
        <v>1.3298276938971472E-3</v>
      </c>
      <c r="K234" s="2"/>
      <c r="L234" s="7">
        <f t="shared" si="81"/>
        <v>-4778.8</v>
      </c>
      <c r="M234" s="2"/>
      <c r="N234" s="6">
        <f t="shared" si="82"/>
        <v>-0.89642222709938335</v>
      </c>
      <c r="O234" s="11"/>
      <c r="P234" s="7">
        <v>8419.52</v>
      </c>
      <c r="Q234" s="2"/>
      <c r="R234" s="6">
        <f t="shared" si="83"/>
        <v>2.349395111094929E-3</v>
      </c>
      <c r="S234" s="2"/>
      <c r="T234" s="7">
        <v>21125.769999999997</v>
      </c>
      <c r="U234" s="2"/>
      <c r="V234" s="6">
        <f t="shared" si="84"/>
        <v>2.1703128785709571E-3</v>
      </c>
      <c r="W234" s="2"/>
      <c r="X234" s="7">
        <f t="shared" si="85"/>
        <v>-12706.249999999996</v>
      </c>
      <c r="Y234" s="2"/>
      <c r="Z234" s="6">
        <f t="shared" si="86"/>
        <v>-0.60145736699774721</v>
      </c>
    </row>
    <row r="235" spans="1:26" s="27" customFormat="1" outlineLevel="1" collapsed="1" x14ac:dyDescent="0.25">
      <c r="A235" s="29"/>
      <c r="B235" s="14" t="str">
        <f>CONCATENATE("     ","Insurance                                         ")</f>
        <v xml:space="preserve">     Insurance                                         </v>
      </c>
      <c r="C235" s="14"/>
      <c r="D235" s="1">
        <f>SUM(OSRRefD22_12x_0)</f>
        <v>8563.32</v>
      </c>
      <c r="E235" s="1"/>
      <c r="F235" s="5">
        <f t="shared" ref="F235:F251" si="87">IF(D$12=0,0,D235/D$12)</f>
        <v>9.5594478259353761E-3</v>
      </c>
      <c r="G235" s="1"/>
      <c r="H235" s="1">
        <f>SUM(OSRRefH22_12x_0)</f>
        <v>8563.32</v>
      </c>
      <c r="I235" s="1"/>
      <c r="J235" s="5">
        <f t="shared" ref="J235:J251" si="88">IF(H$12=0,0,H235/H$12)</f>
        <v>2.136147846959056E-3</v>
      </c>
      <c r="K235" s="1"/>
      <c r="L235" s="1">
        <f t="shared" ref="L235:L251" si="89">+D235-H235</f>
        <v>0</v>
      </c>
      <c r="M235" s="1"/>
      <c r="N235" s="5">
        <f t="shared" ref="N235:N251" si="90">IF(H235=0,0,L235/H235)</f>
        <v>0</v>
      </c>
      <c r="O235" s="14"/>
      <c r="P235" s="1">
        <f>SUM(OSRRefP22_12x_0)</f>
        <v>25689.96</v>
      </c>
      <c r="Q235" s="1"/>
      <c r="R235" s="5">
        <f t="shared" ref="R235:R251" si="91">IF(P$12=0,0,P235/P$12)</f>
        <v>7.1685638169663203E-3</v>
      </c>
      <c r="S235" s="1"/>
      <c r="T235" s="1">
        <f>SUM(OSRRefT22_12x_0)</f>
        <v>25689.96</v>
      </c>
      <c r="U235" s="1"/>
      <c r="V235" s="5">
        <f t="shared" ref="V235:V251" si="92">IF(T$12=0,0,T235/T$12)</f>
        <v>2.6392056260184952E-3</v>
      </c>
      <c r="W235" s="1"/>
      <c r="X235" s="1">
        <f t="shared" ref="X235:X251" si="93">+P235-T235</f>
        <v>0</v>
      </c>
      <c r="Y235" s="1"/>
      <c r="Z235" s="5">
        <f t="shared" ref="Z235:Z251" si="94">IF(T235=0,0,X235/T235)</f>
        <v>0</v>
      </c>
    </row>
    <row r="236" spans="1:26" s="24" customFormat="1" hidden="1" outlineLevel="2" x14ac:dyDescent="0.25">
      <c r="A236" s="28"/>
      <c r="B236" s="11" t="str">
        <f>CONCATENATE("          ", "6314", " - ", "LIABILITY INSURANCE")</f>
        <v xml:space="preserve">          6314 - LIABILITY INSURANCE</v>
      </c>
      <c r="C236" s="11"/>
      <c r="D236" s="7">
        <v>8563.32</v>
      </c>
      <c r="E236" s="2"/>
      <c r="F236" s="6">
        <f t="shared" si="87"/>
        <v>9.5594478259353761E-3</v>
      </c>
      <c r="G236" s="2"/>
      <c r="H236" s="7">
        <v>8563.32</v>
      </c>
      <c r="I236" s="2"/>
      <c r="J236" s="6">
        <f t="shared" si="88"/>
        <v>2.136147846959056E-3</v>
      </c>
      <c r="K236" s="2"/>
      <c r="L236" s="7">
        <f t="shared" si="89"/>
        <v>0</v>
      </c>
      <c r="M236" s="2"/>
      <c r="N236" s="6">
        <f t="shared" si="90"/>
        <v>0</v>
      </c>
      <c r="O236" s="11"/>
      <c r="P236" s="7">
        <v>25689.96</v>
      </c>
      <c r="Q236" s="2"/>
      <c r="R236" s="6">
        <f t="shared" si="91"/>
        <v>7.1685638169663203E-3</v>
      </c>
      <c r="S236" s="2"/>
      <c r="T236" s="7">
        <v>25689.96</v>
      </c>
      <c r="U236" s="2"/>
      <c r="V236" s="6">
        <f t="shared" si="92"/>
        <v>2.6392056260184952E-3</v>
      </c>
      <c r="W236" s="2"/>
      <c r="X236" s="7">
        <f t="shared" si="93"/>
        <v>0</v>
      </c>
      <c r="Y236" s="2"/>
      <c r="Z236" s="6">
        <f t="shared" si="94"/>
        <v>0</v>
      </c>
    </row>
    <row r="237" spans="1:26" s="27" customFormat="1" outlineLevel="1" collapsed="1" x14ac:dyDescent="0.25">
      <c r="A237" s="29"/>
      <c r="B237" s="14" t="str">
        <f>CONCATENATE("     ","Interest                                          ")</f>
        <v xml:space="preserve">     Interest                                          </v>
      </c>
      <c r="C237" s="14"/>
      <c r="D237" s="1">
        <f>SUM(OSRRefD22_13x_0)</f>
        <v>11554</v>
      </c>
      <c r="E237" s="1"/>
      <c r="F237" s="5">
        <f t="shared" si="87"/>
        <v>1.289801854664515E-2</v>
      </c>
      <c r="G237" s="1"/>
      <c r="H237" s="1">
        <f>SUM(OSRRefH22_13x_0)</f>
        <v>11740</v>
      </c>
      <c r="I237" s="1"/>
      <c r="J237" s="5">
        <f t="shared" si="88"/>
        <v>2.9285809386195207E-3</v>
      </c>
      <c r="K237" s="1"/>
      <c r="L237" s="1">
        <f t="shared" si="89"/>
        <v>-186</v>
      </c>
      <c r="M237" s="1"/>
      <c r="N237" s="5">
        <f t="shared" si="90"/>
        <v>-1.5843270868824533E-2</v>
      </c>
      <c r="O237" s="14"/>
      <c r="P237" s="1">
        <f>SUM(OSRRefP22_13x_0)</f>
        <v>34662</v>
      </c>
      <c r="Q237" s="1"/>
      <c r="R237" s="5">
        <f t="shared" si="91"/>
        <v>9.6721349127708491E-3</v>
      </c>
      <c r="S237" s="1"/>
      <c r="T237" s="1">
        <f>SUM(OSRRefT22_13x_0)</f>
        <v>35220</v>
      </c>
      <c r="U237" s="1"/>
      <c r="V237" s="5">
        <f t="shared" si="92"/>
        <v>3.6182548415167408E-3</v>
      </c>
      <c r="W237" s="1"/>
      <c r="X237" s="1">
        <f t="shared" si="93"/>
        <v>-558</v>
      </c>
      <c r="Y237" s="1"/>
      <c r="Z237" s="5">
        <f t="shared" si="94"/>
        <v>-1.5843270868824533E-2</v>
      </c>
    </row>
    <row r="238" spans="1:26" s="24" customFormat="1" hidden="1" outlineLevel="2" x14ac:dyDescent="0.25">
      <c r="A238" s="28"/>
      <c r="B238" s="11" t="str">
        <f>CONCATENATE("          ", "6401", " - ", "INTEREST EXPENSE")</f>
        <v xml:space="preserve">          6401 - INTEREST EXPENSE</v>
      </c>
      <c r="C238" s="11"/>
      <c r="D238" s="7">
        <v>11554</v>
      </c>
      <c r="E238" s="2"/>
      <c r="F238" s="6">
        <f t="shared" si="87"/>
        <v>1.289801854664515E-2</v>
      </c>
      <c r="G238" s="2"/>
      <c r="H238" s="7">
        <v>11740</v>
      </c>
      <c r="I238" s="2"/>
      <c r="J238" s="6">
        <f t="shared" si="88"/>
        <v>2.9285809386195207E-3</v>
      </c>
      <c r="K238" s="2"/>
      <c r="L238" s="7">
        <f t="shared" si="89"/>
        <v>-186</v>
      </c>
      <c r="M238" s="2"/>
      <c r="N238" s="6">
        <f t="shared" si="90"/>
        <v>-1.5843270868824533E-2</v>
      </c>
      <c r="O238" s="11"/>
      <c r="P238" s="7">
        <v>34662</v>
      </c>
      <c r="Q238" s="2"/>
      <c r="R238" s="6">
        <f t="shared" si="91"/>
        <v>9.6721349127708491E-3</v>
      </c>
      <c r="S238" s="2"/>
      <c r="T238" s="7">
        <v>35220</v>
      </c>
      <c r="U238" s="2"/>
      <c r="V238" s="6">
        <f t="shared" si="92"/>
        <v>3.6182548415167408E-3</v>
      </c>
      <c r="W238" s="2"/>
      <c r="X238" s="7">
        <f t="shared" si="93"/>
        <v>-558</v>
      </c>
      <c r="Y238" s="2"/>
      <c r="Z238" s="6">
        <f t="shared" si="94"/>
        <v>-1.5843270868824533E-2</v>
      </c>
    </row>
    <row r="239" spans="1:26" s="27" customFormat="1" outlineLevel="1" collapsed="1" x14ac:dyDescent="0.25">
      <c r="A239" s="29"/>
      <c r="B239" s="14" t="str">
        <f>CONCATENATE("     ","Inventory Adjustment                              ")</f>
        <v xml:space="preserve">     Inventory Adjustment                              </v>
      </c>
      <c r="C239" s="14"/>
      <c r="D239" s="1">
        <f>SUM(OSRRefD22_14x_0)</f>
        <v>3350</v>
      </c>
      <c r="E239" s="1"/>
      <c r="F239" s="5">
        <f t="shared" si="87"/>
        <v>3.7396886040558463E-3</v>
      </c>
      <c r="G239" s="1"/>
      <c r="H239" s="1">
        <f>SUM(OSRRefH22_14x_0)</f>
        <v>4250</v>
      </c>
      <c r="I239" s="1"/>
      <c r="J239" s="5">
        <f t="shared" si="88"/>
        <v>1.0601762341680549E-3</v>
      </c>
      <c r="K239" s="1"/>
      <c r="L239" s="1">
        <f t="shared" si="89"/>
        <v>-900</v>
      </c>
      <c r="M239" s="1"/>
      <c r="N239" s="5">
        <f t="shared" si="90"/>
        <v>-0.21176470588235294</v>
      </c>
      <c r="O239" s="14"/>
      <c r="P239" s="1">
        <f>SUM(OSRRefP22_14x_0)</f>
        <v>10050</v>
      </c>
      <c r="Q239" s="1"/>
      <c r="R239" s="5">
        <f t="shared" si="91"/>
        <v>2.8043666226226713E-3</v>
      </c>
      <c r="S239" s="1"/>
      <c r="T239" s="1">
        <f>SUM(OSRRefT22_14x_0)</f>
        <v>12650</v>
      </c>
      <c r="U239" s="1"/>
      <c r="V239" s="5">
        <f t="shared" si="92"/>
        <v>1.2995719405220548E-3</v>
      </c>
      <c r="W239" s="1"/>
      <c r="X239" s="1">
        <f t="shared" si="93"/>
        <v>-2600</v>
      </c>
      <c r="Y239" s="1"/>
      <c r="Z239" s="5">
        <f t="shared" si="94"/>
        <v>-0.20553359683794467</v>
      </c>
    </row>
    <row r="240" spans="1:26" s="24" customFormat="1" hidden="1" outlineLevel="2" x14ac:dyDescent="0.25">
      <c r="A240" s="28"/>
      <c r="B240" s="11" t="str">
        <f>CONCATENATE("          ", "6408", " - ", "INVENTORY ADJUSTMENT")</f>
        <v xml:space="preserve">          6408 - INVENTORY ADJUSTMENT</v>
      </c>
      <c r="C240" s="11"/>
      <c r="D240" s="7">
        <v>3350</v>
      </c>
      <c r="E240" s="2"/>
      <c r="F240" s="6">
        <f t="shared" si="87"/>
        <v>3.7396886040558463E-3</v>
      </c>
      <c r="G240" s="2"/>
      <c r="H240" s="7">
        <v>4250</v>
      </c>
      <c r="I240" s="2"/>
      <c r="J240" s="6">
        <f t="shared" si="88"/>
        <v>1.0601762341680549E-3</v>
      </c>
      <c r="K240" s="2"/>
      <c r="L240" s="7">
        <f t="shared" si="89"/>
        <v>-900</v>
      </c>
      <c r="M240" s="2"/>
      <c r="N240" s="6">
        <f t="shared" si="90"/>
        <v>-0.21176470588235294</v>
      </c>
      <c r="O240" s="11"/>
      <c r="P240" s="7">
        <v>10050</v>
      </c>
      <c r="Q240" s="2"/>
      <c r="R240" s="6">
        <f t="shared" si="91"/>
        <v>2.8043666226226713E-3</v>
      </c>
      <c r="S240" s="2"/>
      <c r="T240" s="7">
        <v>12650</v>
      </c>
      <c r="U240" s="2"/>
      <c r="V240" s="6">
        <f t="shared" si="92"/>
        <v>1.2995719405220548E-3</v>
      </c>
      <c r="W240" s="2"/>
      <c r="X240" s="7">
        <f t="shared" si="93"/>
        <v>-2600</v>
      </c>
      <c r="Y240" s="2"/>
      <c r="Z240" s="6">
        <f t="shared" si="94"/>
        <v>-0.20553359683794467</v>
      </c>
    </row>
    <row r="241" spans="1:26" s="27" customFormat="1" outlineLevel="1" collapsed="1" x14ac:dyDescent="0.25">
      <c r="A241" s="29"/>
      <c r="B241" s="14" t="str">
        <f>CONCATENATE("     ","Professional Services                             ")</f>
        <v xml:space="preserve">     Professional Services                             </v>
      </c>
      <c r="C241" s="14"/>
      <c r="D241" s="1">
        <f>SUM(OSRRefD22_15x_0)</f>
        <v>0</v>
      </c>
      <c r="E241" s="1"/>
      <c r="F241" s="5">
        <f t="shared" si="87"/>
        <v>0</v>
      </c>
      <c r="G241" s="1"/>
      <c r="H241" s="1">
        <f>SUM(OSRRefH22_15x_0)</f>
        <v>0</v>
      </c>
      <c r="I241" s="1"/>
      <c r="J241" s="5">
        <f t="shared" si="88"/>
        <v>0</v>
      </c>
      <c r="K241" s="1"/>
      <c r="L241" s="1">
        <f t="shared" si="89"/>
        <v>0</v>
      </c>
      <c r="M241" s="1"/>
      <c r="N241" s="5">
        <f t="shared" si="90"/>
        <v>0</v>
      </c>
      <c r="O241" s="14"/>
      <c r="P241" s="1">
        <f>SUM(OSRRefP22_15x_0)</f>
        <v>0</v>
      </c>
      <c r="Q241" s="1"/>
      <c r="R241" s="5">
        <f t="shared" si="91"/>
        <v>0</v>
      </c>
      <c r="S241" s="1"/>
      <c r="T241" s="1">
        <f>SUM(OSRRefT22_15x_0)</f>
        <v>6283.41</v>
      </c>
      <c r="U241" s="1"/>
      <c r="V241" s="5">
        <f t="shared" si="92"/>
        <v>6.4551330646606196E-4</v>
      </c>
      <c r="W241" s="1"/>
      <c r="X241" s="1">
        <f t="shared" si="93"/>
        <v>-6283.41</v>
      </c>
      <c r="Y241" s="1"/>
      <c r="Z241" s="5">
        <f t="shared" si="94"/>
        <v>-1</v>
      </c>
    </row>
    <row r="242" spans="1:26" s="24" customFormat="1" hidden="1" outlineLevel="2" x14ac:dyDescent="0.25">
      <c r="A242" s="28"/>
      <c r="B242" s="11" t="str">
        <f>CONCATENATE("          ", "6336", " - ", "PROFESSIONAL SERVICES")</f>
        <v xml:space="preserve">          6336 - PROFESSIONAL SERVICES</v>
      </c>
      <c r="C242" s="11"/>
      <c r="D242" s="7"/>
      <c r="E242" s="2"/>
      <c r="F242" s="6">
        <f t="shared" si="87"/>
        <v>0</v>
      </c>
      <c r="G242" s="2"/>
      <c r="H242" s="7"/>
      <c r="I242" s="2"/>
      <c r="J242" s="6">
        <f t="shared" si="88"/>
        <v>0</v>
      </c>
      <c r="K242" s="2"/>
      <c r="L242" s="7">
        <f t="shared" si="89"/>
        <v>0</v>
      </c>
      <c r="M242" s="2"/>
      <c r="N242" s="6">
        <f t="shared" si="90"/>
        <v>0</v>
      </c>
      <c r="O242" s="11"/>
      <c r="P242" s="7"/>
      <c r="Q242" s="2"/>
      <c r="R242" s="6">
        <f t="shared" si="91"/>
        <v>0</v>
      </c>
      <c r="S242" s="2"/>
      <c r="T242" s="7">
        <v>6283.41</v>
      </c>
      <c r="U242" s="2"/>
      <c r="V242" s="6">
        <f t="shared" si="92"/>
        <v>6.4551330646606196E-4</v>
      </c>
      <c r="W242" s="2"/>
      <c r="X242" s="7">
        <f t="shared" si="93"/>
        <v>-6283.41</v>
      </c>
      <c r="Y242" s="2"/>
      <c r="Z242" s="6">
        <f t="shared" si="94"/>
        <v>-1</v>
      </c>
    </row>
    <row r="243" spans="1:26" s="27" customFormat="1" outlineLevel="1" collapsed="1" x14ac:dyDescent="0.25">
      <c r="A243" s="29"/>
      <c r="B243" s="14" t="str">
        <f>CONCATENATE("     ","R/H Commissions                                   ")</f>
        <v xml:space="preserve">     R/H Commissions                                   </v>
      </c>
      <c r="C243" s="14"/>
      <c r="D243" s="1">
        <f>SUM(OSRRefD22_16x_0)</f>
        <v>11792.03</v>
      </c>
      <c r="E243" s="1"/>
      <c r="F243" s="5">
        <f t="shared" si="87"/>
        <v>1.3163737376025273E-2</v>
      </c>
      <c r="G243" s="1"/>
      <c r="H243" s="1">
        <f>SUM(OSRRefH22_16x_0)</f>
        <v>115888.45000000001</v>
      </c>
      <c r="I243" s="1"/>
      <c r="J243" s="5">
        <f t="shared" si="88"/>
        <v>2.8908748354017161E-2</v>
      </c>
      <c r="K243" s="1"/>
      <c r="L243" s="1">
        <f t="shared" si="89"/>
        <v>-104096.42000000001</v>
      </c>
      <c r="M243" s="1"/>
      <c r="N243" s="5">
        <f t="shared" si="90"/>
        <v>-0.8982467191510457</v>
      </c>
      <c r="O243" s="14"/>
      <c r="P243" s="1">
        <f>SUM(OSRRefP22_16x_0)</f>
        <v>16477.52</v>
      </c>
      <c r="Q243" s="1"/>
      <c r="R243" s="5">
        <f t="shared" si="91"/>
        <v>4.5979111553828382E-3</v>
      </c>
      <c r="S243" s="1"/>
      <c r="T243" s="1">
        <f>SUM(OSRRefT22_16x_0)</f>
        <v>187921.28</v>
      </c>
      <c r="U243" s="1"/>
      <c r="V243" s="5">
        <f t="shared" si="92"/>
        <v>1.9305709289722403E-2</v>
      </c>
      <c r="W243" s="1"/>
      <c r="X243" s="1">
        <f t="shared" si="93"/>
        <v>-171443.76</v>
      </c>
      <c r="Y243" s="1"/>
      <c r="Z243" s="5">
        <f t="shared" si="94"/>
        <v>-0.9123169020560099</v>
      </c>
    </row>
    <row r="244" spans="1:26" s="24" customFormat="1" hidden="1" outlineLevel="2" x14ac:dyDescent="0.25">
      <c r="A244" s="28"/>
      <c r="B244" s="11" t="str">
        <f>CONCATENATE("          ", "6387", " - ", "COMMISSION DUE HOUSING")</f>
        <v xml:space="preserve">          6387 - COMMISSION DUE HOUSING</v>
      </c>
      <c r="C244" s="11"/>
      <c r="D244" s="7">
        <v>11792.03</v>
      </c>
      <c r="E244" s="2"/>
      <c r="F244" s="6">
        <f t="shared" si="87"/>
        <v>1.3163737376025273E-2</v>
      </c>
      <c r="G244" s="2"/>
      <c r="H244" s="7">
        <v>115888.45000000001</v>
      </c>
      <c r="I244" s="2"/>
      <c r="J244" s="6">
        <f t="shared" si="88"/>
        <v>2.8908748354017161E-2</v>
      </c>
      <c r="K244" s="2"/>
      <c r="L244" s="7">
        <f t="shared" si="89"/>
        <v>-104096.42000000001</v>
      </c>
      <c r="M244" s="2"/>
      <c r="N244" s="6">
        <f t="shared" si="90"/>
        <v>-0.8982467191510457</v>
      </c>
      <c r="O244" s="11"/>
      <c r="P244" s="7">
        <v>16477.52</v>
      </c>
      <c r="Q244" s="2"/>
      <c r="R244" s="6">
        <f t="shared" si="91"/>
        <v>4.5979111553828382E-3</v>
      </c>
      <c r="S244" s="2"/>
      <c r="T244" s="7">
        <v>187921.28</v>
      </c>
      <c r="U244" s="2"/>
      <c r="V244" s="6">
        <f t="shared" si="92"/>
        <v>1.9305709289722403E-2</v>
      </c>
      <c r="W244" s="2"/>
      <c r="X244" s="7">
        <f t="shared" si="93"/>
        <v>-171443.76</v>
      </c>
      <c r="Y244" s="2"/>
      <c r="Z244" s="6">
        <f t="shared" si="94"/>
        <v>-0.9123169020560099</v>
      </c>
    </row>
    <row r="245" spans="1:26" s="27" customFormat="1" outlineLevel="1" collapsed="1" x14ac:dyDescent="0.25">
      <c r="A245" s="29"/>
      <c r="B245" s="14" t="str">
        <f>CONCATENATE("     ","Rent                                              ")</f>
        <v xml:space="preserve">     Rent                                              </v>
      </c>
      <c r="C245" s="14"/>
      <c r="D245" s="1">
        <f>SUM(OSRRefD22_17x_0)</f>
        <v>12450</v>
      </c>
      <c r="E245" s="1"/>
      <c r="F245" s="5">
        <f t="shared" si="87"/>
        <v>1.3898245707610534E-2</v>
      </c>
      <c r="G245" s="1"/>
      <c r="H245" s="1">
        <f>SUM(OSRRefH22_17x_0)</f>
        <v>9900</v>
      </c>
      <c r="I245" s="1"/>
      <c r="J245" s="5">
        <f t="shared" si="88"/>
        <v>2.4695869925326452E-3</v>
      </c>
      <c r="K245" s="1"/>
      <c r="L245" s="1">
        <f t="shared" si="89"/>
        <v>2550</v>
      </c>
      <c r="M245" s="1"/>
      <c r="N245" s="5">
        <f t="shared" si="90"/>
        <v>0.25757575757575757</v>
      </c>
      <c r="O245" s="14"/>
      <c r="P245" s="1">
        <f>SUM(OSRRefP22_17x_0)</f>
        <v>26250</v>
      </c>
      <c r="Q245" s="1"/>
      <c r="R245" s="5">
        <f t="shared" si="91"/>
        <v>7.3248381934174255E-3</v>
      </c>
      <c r="S245" s="1"/>
      <c r="T245" s="1">
        <f>SUM(OSRRefT22_17x_0)</f>
        <v>29700</v>
      </c>
      <c r="U245" s="1"/>
      <c r="V245" s="5">
        <f t="shared" si="92"/>
        <v>3.0511689038343896E-3</v>
      </c>
      <c r="W245" s="1"/>
      <c r="X245" s="1">
        <f t="shared" si="93"/>
        <v>-3450</v>
      </c>
      <c r="Y245" s="1"/>
      <c r="Z245" s="5">
        <f t="shared" si="94"/>
        <v>-0.11616161616161616</v>
      </c>
    </row>
    <row r="246" spans="1:26" s="24" customFormat="1" hidden="1" outlineLevel="2" x14ac:dyDescent="0.25">
      <c r="A246" s="28"/>
      <c r="B246" s="11" t="str">
        <f>CONCATENATE("          ", "6273", " - ", "RENT")</f>
        <v xml:space="preserve">          6273 - RENT</v>
      </c>
      <c r="C246" s="11"/>
      <c r="D246" s="7">
        <v>12450</v>
      </c>
      <c r="E246" s="2"/>
      <c r="F246" s="6">
        <f t="shared" si="87"/>
        <v>1.3898245707610534E-2</v>
      </c>
      <c r="G246" s="2"/>
      <c r="H246" s="7">
        <v>9900</v>
      </c>
      <c r="I246" s="2"/>
      <c r="J246" s="6">
        <f t="shared" si="88"/>
        <v>2.4695869925326452E-3</v>
      </c>
      <c r="K246" s="2"/>
      <c r="L246" s="7">
        <f t="shared" si="89"/>
        <v>2550</v>
      </c>
      <c r="M246" s="2"/>
      <c r="N246" s="6">
        <f t="shared" si="90"/>
        <v>0.25757575757575757</v>
      </c>
      <c r="O246" s="11"/>
      <c r="P246" s="7">
        <v>26250</v>
      </c>
      <c r="Q246" s="2"/>
      <c r="R246" s="6">
        <f t="shared" si="91"/>
        <v>7.3248381934174255E-3</v>
      </c>
      <c r="S246" s="2"/>
      <c r="T246" s="7">
        <v>29700</v>
      </c>
      <c r="U246" s="2"/>
      <c r="V246" s="6">
        <f t="shared" si="92"/>
        <v>3.0511689038343896E-3</v>
      </c>
      <c r="W246" s="2"/>
      <c r="X246" s="7">
        <f t="shared" si="93"/>
        <v>-3450</v>
      </c>
      <c r="Y246" s="2"/>
      <c r="Z246" s="6">
        <f t="shared" si="94"/>
        <v>-0.11616161616161616</v>
      </c>
    </row>
    <row r="247" spans="1:26" s="27" customFormat="1" outlineLevel="1" collapsed="1" x14ac:dyDescent="0.25">
      <c r="A247" s="29"/>
      <c r="B247" s="14" t="str">
        <f>CONCATENATE("     ","Repair and Maintenance                            ")</f>
        <v xml:space="preserve">     Repair and Maintenance                            </v>
      </c>
      <c r="C247" s="14"/>
      <c r="D247" s="1">
        <f>SUM(OSRRefD22_18x_0)</f>
        <v>23477.25</v>
      </c>
      <c r="E247" s="1"/>
      <c r="F247" s="5">
        <f t="shared" si="87"/>
        <v>2.6208240083453769E-2</v>
      </c>
      <c r="G247" s="1"/>
      <c r="H247" s="1">
        <f>SUM(OSRRefH22_18x_0)</f>
        <v>55329.440000000002</v>
      </c>
      <c r="I247" s="1"/>
      <c r="J247" s="5">
        <f t="shared" si="88"/>
        <v>1.3802107608900551E-2</v>
      </c>
      <c r="K247" s="1"/>
      <c r="L247" s="1">
        <f t="shared" si="89"/>
        <v>-31852.190000000002</v>
      </c>
      <c r="M247" s="1"/>
      <c r="N247" s="5">
        <f t="shared" si="90"/>
        <v>-0.57568249380438341</v>
      </c>
      <c r="O247" s="14"/>
      <c r="P247" s="1">
        <f>SUM(OSRRefP22_18x_0)</f>
        <v>107962.20999999999</v>
      </c>
      <c r="Q247" s="1"/>
      <c r="R247" s="5">
        <f t="shared" si="91"/>
        <v>3.012593216204772E-2</v>
      </c>
      <c r="S247" s="1"/>
      <c r="T247" s="1">
        <f>SUM(OSRRefT22_18x_0)</f>
        <v>143839.06</v>
      </c>
      <c r="U247" s="1"/>
      <c r="V247" s="5">
        <f t="shared" si="92"/>
        <v>1.477701235787101E-2</v>
      </c>
      <c r="W247" s="1"/>
      <c r="X247" s="1">
        <f t="shared" si="93"/>
        <v>-35876.850000000006</v>
      </c>
      <c r="Y247" s="1"/>
      <c r="Z247" s="5">
        <f t="shared" si="94"/>
        <v>-0.24942355713392458</v>
      </c>
    </row>
    <row r="248" spans="1:26" s="24" customFormat="1" hidden="1" outlineLevel="2" x14ac:dyDescent="0.25">
      <c r="A248" s="28"/>
      <c r="B248" s="11" t="str">
        <f>CONCATENATE("          ", "6371", " - ", "COMPUTER SOFTWARE MAINTENANCE")</f>
        <v xml:space="preserve">          6371 - COMPUTER SOFTWARE MAINTENANCE</v>
      </c>
      <c r="C248" s="11"/>
      <c r="D248" s="7"/>
      <c r="E248" s="2"/>
      <c r="F248" s="6">
        <f t="shared" si="87"/>
        <v>0</v>
      </c>
      <c r="G248" s="2"/>
      <c r="H248" s="7">
        <v>22684.510000000002</v>
      </c>
      <c r="I248" s="2"/>
      <c r="J248" s="6">
        <f t="shared" si="88"/>
        <v>5.6587243260582554E-3</v>
      </c>
      <c r="K248" s="2"/>
      <c r="L248" s="7">
        <f t="shared" si="89"/>
        <v>-22684.510000000002</v>
      </c>
      <c r="M248" s="2"/>
      <c r="N248" s="6">
        <f t="shared" si="90"/>
        <v>-1</v>
      </c>
      <c r="O248" s="11"/>
      <c r="P248" s="7">
        <v>58428.780000000006</v>
      </c>
      <c r="Q248" s="2"/>
      <c r="R248" s="6">
        <f t="shared" si="91"/>
        <v>1.6304051784334639E-2</v>
      </c>
      <c r="S248" s="2"/>
      <c r="T248" s="7">
        <v>31172.76</v>
      </c>
      <c r="U248" s="2"/>
      <c r="V248" s="6">
        <f t="shared" si="92"/>
        <v>3.2024698975990739E-3</v>
      </c>
      <c r="W248" s="2"/>
      <c r="X248" s="7">
        <f t="shared" si="93"/>
        <v>27256.020000000008</v>
      </c>
      <c r="Y248" s="2"/>
      <c r="Z248" s="6">
        <f t="shared" si="94"/>
        <v>0.87435376270821097</v>
      </c>
    </row>
    <row r="249" spans="1:26" s="24" customFormat="1" hidden="1" outlineLevel="2" x14ac:dyDescent="0.25">
      <c r="A249" s="28"/>
      <c r="B249" s="11" t="str">
        <f>CONCATENATE("          ", "6372", " - ", "COMPUTER HARDWARE MAINTENANCE")</f>
        <v xml:space="preserve">          6372 - COMPUTER HARDWARE MAINTENANCE</v>
      </c>
      <c r="C249" s="11"/>
      <c r="D249" s="7">
        <v>-9.09</v>
      </c>
      <c r="E249" s="2"/>
      <c r="F249" s="6">
        <f t="shared" si="87"/>
        <v>-1.0147393853990342E-5</v>
      </c>
      <c r="G249" s="2"/>
      <c r="H249" s="7"/>
      <c r="I249" s="2"/>
      <c r="J249" s="6">
        <f t="shared" si="88"/>
        <v>0</v>
      </c>
      <c r="K249" s="2"/>
      <c r="L249" s="7">
        <f t="shared" si="89"/>
        <v>-9.09</v>
      </c>
      <c r="M249" s="2"/>
      <c r="N249" s="6">
        <f t="shared" si="90"/>
        <v>0</v>
      </c>
      <c r="O249" s="11"/>
      <c r="P249" s="7">
        <v>-8.11</v>
      </c>
      <c r="Q249" s="2"/>
      <c r="R249" s="6">
        <f t="shared" si="91"/>
        <v>-2.2630261999472501E-6</v>
      </c>
      <c r="S249" s="2"/>
      <c r="T249" s="7"/>
      <c r="U249" s="2"/>
      <c r="V249" s="6">
        <f t="shared" si="92"/>
        <v>0</v>
      </c>
      <c r="W249" s="2"/>
      <c r="X249" s="7">
        <f t="shared" si="93"/>
        <v>-8.11</v>
      </c>
      <c r="Y249" s="2"/>
      <c r="Z249" s="6">
        <f t="shared" si="94"/>
        <v>0</v>
      </c>
    </row>
    <row r="250" spans="1:26" s="24" customFormat="1" hidden="1" outlineLevel="2" x14ac:dyDescent="0.25">
      <c r="A250" s="28"/>
      <c r="B250" s="11" t="str">
        <f>CONCATENATE("          ", "6373", " - ", "MAINTENANCE CONTRACTS")</f>
        <v xml:space="preserve">          6373 - MAINTENANCE CONTRACTS</v>
      </c>
      <c r="C250" s="11"/>
      <c r="D250" s="7">
        <v>14594.21</v>
      </c>
      <c r="E250" s="2"/>
      <c r="F250" s="6">
        <f t="shared" si="87"/>
        <v>1.6291880842447124E-2</v>
      </c>
      <c r="G250" s="2"/>
      <c r="H250" s="7">
        <v>15398.86</v>
      </c>
      <c r="I250" s="2"/>
      <c r="J250" s="6">
        <f t="shared" si="88"/>
        <v>3.8412953894779046E-3</v>
      </c>
      <c r="K250" s="2"/>
      <c r="L250" s="7">
        <f t="shared" si="89"/>
        <v>-804.65000000000146</v>
      </c>
      <c r="M250" s="2"/>
      <c r="N250" s="6">
        <f t="shared" si="90"/>
        <v>-5.2253868143486037E-2</v>
      </c>
      <c r="O250" s="11"/>
      <c r="P250" s="7">
        <v>34250.39</v>
      </c>
      <c r="Q250" s="2"/>
      <c r="R250" s="6">
        <f t="shared" si="91"/>
        <v>9.5572786594835136E-3</v>
      </c>
      <c r="S250" s="2"/>
      <c r="T250" s="7">
        <v>43894.71</v>
      </c>
      <c r="U250" s="2"/>
      <c r="V250" s="6">
        <f t="shared" si="92"/>
        <v>4.509433474573347E-3</v>
      </c>
      <c r="W250" s="2"/>
      <c r="X250" s="7">
        <f t="shared" si="93"/>
        <v>-9644.32</v>
      </c>
      <c r="Y250" s="2"/>
      <c r="Z250" s="6">
        <f t="shared" si="94"/>
        <v>-0.21971485857863055</v>
      </c>
    </row>
    <row r="251" spans="1:26" s="24" customFormat="1" hidden="1" outlineLevel="2" x14ac:dyDescent="0.25">
      <c r="A251" s="28"/>
      <c r="B251" s="11" t="str">
        <f>CONCATENATE("          ", "6375", " - ", "OUTSIDE REPAIRS &amp; MAINTENANCE")</f>
        <v xml:space="preserve">          6375 - OUTSIDE REPAIRS &amp; MAINTENANCE</v>
      </c>
      <c r="C251" s="11"/>
      <c r="D251" s="7">
        <v>8892.1299999999992</v>
      </c>
      <c r="E251" s="2"/>
      <c r="F251" s="6">
        <f t="shared" si="87"/>
        <v>9.926506634860631E-3</v>
      </c>
      <c r="G251" s="2"/>
      <c r="H251" s="7">
        <v>17246.070000000003</v>
      </c>
      <c r="I251" s="2"/>
      <c r="J251" s="6">
        <f t="shared" si="88"/>
        <v>4.3020878933643925E-3</v>
      </c>
      <c r="K251" s="2"/>
      <c r="L251" s="7">
        <f t="shared" si="89"/>
        <v>-8353.9400000000041</v>
      </c>
      <c r="M251" s="2"/>
      <c r="N251" s="6">
        <f t="shared" si="90"/>
        <v>-0.48439673502426944</v>
      </c>
      <c r="O251" s="11"/>
      <c r="P251" s="7">
        <v>15291.150000000001</v>
      </c>
      <c r="Q251" s="2"/>
      <c r="R251" s="6">
        <f t="shared" si="91"/>
        <v>4.2668647444295193E-3</v>
      </c>
      <c r="S251" s="2"/>
      <c r="T251" s="7">
        <v>68771.59</v>
      </c>
      <c r="U251" s="2"/>
      <c r="V251" s="6">
        <f t="shared" si="92"/>
        <v>7.0651089856985875E-3</v>
      </c>
      <c r="W251" s="2"/>
      <c r="X251" s="7">
        <f t="shared" si="93"/>
        <v>-53480.439999999995</v>
      </c>
      <c r="Y251" s="2"/>
      <c r="Z251" s="6">
        <f t="shared" si="94"/>
        <v>-0.7776530977399243</v>
      </c>
    </row>
    <row r="252" spans="1:26" s="27" customFormat="1" outlineLevel="1" collapsed="1" x14ac:dyDescent="0.25">
      <c r="A252" s="29"/>
      <c r="B252" s="14" t="str">
        <f>CONCATENATE("     ","Royalty &amp; Commissions                             ")</f>
        <v xml:space="preserve">     Royalty &amp; Commissions                             </v>
      </c>
      <c r="C252" s="14"/>
      <c r="D252" s="1">
        <f>SUM(OSRRefD22_19x_0)</f>
        <v>62.6</v>
      </c>
      <c r="E252" s="1"/>
      <c r="F252" s="5">
        <f t="shared" ref="F252:F255" si="95">IF(D$12=0,0,D252/D$12)</f>
        <v>6.9881942272804776E-5</v>
      </c>
      <c r="G252" s="1"/>
      <c r="H252" s="1">
        <f>SUM(OSRRefH22_19x_0)</f>
        <v>42816</v>
      </c>
      <c r="I252" s="1"/>
      <c r="J252" s="5">
        <f t="shared" ref="J252:J255" si="96">IF(H$12=0,0,H252/H$12)</f>
        <v>1.0680589562856339E-2</v>
      </c>
      <c r="K252" s="1"/>
      <c r="L252" s="1">
        <f t="shared" ref="L252:L255" si="97">+D252-H252</f>
        <v>-42753.4</v>
      </c>
      <c r="M252" s="1"/>
      <c r="N252" s="5">
        <f t="shared" ref="N252:N255" si="98">IF(H252=0,0,L252/H252)</f>
        <v>-0.9985379297458894</v>
      </c>
      <c r="O252" s="14"/>
      <c r="P252" s="1">
        <f>SUM(OSRRefP22_19x_0)</f>
        <v>13307</v>
      </c>
      <c r="Q252" s="1"/>
      <c r="R252" s="5">
        <f t="shared" ref="R252:R255" si="99">IF(P$12=0,0,P252/P$12)</f>
        <v>3.7132046415164067E-3</v>
      </c>
      <c r="S252" s="1"/>
      <c r="T252" s="1">
        <f>SUM(OSRRefT22_19x_0)</f>
        <v>85389.66</v>
      </c>
      <c r="U252" s="1"/>
      <c r="V252" s="5">
        <f t="shared" ref="V252:V255" si="100">IF(T$12=0,0,T252/T$12)</f>
        <v>8.7723325017168771E-3</v>
      </c>
      <c r="W252" s="1"/>
      <c r="X252" s="1">
        <f t="shared" ref="X252:X255" si="101">+P252-T252</f>
        <v>-72082.66</v>
      </c>
      <c r="Y252" s="1"/>
      <c r="Z252" s="5">
        <f t="shared" ref="Z252:Z255" si="102">IF(T252=0,0,X252/T252)</f>
        <v>-0.84416145936170728</v>
      </c>
    </row>
    <row r="253" spans="1:26" s="24" customFormat="1" hidden="1" outlineLevel="2" x14ac:dyDescent="0.25">
      <c r="A253" s="28"/>
      <c r="B253" s="11" t="str">
        <f>CONCATENATE("          ", "6253", " - ", "ROYALTY DUE ATHLETICS-LRG")</f>
        <v xml:space="preserve">          6253 - ROYALTY DUE ATHLETICS-LRG</v>
      </c>
      <c r="C253" s="11"/>
      <c r="D253" s="7"/>
      <c r="E253" s="2"/>
      <c r="F253" s="6">
        <f t="shared" si="95"/>
        <v>0</v>
      </c>
      <c r="G253" s="2"/>
      <c r="H253" s="7"/>
      <c r="I253" s="2"/>
      <c r="J253" s="6">
        <f t="shared" si="96"/>
        <v>0</v>
      </c>
      <c r="K253" s="2"/>
      <c r="L253" s="7">
        <f t="shared" si="97"/>
        <v>0</v>
      </c>
      <c r="M253" s="2"/>
      <c r="N253" s="6">
        <f t="shared" si="98"/>
        <v>0</v>
      </c>
      <c r="O253" s="11"/>
      <c r="P253" s="7">
        <v>7922.2</v>
      </c>
      <c r="Q253" s="2"/>
      <c r="R253" s="6">
        <f t="shared" si="99"/>
        <v>2.2106222147006294E-3</v>
      </c>
      <c r="S253" s="2"/>
      <c r="T253" s="7">
        <v>4366.95</v>
      </c>
      <c r="U253" s="2"/>
      <c r="V253" s="6">
        <f t="shared" si="100"/>
        <v>4.4862969847136655E-4</v>
      </c>
      <c r="W253" s="2"/>
      <c r="X253" s="7">
        <f t="shared" si="101"/>
        <v>3555.25</v>
      </c>
      <c r="Y253" s="2"/>
      <c r="Z253" s="6">
        <f t="shared" si="102"/>
        <v>0.81412656430689612</v>
      </c>
    </row>
    <row r="254" spans="1:26" s="24" customFormat="1" hidden="1" outlineLevel="2" x14ac:dyDescent="0.25">
      <c r="A254" s="28"/>
      <c r="B254" s="11" t="str">
        <f>CONCATENATE("          ", "6254", " - ", "ROYALTY &amp; COMMISSIONS")</f>
        <v xml:space="preserve">          6254 - ROYALTY &amp; COMMISSIONS</v>
      </c>
      <c r="C254" s="11"/>
      <c r="D254" s="7"/>
      <c r="E254" s="2"/>
      <c r="F254" s="6">
        <f t="shared" si="95"/>
        <v>0</v>
      </c>
      <c r="G254" s="2"/>
      <c r="H254" s="7">
        <v>15852.8</v>
      </c>
      <c r="I254" s="2"/>
      <c r="J254" s="6">
        <f t="shared" si="96"/>
        <v>3.9545321894163153E-3</v>
      </c>
      <c r="K254" s="2"/>
      <c r="L254" s="7">
        <f t="shared" si="97"/>
        <v>-15852.8</v>
      </c>
      <c r="M254" s="2"/>
      <c r="N254" s="6">
        <f t="shared" si="98"/>
        <v>-1</v>
      </c>
      <c r="O254" s="11"/>
      <c r="P254" s="7"/>
      <c r="Q254" s="2"/>
      <c r="R254" s="6">
        <f t="shared" si="99"/>
        <v>0</v>
      </c>
      <c r="S254" s="2"/>
      <c r="T254" s="7">
        <v>40946.93</v>
      </c>
      <c r="U254" s="2"/>
      <c r="V254" s="6">
        <f t="shared" si="100"/>
        <v>4.2065993105549994E-3</v>
      </c>
      <c r="W254" s="2"/>
      <c r="X254" s="7">
        <f t="shared" si="101"/>
        <v>-40946.93</v>
      </c>
      <c r="Y254" s="2"/>
      <c r="Z254" s="6">
        <f t="shared" si="102"/>
        <v>-1</v>
      </c>
    </row>
    <row r="255" spans="1:26" s="24" customFormat="1" hidden="1" outlineLevel="2" x14ac:dyDescent="0.25">
      <c r="A255" s="28"/>
      <c r="B255" s="11" t="str">
        <f>CONCATENATE("          ", "6259", " - ", "ROYALTY &amp; COMMISSIONS")</f>
        <v xml:space="preserve">          6259 - ROYALTY &amp; COMMISSIONS</v>
      </c>
      <c r="C255" s="11"/>
      <c r="D255" s="7">
        <v>62.6</v>
      </c>
      <c r="E255" s="2"/>
      <c r="F255" s="6">
        <f t="shared" si="95"/>
        <v>6.9881942272804776E-5</v>
      </c>
      <c r="G255" s="2"/>
      <c r="H255" s="7">
        <v>26963.200000000001</v>
      </c>
      <c r="I255" s="2"/>
      <c r="J255" s="6">
        <f t="shared" si="96"/>
        <v>6.7260573734400225E-3</v>
      </c>
      <c r="K255" s="2"/>
      <c r="L255" s="7">
        <f t="shared" si="97"/>
        <v>-26900.600000000002</v>
      </c>
      <c r="M255" s="2"/>
      <c r="N255" s="6">
        <f t="shared" si="98"/>
        <v>-0.99767831711369581</v>
      </c>
      <c r="O255" s="11"/>
      <c r="P255" s="7">
        <v>5384.8</v>
      </c>
      <c r="Q255" s="2"/>
      <c r="R255" s="6">
        <f t="shared" si="99"/>
        <v>1.5025824268157773E-3</v>
      </c>
      <c r="S255" s="2"/>
      <c r="T255" s="7">
        <v>40075.78</v>
      </c>
      <c r="U255" s="2"/>
      <c r="V255" s="6">
        <f t="shared" si="100"/>
        <v>4.1171034926905103E-3</v>
      </c>
      <c r="W255" s="2"/>
      <c r="X255" s="7">
        <f t="shared" si="101"/>
        <v>-34690.979999999996</v>
      </c>
      <c r="Y255" s="2"/>
      <c r="Z255" s="6">
        <f t="shared" si="102"/>
        <v>-0.86563455533491795</v>
      </c>
    </row>
    <row r="256" spans="1:26" s="27" customFormat="1" outlineLevel="1" collapsed="1" x14ac:dyDescent="0.25">
      <c r="A256" s="29"/>
      <c r="B256" s="14" t="str">
        <f>CONCATENATE("     ","Services                                          ")</f>
        <v xml:space="preserve">     Services                                          </v>
      </c>
      <c r="C256" s="14"/>
      <c r="D256" s="1">
        <f>SUM(OSRRefD22_20x_0)</f>
        <v>21871.279999999999</v>
      </c>
      <c r="E256" s="1"/>
      <c r="F256" s="5">
        <f t="shared" ref="F256:F261" si="103">IF(D$12=0,0,D256/D$12)</f>
        <v>2.4415455693168522E-2</v>
      </c>
      <c r="G256" s="1"/>
      <c r="H256" s="1">
        <f>SUM(OSRRefH22_20x_0)</f>
        <v>46414.92</v>
      </c>
      <c r="I256" s="1"/>
      <c r="J256" s="5">
        <f t="shared" ref="J256:J261" si="104">IF(H$12=0,0,H256/H$12)</f>
        <v>1.1578351787014479E-2</v>
      </c>
      <c r="K256" s="1"/>
      <c r="L256" s="1">
        <f t="shared" ref="L256:L261" si="105">+D256-H256</f>
        <v>-24543.64</v>
      </c>
      <c r="M256" s="1"/>
      <c r="N256" s="5">
        <f t="shared" ref="N256:N261" si="106">IF(H256=0,0,L256/H256)</f>
        <v>-0.52878772601568635</v>
      </c>
      <c r="O256" s="14"/>
      <c r="P256" s="1">
        <f>SUM(OSRRefP22_20x_0)</f>
        <v>49584.320000000007</v>
      </c>
      <c r="Q256" s="1"/>
      <c r="R256" s="5">
        <f t="shared" ref="R256:R261" si="107">IF(P$12=0,0,P256/P$12)</f>
        <v>1.3836080797357393E-2</v>
      </c>
      <c r="S256" s="1"/>
      <c r="T256" s="1">
        <f>SUM(OSRRefT22_20x_0)</f>
        <v>135922.57</v>
      </c>
      <c r="U256" s="1"/>
      <c r="V256" s="5">
        <f t="shared" ref="V256:V261" si="108">IF(T$12=0,0,T256/T$12)</f>
        <v>1.3963727909537142E-2</v>
      </c>
      <c r="W256" s="1"/>
      <c r="X256" s="1">
        <f t="shared" ref="X256:X261" si="109">+P256-T256</f>
        <v>-86338.25</v>
      </c>
      <c r="Y256" s="1"/>
      <c r="Z256" s="5">
        <f t="shared" ref="Z256:Z261" si="110">IF(T256=0,0,X256/T256)</f>
        <v>-0.63520171815468174</v>
      </c>
    </row>
    <row r="257" spans="1:26" s="24" customFormat="1" hidden="1" outlineLevel="2" x14ac:dyDescent="0.25">
      <c r="A257" s="28"/>
      <c r="B257" s="11" t="str">
        <f>CONCATENATE("          ", "6282", " - ", "JANITORIAL/EXTERMINATOR EXPENS")</f>
        <v xml:space="preserve">          6282 - JANITORIAL/EXTERMINATOR EXPENS</v>
      </c>
      <c r="C257" s="11"/>
      <c r="D257" s="7">
        <v>315.86</v>
      </c>
      <c r="E257" s="2"/>
      <c r="F257" s="6">
        <f t="shared" si="103"/>
        <v>3.5260240073942676E-4</v>
      </c>
      <c r="G257" s="2"/>
      <c r="H257" s="7">
        <v>3658.11</v>
      </c>
      <c r="I257" s="2"/>
      <c r="J257" s="6">
        <f t="shared" si="104"/>
        <v>9.125273609347066E-4</v>
      </c>
      <c r="K257" s="2"/>
      <c r="L257" s="7">
        <f t="shared" si="105"/>
        <v>-3342.25</v>
      </c>
      <c r="M257" s="2"/>
      <c r="N257" s="6">
        <f t="shared" si="106"/>
        <v>-0.91365486549064956</v>
      </c>
      <c r="O257" s="11"/>
      <c r="P257" s="7">
        <v>2927.76</v>
      </c>
      <c r="Q257" s="2"/>
      <c r="R257" s="6">
        <f t="shared" si="107"/>
        <v>8.1696641025370679E-4</v>
      </c>
      <c r="S257" s="2"/>
      <c r="T257" s="7">
        <v>11561.77</v>
      </c>
      <c r="U257" s="2"/>
      <c r="V257" s="6">
        <f t="shared" si="108"/>
        <v>1.1877748517604488E-3</v>
      </c>
      <c r="W257" s="2"/>
      <c r="X257" s="7">
        <f t="shared" si="109"/>
        <v>-8634.01</v>
      </c>
      <c r="Y257" s="2"/>
      <c r="Z257" s="6">
        <f t="shared" si="110"/>
        <v>-0.74677233676158583</v>
      </c>
    </row>
    <row r="258" spans="1:26" s="24" customFormat="1" hidden="1" outlineLevel="2" x14ac:dyDescent="0.25">
      <c r="A258" s="28"/>
      <c r="B258" s="11" t="str">
        <f>CONCATENATE("          ", "6283", " - ", "PLANT SERVICE")</f>
        <v xml:space="preserve">          6283 - PLANT SERVICE</v>
      </c>
      <c r="C258" s="11"/>
      <c r="D258" s="7"/>
      <c r="E258" s="2"/>
      <c r="F258" s="6">
        <f t="shared" si="103"/>
        <v>0</v>
      </c>
      <c r="G258" s="2"/>
      <c r="H258" s="7">
        <v>380.44</v>
      </c>
      <c r="I258" s="2"/>
      <c r="J258" s="6">
        <f t="shared" si="104"/>
        <v>9.4901987418092893E-5</v>
      </c>
      <c r="K258" s="2"/>
      <c r="L258" s="7">
        <f t="shared" si="105"/>
        <v>-380.44</v>
      </c>
      <c r="M258" s="2"/>
      <c r="N258" s="6">
        <f t="shared" si="106"/>
        <v>-1</v>
      </c>
      <c r="O258" s="11"/>
      <c r="P258" s="7">
        <v>130</v>
      </c>
      <c r="Q258" s="2"/>
      <c r="R258" s="6">
        <f t="shared" si="107"/>
        <v>3.627538914835296E-5</v>
      </c>
      <c r="S258" s="2"/>
      <c r="T258" s="7">
        <v>1141.32</v>
      </c>
      <c r="U258" s="2"/>
      <c r="V258" s="6">
        <f t="shared" si="108"/>
        <v>1.1725118159340961E-4</v>
      </c>
      <c r="W258" s="2"/>
      <c r="X258" s="7">
        <f t="shared" si="109"/>
        <v>-1011.3199999999999</v>
      </c>
      <c r="Y258" s="2"/>
      <c r="Z258" s="6">
        <f t="shared" si="110"/>
        <v>-0.88609680019626402</v>
      </c>
    </row>
    <row r="259" spans="1:26" s="24" customFormat="1" hidden="1" outlineLevel="2" x14ac:dyDescent="0.25">
      <c r="A259" s="28"/>
      <c r="B259" s="11" t="str">
        <f>CONCATENATE("          ", "6284", " - ", "TRASH REMOVAL EXPENSE")</f>
        <v xml:space="preserve">          6284 - TRASH REMOVAL EXPENSE</v>
      </c>
      <c r="C259" s="11"/>
      <c r="D259" s="7">
        <v>903.57</v>
      </c>
      <c r="E259" s="2"/>
      <c r="F259" s="6">
        <f t="shared" si="103"/>
        <v>1.0086777408855943E-3</v>
      </c>
      <c r="G259" s="2"/>
      <c r="H259" s="7">
        <v>994.82</v>
      </c>
      <c r="I259" s="2"/>
      <c r="J259" s="6">
        <f t="shared" si="104"/>
        <v>2.4816106382942693E-4</v>
      </c>
      <c r="K259" s="2"/>
      <c r="L259" s="7">
        <f t="shared" si="105"/>
        <v>-91.25</v>
      </c>
      <c r="M259" s="2"/>
      <c r="N259" s="6">
        <f t="shared" si="106"/>
        <v>-9.1725136205544719E-2</v>
      </c>
      <c r="O259" s="11"/>
      <c r="P259" s="7">
        <v>3188.71</v>
      </c>
      <c r="Q259" s="2"/>
      <c r="R259" s="6">
        <f t="shared" si="107"/>
        <v>8.8978227793265062E-4</v>
      </c>
      <c r="S259" s="2"/>
      <c r="T259" s="7">
        <v>5700.46</v>
      </c>
      <c r="U259" s="2"/>
      <c r="V259" s="6">
        <f t="shared" si="108"/>
        <v>5.8562512759433624E-4</v>
      </c>
      <c r="W259" s="2"/>
      <c r="X259" s="7">
        <f t="shared" si="109"/>
        <v>-2511.75</v>
      </c>
      <c r="Y259" s="2"/>
      <c r="Z259" s="6">
        <f t="shared" si="110"/>
        <v>-0.44062233574132614</v>
      </c>
    </row>
    <row r="260" spans="1:26" s="24" customFormat="1" hidden="1" outlineLevel="2" x14ac:dyDescent="0.25">
      <c r="A260" s="28"/>
      <c r="B260" s="11" t="str">
        <f>CONCATENATE("          ", "6285", " - ", "JANITORIAL SERVICES")</f>
        <v xml:space="preserve">          6285 - JANITORIAL SERVICES</v>
      </c>
      <c r="C260" s="11"/>
      <c r="D260" s="7">
        <v>19141.91</v>
      </c>
      <c r="E260" s="2"/>
      <c r="F260" s="6">
        <f t="shared" si="103"/>
        <v>2.1368591846824672E-2</v>
      </c>
      <c r="G260" s="2"/>
      <c r="H260" s="7">
        <v>32138.240000000002</v>
      </c>
      <c r="I260" s="2"/>
      <c r="J260" s="6">
        <f t="shared" si="104"/>
        <v>8.0169878249386223E-3</v>
      </c>
      <c r="K260" s="2"/>
      <c r="L260" s="7">
        <f t="shared" si="105"/>
        <v>-12996.330000000002</v>
      </c>
      <c r="M260" s="2"/>
      <c r="N260" s="6">
        <f t="shared" si="106"/>
        <v>-0.40438835480723279</v>
      </c>
      <c r="O260" s="11"/>
      <c r="P260" s="7">
        <v>37377.980000000003</v>
      </c>
      <c r="Q260" s="2"/>
      <c r="R260" s="6">
        <f t="shared" si="107"/>
        <v>1.0430005923687339E-2</v>
      </c>
      <c r="S260" s="2"/>
      <c r="T260" s="7">
        <v>91238.7</v>
      </c>
      <c r="U260" s="2"/>
      <c r="V260" s="6">
        <f t="shared" si="108"/>
        <v>9.3732216924671628E-3</v>
      </c>
      <c r="W260" s="2"/>
      <c r="X260" s="7">
        <f t="shared" si="109"/>
        <v>-53860.719999999994</v>
      </c>
      <c r="Y260" s="2"/>
      <c r="Z260" s="6">
        <f t="shared" si="110"/>
        <v>-0.59032756933187336</v>
      </c>
    </row>
    <row r="261" spans="1:26" s="24" customFormat="1" hidden="1" outlineLevel="2" x14ac:dyDescent="0.25">
      <c r="A261" s="28"/>
      <c r="B261" s="11" t="str">
        <f>CONCATENATE("          ", "6286", " - ", "LAUNDRY EXPENSE")</f>
        <v xml:space="preserve">          6286 - LAUNDRY EXPENSE</v>
      </c>
      <c r="C261" s="11"/>
      <c r="D261" s="7">
        <v>1509.94</v>
      </c>
      <c r="E261" s="2"/>
      <c r="F261" s="6">
        <f t="shared" si="103"/>
        <v>1.6855837047188313E-3</v>
      </c>
      <c r="G261" s="2"/>
      <c r="H261" s="7">
        <v>9243.31</v>
      </c>
      <c r="I261" s="2"/>
      <c r="J261" s="6">
        <f t="shared" si="104"/>
        <v>2.305773549893629E-3</v>
      </c>
      <c r="K261" s="2"/>
      <c r="L261" s="7">
        <f t="shared" si="105"/>
        <v>-7733.369999999999</v>
      </c>
      <c r="M261" s="2"/>
      <c r="N261" s="6">
        <f t="shared" si="106"/>
        <v>-0.83664509791405883</v>
      </c>
      <c r="O261" s="11"/>
      <c r="P261" s="7">
        <v>5959.87</v>
      </c>
      <c r="Q261" s="2"/>
      <c r="R261" s="6">
        <f t="shared" si="107"/>
        <v>1.6630507963353413E-3</v>
      </c>
      <c r="S261" s="2"/>
      <c r="T261" s="7">
        <v>26280.32</v>
      </c>
      <c r="U261" s="2"/>
      <c r="V261" s="6">
        <f t="shared" si="108"/>
        <v>2.699855056121784E-3</v>
      </c>
      <c r="W261" s="2"/>
      <c r="X261" s="7">
        <f t="shared" si="109"/>
        <v>-20320.45</v>
      </c>
      <c r="Y261" s="2"/>
      <c r="Z261" s="6">
        <f t="shared" si="110"/>
        <v>-0.77321927586878703</v>
      </c>
    </row>
    <row r="262" spans="1:26" s="27" customFormat="1" outlineLevel="1" collapsed="1" x14ac:dyDescent="0.25">
      <c r="A262" s="29"/>
      <c r="B262" s="14" t="str">
        <f>CONCATENATE("     ","Subscriptions &amp; Dues                              ")</f>
        <v xml:space="preserve">     Subscriptions &amp; Dues                              </v>
      </c>
      <c r="C262" s="14"/>
      <c r="D262" s="1">
        <f>SUM(OSRRefD22_21x_0)</f>
        <v>280.11</v>
      </c>
      <c r="E262" s="1"/>
      <c r="F262" s="5">
        <f t="shared" ref="F262:F264" si="111">IF(D$12=0,0,D262/D$12)</f>
        <v>3.1269378354689052E-4</v>
      </c>
      <c r="G262" s="1"/>
      <c r="H262" s="1">
        <f>SUM(OSRRefH22_21x_0)</f>
        <v>1337.8</v>
      </c>
      <c r="I262" s="1"/>
      <c r="J262" s="5">
        <f t="shared" ref="J262:J264" si="112">IF(H$12=0,0,H262/H$12)</f>
        <v>3.3371853319294676E-4</v>
      </c>
      <c r="K262" s="1"/>
      <c r="L262" s="1">
        <f t="shared" ref="L262:L264" si="113">+D262-H262</f>
        <v>-1057.69</v>
      </c>
      <c r="M262" s="1"/>
      <c r="N262" s="5">
        <f t="shared" ref="N262:N264" si="114">IF(H262=0,0,L262/H262)</f>
        <v>-0.79061892659590383</v>
      </c>
      <c r="O262" s="14"/>
      <c r="P262" s="1">
        <f>SUM(OSRRefP22_21x_0)</f>
        <v>924.43</v>
      </c>
      <c r="Q262" s="1"/>
      <c r="R262" s="5">
        <f t="shared" ref="R262:R264" si="115">IF(P$12=0,0,P262/P$12)</f>
        <v>2.5795429223393791E-4</v>
      </c>
      <c r="S262" s="1"/>
      <c r="T262" s="1">
        <f>SUM(OSRRefT22_21x_0)</f>
        <v>-1468.9700000000003</v>
      </c>
      <c r="U262" s="1"/>
      <c r="V262" s="5">
        <f t="shared" ref="V262:V264" si="116">IF(T$12=0,0,T262/T$12)</f>
        <v>-1.5091163584732674E-4</v>
      </c>
      <c r="W262" s="1"/>
      <c r="X262" s="1">
        <f t="shared" ref="X262:X264" si="117">+P262-T262</f>
        <v>2393.4</v>
      </c>
      <c r="Y262" s="1"/>
      <c r="Z262" s="5">
        <f t="shared" ref="Z262:Z264" si="118">IF(T262=0,0,X262/T262)</f>
        <v>-1.6293048870977622</v>
      </c>
    </row>
    <row r="263" spans="1:26" s="24" customFormat="1" hidden="1" outlineLevel="2" x14ac:dyDescent="0.25">
      <c r="A263" s="28"/>
      <c r="B263" s="11" t="str">
        <f>CONCATENATE("          ", "6258", " - ", "MEMBERSHIP DUES")</f>
        <v xml:space="preserve">          6258 - MEMBERSHIP DUES</v>
      </c>
      <c r="C263" s="11"/>
      <c r="D263" s="7">
        <v>73.040000000000006</v>
      </c>
      <c r="E263" s="2"/>
      <c r="F263" s="6">
        <f t="shared" si="111"/>
        <v>8.1536374817981801E-5</v>
      </c>
      <c r="G263" s="2"/>
      <c r="H263" s="7">
        <v>250</v>
      </c>
      <c r="I263" s="2"/>
      <c r="J263" s="6">
        <f t="shared" si="112"/>
        <v>6.2363307892238519E-5</v>
      </c>
      <c r="K263" s="2"/>
      <c r="L263" s="7">
        <f t="shared" si="113"/>
        <v>-176.95999999999998</v>
      </c>
      <c r="M263" s="2"/>
      <c r="N263" s="6">
        <f t="shared" si="114"/>
        <v>-0.70783999999999991</v>
      </c>
      <c r="O263" s="11"/>
      <c r="P263" s="7">
        <v>633.04</v>
      </c>
      <c r="Q263" s="2"/>
      <c r="R263" s="6">
        <f t="shared" si="115"/>
        <v>1.7664440266517968E-4</v>
      </c>
      <c r="S263" s="2"/>
      <c r="T263" s="7">
        <v>-4091.15</v>
      </c>
      <c r="U263" s="2"/>
      <c r="V263" s="6">
        <f t="shared" si="116"/>
        <v>-4.2029594817919407E-4</v>
      </c>
      <c r="W263" s="2"/>
      <c r="X263" s="7">
        <f t="shared" si="117"/>
        <v>4724.1900000000005</v>
      </c>
      <c r="Y263" s="2"/>
      <c r="Z263" s="6">
        <f t="shared" si="118"/>
        <v>-1.1547339989978369</v>
      </c>
    </row>
    <row r="264" spans="1:26" s="24" customFormat="1" hidden="1" outlineLevel="2" x14ac:dyDescent="0.25">
      <c r="A264" s="28"/>
      <c r="B264" s="11" t="str">
        <f>CONCATENATE("          ", "6275", " - ", "SUBSCRIPTIONS")</f>
        <v xml:space="preserve">          6275 - SUBSCRIPTIONS</v>
      </c>
      <c r="C264" s="11"/>
      <c r="D264" s="7">
        <v>207.07</v>
      </c>
      <c r="E264" s="2"/>
      <c r="F264" s="6">
        <f t="shared" si="111"/>
        <v>2.3115740872890869E-4</v>
      </c>
      <c r="G264" s="2"/>
      <c r="H264" s="7">
        <v>1087.8</v>
      </c>
      <c r="I264" s="2"/>
      <c r="J264" s="6">
        <f t="shared" si="112"/>
        <v>2.7135522530070825E-4</v>
      </c>
      <c r="K264" s="2"/>
      <c r="L264" s="7">
        <f t="shared" si="113"/>
        <v>-880.73</v>
      </c>
      <c r="M264" s="2"/>
      <c r="N264" s="6">
        <f t="shared" si="114"/>
        <v>-0.80964331678617396</v>
      </c>
      <c r="O264" s="11"/>
      <c r="P264" s="7">
        <v>291.39</v>
      </c>
      <c r="Q264" s="2"/>
      <c r="R264" s="6">
        <f t="shared" si="115"/>
        <v>8.1309889568758232E-5</v>
      </c>
      <c r="S264" s="2"/>
      <c r="T264" s="7">
        <v>2622.18</v>
      </c>
      <c r="U264" s="2"/>
      <c r="V264" s="6">
        <f t="shared" si="116"/>
        <v>2.693843123318673E-4</v>
      </c>
      <c r="W264" s="2"/>
      <c r="X264" s="7">
        <f t="shared" si="117"/>
        <v>-2330.79</v>
      </c>
      <c r="Y264" s="2"/>
      <c r="Z264" s="6">
        <f t="shared" si="118"/>
        <v>-0.88887490561288707</v>
      </c>
    </row>
    <row r="265" spans="1:26" s="27" customFormat="1" outlineLevel="1" collapsed="1" x14ac:dyDescent="0.25">
      <c r="A265" s="29"/>
      <c r="B265" s="14" t="str">
        <f>CONCATENATE("     ","Supplies                                          ")</f>
        <v xml:space="preserve">     Supplies                                          </v>
      </c>
      <c r="C265" s="14"/>
      <c r="D265" s="1">
        <f>SUM(OSRRefD22_22x_0)</f>
        <v>23781.030000000002</v>
      </c>
      <c r="E265" s="1"/>
      <c r="F265" s="5">
        <f t="shared" ref="F265:F274" si="119">IF(D$12=0,0,D265/D$12)</f>
        <v>2.6547357278719468E-2</v>
      </c>
      <c r="G265" s="1"/>
      <c r="H265" s="1">
        <f>SUM(OSRRefH22_22x_0)</f>
        <v>82233.450000000012</v>
      </c>
      <c r="I265" s="1"/>
      <c r="J265" s="5">
        <f t="shared" ref="J265:J274" si="120">IF(H$12=0,0,H265/H$12)</f>
        <v>2.0513399845564009E-2</v>
      </c>
      <c r="K265" s="1"/>
      <c r="L265" s="1">
        <f t="shared" ref="L265:L274" si="121">+D265-H265</f>
        <v>-58452.420000000013</v>
      </c>
      <c r="M265" s="1"/>
      <c r="N265" s="5">
        <f t="shared" ref="N265:N274" si="122">IF(H265=0,0,L265/H265)</f>
        <v>-0.71081074672168088</v>
      </c>
      <c r="O265" s="14"/>
      <c r="P265" s="1">
        <f>SUM(OSRRefP22_22x_0)</f>
        <v>78120.069999999992</v>
      </c>
      <c r="Q265" s="1"/>
      <c r="R265" s="5">
        <f t="shared" ref="R265:R274" si="123">IF(P$12=0,0,P265/P$12)</f>
        <v>2.1798737996512104E-2</v>
      </c>
      <c r="S265" s="1"/>
      <c r="T265" s="1">
        <f>SUM(OSRRefT22_22x_0)</f>
        <v>213810.63999999998</v>
      </c>
      <c r="U265" s="1"/>
      <c r="V265" s="5">
        <f t="shared" ref="V265:V274" si="124">IF(T$12=0,0,T265/T$12)</f>
        <v>2.1965399867910077E-2</v>
      </c>
      <c r="W265" s="1"/>
      <c r="X265" s="1">
        <f t="shared" ref="X265:X274" si="125">+P265-T265</f>
        <v>-135690.57</v>
      </c>
      <c r="Y265" s="1"/>
      <c r="Z265" s="5">
        <f t="shared" ref="Z265:Z274" si="126">IF(T265=0,0,X265/T265)</f>
        <v>-0.63462964237888264</v>
      </c>
    </row>
    <row r="266" spans="1:26" s="24" customFormat="1" hidden="1" outlineLevel="2" x14ac:dyDescent="0.25">
      <c r="A266" s="28"/>
      <c r="B266" s="11" t="str">
        <f>CONCATENATE("          ", "6234", " - ", "EXPENDABLE SUPPLIES &amp; EQUIPMEN")</f>
        <v xml:space="preserve">          6234 - EXPENDABLE SUPPLIES &amp; EQUIPMEN</v>
      </c>
      <c r="C266" s="11"/>
      <c r="D266" s="7">
        <v>316.67</v>
      </c>
      <c r="E266" s="2"/>
      <c r="F266" s="6">
        <f t="shared" si="119"/>
        <v>3.535066239541388E-4</v>
      </c>
      <c r="G266" s="2"/>
      <c r="H266" s="7">
        <v>7670.09</v>
      </c>
      <c r="I266" s="2"/>
      <c r="J266" s="6">
        <f t="shared" si="120"/>
        <v>1.9133287369247191E-3</v>
      </c>
      <c r="K266" s="2"/>
      <c r="L266" s="7">
        <f t="shared" si="121"/>
        <v>-7353.42</v>
      </c>
      <c r="M266" s="2"/>
      <c r="N266" s="6">
        <f t="shared" si="122"/>
        <v>-0.95871365264292852</v>
      </c>
      <c r="O266" s="11"/>
      <c r="P266" s="7">
        <v>572.45000000000005</v>
      </c>
      <c r="Q266" s="2"/>
      <c r="R266" s="6">
        <f t="shared" si="123"/>
        <v>1.5973728090749734E-4</v>
      </c>
      <c r="S266" s="2"/>
      <c r="T266" s="7">
        <v>10863.7</v>
      </c>
      <c r="U266" s="2"/>
      <c r="V266" s="6">
        <f t="shared" si="124"/>
        <v>1.1160600545651737E-3</v>
      </c>
      <c r="W266" s="2"/>
      <c r="X266" s="7">
        <f t="shared" si="125"/>
        <v>-10291.25</v>
      </c>
      <c r="Y266" s="2"/>
      <c r="Z266" s="6">
        <f t="shared" si="126"/>
        <v>-0.9473061664073934</v>
      </c>
    </row>
    <row r="267" spans="1:26" s="24" customFormat="1" hidden="1" outlineLevel="2" x14ac:dyDescent="0.25">
      <c r="A267" s="28"/>
      <c r="B267" s="11" t="str">
        <f>CONCATENATE("          ", "6235", " - ", "COVID-19 EXPENSES")</f>
        <v xml:space="preserve">          6235 - COVID-19 EXPENSES</v>
      </c>
      <c r="C267" s="11"/>
      <c r="D267" s="7">
        <v>6506.04</v>
      </c>
      <c r="E267" s="2"/>
      <c r="F267" s="6">
        <f t="shared" si="119"/>
        <v>7.2628548195616417E-3</v>
      </c>
      <c r="G267" s="2"/>
      <c r="H267" s="7"/>
      <c r="I267" s="2"/>
      <c r="J267" s="6">
        <f t="shared" si="120"/>
        <v>0</v>
      </c>
      <c r="K267" s="2"/>
      <c r="L267" s="7">
        <f t="shared" si="121"/>
        <v>6506.04</v>
      </c>
      <c r="M267" s="2"/>
      <c r="N267" s="6">
        <f t="shared" si="122"/>
        <v>0</v>
      </c>
      <c r="O267" s="11"/>
      <c r="P267" s="7">
        <v>28511.02</v>
      </c>
      <c r="Q267" s="2"/>
      <c r="R267" s="6">
        <f t="shared" si="123"/>
        <v>7.9557565039728786E-3</v>
      </c>
      <c r="S267" s="2"/>
      <c r="T267" s="7"/>
      <c r="U267" s="2"/>
      <c r="V267" s="6">
        <f t="shared" si="124"/>
        <v>0</v>
      </c>
      <c r="W267" s="2"/>
      <c r="X267" s="7">
        <f t="shared" si="125"/>
        <v>28511.02</v>
      </c>
      <c r="Y267" s="2"/>
      <c r="Z267" s="6">
        <f t="shared" si="126"/>
        <v>0</v>
      </c>
    </row>
    <row r="268" spans="1:26" s="24" customFormat="1" hidden="1" outlineLevel="2" x14ac:dyDescent="0.25">
      <c r="A268" s="28"/>
      <c r="B268" s="11" t="str">
        <f>CONCATENATE("          ", "6237", " - ", "JANITORIAL SUPPLIES")</f>
        <v xml:space="preserve">          6237 - JANITORIAL SUPPLIES</v>
      </c>
      <c r="C268" s="11"/>
      <c r="D268" s="7">
        <v>3806.33</v>
      </c>
      <c r="E268" s="2"/>
      <c r="F268" s="6">
        <f t="shared" si="119"/>
        <v>4.2491011714256384E-3</v>
      </c>
      <c r="G268" s="2"/>
      <c r="H268" s="7">
        <v>12438.17</v>
      </c>
      <c r="I268" s="2"/>
      <c r="J268" s="6">
        <f t="shared" si="120"/>
        <v>3.1027417013040175E-3</v>
      </c>
      <c r="K268" s="2"/>
      <c r="L268" s="7">
        <f t="shared" si="121"/>
        <v>-8631.84</v>
      </c>
      <c r="M268" s="2"/>
      <c r="N268" s="6">
        <f t="shared" si="122"/>
        <v>-0.69397990218818362</v>
      </c>
      <c r="O268" s="11"/>
      <c r="P268" s="7">
        <v>6550.59</v>
      </c>
      <c r="Q268" s="2"/>
      <c r="R268" s="6">
        <f t="shared" si="123"/>
        <v>1.8278861646254573E-3</v>
      </c>
      <c r="S268" s="2"/>
      <c r="T268" s="7">
        <v>37501.420000000006</v>
      </c>
      <c r="U268" s="2"/>
      <c r="V268" s="6">
        <f t="shared" si="124"/>
        <v>3.8526318704926962E-3</v>
      </c>
      <c r="W268" s="2"/>
      <c r="X268" s="7">
        <f t="shared" si="125"/>
        <v>-30950.830000000005</v>
      </c>
      <c r="Y268" s="2"/>
      <c r="Z268" s="6">
        <f t="shared" si="126"/>
        <v>-0.82532421438974846</v>
      </c>
    </row>
    <row r="269" spans="1:26" s="24" customFormat="1" hidden="1" outlineLevel="2" x14ac:dyDescent="0.25">
      <c r="A269" s="28"/>
      <c r="B269" s="11" t="str">
        <f>CONCATENATE("          ", "6239", " - ", "KITCHEN SUPPLIES")</f>
        <v xml:space="preserve">          6239 - KITCHEN SUPPLIES</v>
      </c>
      <c r="C269" s="11"/>
      <c r="D269" s="7">
        <v>553.01</v>
      </c>
      <c r="E269" s="2"/>
      <c r="F269" s="6">
        <f t="shared" si="119"/>
        <v>6.1733886415788765E-4</v>
      </c>
      <c r="G269" s="2"/>
      <c r="H269" s="7">
        <v>16957.86</v>
      </c>
      <c r="I269" s="2"/>
      <c r="J269" s="6">
        <f t="shared" si="120"/>
        <v>4.2301929774939042E-3</v>
      </c>
      <c r="K269" s="2"/>
      <c r="L269" s="7">
        <f t="shared" si="121"/>
        <v>-16404.850000000002</v>
      </c>
      <c r="M269" s="2"/>
      <c r="N269" s="6">
        <f t="shared" si="122"/>
        <v>-0.96738916349114812</v>
      </c>
      <c r="O269" s="11"/>
      <c r="P269" s="7">
        <v>2927.32</v>
      </c>
      <c r="Q269" s="2"/>
      <c r="R269" s="6">
        <f t="shared" si="123"/>
        <v>8.1684363201351231E-4</v>
      </c>
      <c r="S269" s="2"/>
      <c r="T269" s="7">
        <v>33175.129999999997</v>
      </c>
      <c r="U269" s="2"/>
      <c r="V269" s="6">
        <f t="shared" si="124"/>
        <v>3.4081792941637497E-3</v>
      </c>
      <c r="W269" s="2"/>
      <c r="X269" s="7">
        <f t="shared" si="125"/>
        <v>-30247.809999999998</v>
      </c>
      <c r="Y269" s="2"/>
      <c r="Z269" s="6">
        <f t="shared" si="126"/>
        <v>-0.91176161178569615</v>
      </c>
    </row>
    <row r="270" spans="1:26" s="24" customFormat="1" hidden="1" outlineLevel="2" x14ac:dyDescent="0.25">
      <c r="A270" s="28"/>
      <c r="B270" s="11" t="str">
        <f>CONCATENATE("          ", "6241", " - ", "OFFICE EXPENSE")</f>
        <v xml:space="preserve">          6241 - OFFICE EXPENSE</v>
      </c>
      <c r="C270" s="11"/>
      <c r="D270" s="7">
        <v>5659.43</v>
      </c>
      <c r="E270" s="2"/>
      <c r="F270" s="6">
        <f t="shared" si="119"/>
        <v>6.3177629481945613E-3</v>
      </c>
      <c r="G270" s="2"/>
      <c r="H270" s="7">
        <v>10026.39</v>
      </c>
      <c r="I270" s="2"/>
      <c r="J270" s="6">
        <f t="shared" si="120"/>
        <v>2.5011153864706454E-3</v>
      </c>
      <c r="K270" s="2"/>
      <c r="L270" s="7">
        <f t="shared" si="121"/>
        <v>-4366.9599999999991</v>
      </c>
      <c r="M270" s="2"/>
      <c r="N270" s="6">
        <f t="shared" si="122"/>
        <v>-0.43554659254228084</v>
      </c>
      <c r="O270" s="11"/>
      <c r="P270" s="7">
        <v>15326.889999999998</v>
      </c>
      <c r="Q270" s="2"/>
      <c r="R270" s="6">
        <f t="shared" si="123"/>
        <v>4.2768376860307647E-3</v>
      </c>
      <c r="S270" s="2"/>
      <c r="T270" s="7">
        <v>61189.170000000006</v>
      </c>
      <c r="U270" s="2"/>
      <c r="V270" s="6">
        <f t="shared" si="124"/>
        <v>6.2861445372200718E-3</v>
      </c>
      <c r="W270" s="2"/>
      <c r="X270" s="7">
        <f t="shared" si="125"/>
        <v>-45862.280000000006</v>
      </c>
      <c r="Y270" s="2"/>
      <c r="Z270" s="6">
        <f t="shared" si="126"/>
        <v>-0.74951629512215967</v>
      </c>
    </row>
    <row r="271" spans="1:26" s="24" customFormat="1" hidden="1" outlineLevel="2" x14ac:dyDescent="0.25">
      <c r="A271" s="28"/>
      <c r="B271" s="11" t="str">
        <f>CONCATENATE("          ", "6243", " - ", "PAPER SUPPLIES")</f>
        <v xml:space="preserve">          6243 - PAPER SUPPLIES</v>
      </c>
      <c r="C271" s="11"/>
      <c r="D271" s="7"/>
      <c r="E271" s="2"/>
      <c r="F271" s="6">
        <f t="shared" si="119"/>
        <v>0</v>
      </c>
      <c r="G271" s="2"/>
      <c r="H271" s="7">
        <v>10742.08</v>
      </c>
      <c r="I271" s="2"/>
      <c r="J271" s="6">
        <f t="shared" si="120"/>
        <v>2.6796465697722302E-3</v>
      </c>
      <c r="K271" s="2"/>
      <c r="L271" s="7">
        <f t="shared" si="121"/>
        <v>-10742.08</v>
      </c>
      <c r="M271" s="2"/>
      <c r="N271" s="6">
        <f t="shared" si="122"/>
        <v>-1</v>
      </c>
      <c r="O271" s="11"/>
      <c r="P271" s="7">
        <v>6784.86</v>
      </c>
      <c r="Q271" s="2"/>
      <c r="R271" s="6">
        <f t="shared" si="123"/>
        <v>1.893257206285339E-3</v>
      </c>
      <c r="S271" s="2"/>
      <c r="T271" s="7">
        <v>30475.699999999997</v>
      </c>
      <c r="U271" s="2"/>
      <c r="V271" s="6">
        <f t="shared" si="124"/>
        <v>3.1308588606931212E-3</v>
      </c>
      <c r="W271" s="2"/>
      <c r="X271" s="7">
        <f t="shared" si="125"/>
        <v>-23690.839999999997</v>
      </c>
      <c r="Y271" s="2"/>
      <c r="Z271" s="6">
        <f t="shared" si="126"/>
        <v>-0.77736819826944081</v>
      </c>
    </row>
    <row r="272" spans="1:26" s="24" customFormat="1" hidden="1" outlineLevel="2" x14ac:dyDescent="0.25">
      <c r="A272" s="28"/>
      <c r="B272" s="11" t="str">
        <f>CONCATENATE("          ", "6245", " - ", "PRINTING")</f>
        <v xml:space="preserve">          6245 - PRINTING</v>
      </c>
      <c r="C272" s="11"/>
      <c r="D272" s="7">
        <v>356.96</v>
      </c>
      <c r="E272" s="2"/>
      <c r="F272" s="6">
        <f t="shared" si="119"/>
        <v>3.9848335644888802E-4</v>
      </c>
      <c r="G272" s="2"/>
      <c r="H272" s="7">
        <v>439.54</v>
      </c>
      <c r="I272" s="2"/>
      <c r="J272" s="6">
        <f t="shared" si="120"/>
        <v>1.0964467340381808E-4</v>
      </c>
      <c r="K272" s="2"/>
      <c r="L272" s="7">
        <f t="shared" si="121"/>
        <v>-82.580000000000041</v>
      </c>
      <c r="M272" s="2"/>
      <c r="N272" s="6">
        <f t="shared" si="122"/>
        <v>-0.18787823633798981</v>
      </c>
      <c r="O272" s="11"/>
      <c r="P272" s="7">
        <v>61.46</v>
      </c>
      <c r="Q272" s="2"/>
      <c r="R272" s="6">
        <f t="shared" si="123"/>
        <v>1.7149887823521333E-5</v>
      </c>
      <c r="S272" s="2"/>
      <c r="T272" s="7">
        <v>6918.57</v>
      </c>
      <c r="U272" s="2"/>
      <c r="V272" s="6">
        <f t="shared" si="124"/>
        <v>7.1076517316503345E-4</v>
      </c>
      <c r="W272" s="2"/>
      <c r="X272" s="7">
        <f t="shared" si="125"/>
        <v>-6857.11</v>
      </c>
      <c r="Y272" s="2"/>
      <c r="Z272" s="6">
        <f t="shared" si="126"/>
        <v>-0.99111666139100996</v>
      </c>
    </row>
    <row r="273" spans="1:26" s="24" customFormat="1" hidden="1" outlineLevel="2" x14ac:dyDescent="0.25">
      <c r="A273" s="28"/>
      <c r="B273" s="11" t="str">
        <f>CONCATENATE("          ", "6247", " - ", "STORE SUPPLIES")</f>
        <v xml:space="preserve">          6247 - STORE SUPPLIES</v>
      </c>
      <c r="C273" s="11"/>
      <c r="D273" s="7">
        <v>6278.89</v>
      </c>
      <c r="E273" s="2"/>
      <c r="F273" s="6">
        <f t="shared" si="119"/>
        <v>7.0092816057075267E-3</v>
      </c>
      <c r="G273" s="2"/>
      <c r="H273" s="7">
        <v>23289.969999999998</v>
      </c>
      <c r="I273" s="2"/>
      <c r="J273" s="6">
        <f t="shared" si="120"/>
        <v>5.8097582796439928E-3</v>
      </c>
      <c r="K273" s="2"/>
      <c r="L273" s="7">
        <f t="shared" si="121"/>
        <v>-17011.079999999998</v>
      </c>
      <c r="M273" s="2"/>
      <c r="N273" s="6">
        <f t="shared" si="122"/>
        <v>-0.73040368879822515</v>
      </c>
      <c r="O273" s="11"/>
      <c r="P273" s="7">
        <v>13570.8</v>
      </c>
      <c r="Q273" s="2"/>
      <c r="R273" s="6">
        <f t="shared" si="123"/>
        <v>3.7868157773420642E-3</v>
      </c>
      <c r="S273" s="2"/>
      <c r="T273" s="7">
        <v>34798.870000000003</v>
      </c>
      <c r="U273" s="2"/>
      <c r="V273" s="6">
        <f t="shared" si="124"/>
        <v>3.5749909101877252E-3</v>
      </c>
      <c r="W273" s="2"/>
      <c r="X273" s="7">
        <f t="shared" si="125"/>
        <v>-21228.070000000003</v>
      </c>
      <c r="Y273" s="2"/>
      <c r="Z273" s="6">
        <f t="shared" si="126"/>
        <v>-0.61002181967402969</v>
      </c>
    </row>
    <row r="274" spans="1:26" s="24" customFormat="1" hidden="1" outlineLevel="2" x14ac:dyDescent="0.25">
      <c r="A274" s="28"/>
      <c r="B274" s="11" t="str">
        <f>CONCATENATE("          ", "6248", " - ", "UNIFORMS")</f>
        <v xml:space="preserve">          6248 - UNIFORMS</v>
      </c>
      <c r="C274" s="11"/>
      <c r="D274" s="7">
        <v>303.7</v>
      </c>
      <c r="E274" s="2"/>
      <c r="F274" s="6">
        <f t="shared" si="119"/>
        <v>3.3902788926918226E-4</v>
      </c>
      <c r="G274" s="2"/>
      <c r="H274" s="7">
        <v>669.35</v>
      </c>
      <c r="I274" s="2"/>
      <c r="J274" s="6">
        <f t="shared" si="120"/>
        <v>1.6697152055067941E-4</v>
      </c>
      <c r="K274" s="2"/>
      <c r="L274" s="7">
        <f t="shared" si="121"/>
        <v>-365.65000000000003</v>
      </c>
      <c r="M274" s="2"/>
      <c r="N274" s="6">
        <f t="shared" si="122"/>
        <v>-0.54627623814148052</v>
      </c>
      <c r="O274" s="11"/>
      <c r="P274" s="7">
        <v>3814.68</v>
      </c>
      <c r="Q274" s="2"/>
      <c r="R274" s="6">
        <f t="shared" si="123"/>
        <v>1.0644538575110699E-3</v>
      </c>
      <c r="S274" s="2"/>
      <c r="T274" s="7">
        <v>-1111.92</v>
      </c>
      <c r="U274" s="2"/>
      <c r="V274" s="6">
        <f t="shared" si="124"/>
        <v>-1.1423083257749276E-4</v>
      </c>
      <c r="W274" s="2"/>
      <c r="X274" s="7">
        <f t="shared" si="125"/>
        <v>4926.6000000000004</v>
      </c>
      <c r="Y274" s="2"/>
      <c r="Z274" s="6">
        <f t="shared" si="126"/>
        <v>-4.4307144398877618</v>
      </c>
    </row>
    <row r="275" spans="1:26" s="27" customFormat="1" outlineLevel="1" collapsed="1" x14ac:dyDescent="0.25">
      <c r="A275" s="29"/>
      <c r="B275" s="14" t="str">
        <f>CONCATENATE("     ","Telephone/Data Lines                              ")</f>
        <v xml:space="preserve">     Telephone/Data Lines                              </v>
      </c>
      <c r="C275" s="14"/>
      <c r="D275" s="1">
        <f>SUM(OSRRefD22_23x_0)</f>
        <v>8053.04</v>
      </c>
      <c r="E275" s="1"/>
      <c r="F275" s="5">
        <f t="shared" ref="F275:F277" si="127">IF(D$12=0,0,D275/D$12)</f>
        <v>8.989809527165939E-3</v>
      </c>
      <c r="G275" s="1"/>
      <c r="H275" s="1">
        <f>SUM(OSRRefH22_23x_0)</f>
        <v>10736.25</v>
      </c>
      <c r="I275" s="1"/>
      <c r="J275" s="5">
        <f t="shared" ref="J275:J277" si="128">IF(H$12=0,0,H275/H$12)</f>
        <v>2.6781922574321835E-3</v>
      </c>
      <c r="K275" s="1"/>
      <c r="L275" s="1">
        <f t="shared" ref="L275:L277" si="129">+D275-H275</f>
        <v>-2683.21</v>
      </c>
      <c r="M275" s="1"/>
      <c r="N275" s="5">
        <f t="shared" ref="N275:N277" si="130">IF(H275=0,0,L275/H275)</f>
        <v>-0.24992059611130515</v>
      </c>
      <c r="O275" s="14"/>
      <c r="P275" s="1">
        <f>SUM(OSRRefP22_23x_0)</f>
        <v>17902.070000000003</v>
      </c>
      <c r="Q275" s="1"/>
      <c r="R275" s="5">
        <f t="shared" ref="R275:R277" si="131">IF(P$12=0,0,P275/P$12)</f>
        <v>4.9954196600850405E-3</v>
      </c>
      <c r="S275" s="1"/>
      <c r="T275" s="1">
        <f>SUM(OSRRefT22_23x_0)</f>
        <v>18963.969999999998</v>
      </c>
      <c r="U275" s="1"/>
      <c r="V275" s="5">
        <f t="shared" ref="V275:V277" si="132">IF(T$12=0,0,T275/T$12)</f>
        <v>1.9482247662373146E-3</v>
      </c>
      <c r="W275" s="1"/>
      <c r="X275" s="1">
        <f t="shared" ref="X275:X277" si="133">+P275-T275</f>
        <v>-1061.8999999999942</v>
      </c>
      <c r="Y275" s="1"/>
      <c r="Z275" s="5">
        <f t="shared" ref="Z275:Z277" si="134">IF(T275=0,0,X275/T275)</f>
        <v>-5.5995659136773276E-2</v>
      </c>
    </row>
    <row r="276" spans="1:26" s="24" customFormat="1" hidden="1" outlineLevel="2" x14ac:dyDescent="0.25">
      <c r="A276" s="28"/>
      <c r="B276" s="11" t="str">
        <f>CONCATENATE("          ", "6303", " - ", "DATA PHONE LINES")</f>
        <v xml:space="preserve">          6303 - DATA PHONE LINES</v>
      </c>
      <c r="C276" s="11"/>
      <c r="D276" s="7">
        <v>885</v>
      </c>
      <c r="E276" s="2"/>
      <c r="F276" s="6">
        <f t="shared" si="127"/>
        <v>9.8794758644460412E-4</v>
      </c>
      <c r="G276" s="2"/>
      <c r="H276" s="7">
        <v>295</v>
      </c>
      <c r="I276" s="2"/>
      <c r="J276" s="6">
        <f t="shared" si="128"/>
        <v>7.3588703312841452E-5</v>
      </c>
      <c r="K276" s="2"/>
      <c r="L276" s="7">
        <f t="shared" si="129"/>
        <v>590</v>
      </c>
      <c r="M276" s="2"/>
      <c r="N276" s="6">
        <f t="shared" si="130"/>
        <v>2</v>
      </c>
      <c r="O276" s="11"/>
      <c r="P276" s="7">
        <v>1180</v>
      </c>
      <c r="Q276" s="2"/>
      <c r="R276" s="6">
        <f t="shared" si="131"/>
        <v>3.2926891688504995E-4</v>
      </c>
      <c r="S276" s="2"/>
      <c r="T276" s="7">
        <v>885</v>
      </c>
      <c r="U276" s="2"/>
      <c r="V276" s="6">
        <f t="shared" si="132"/>
        <v>9.0918669356681301E-5</v>
      </c>
      <c r="W276" s="2"/>
      <c r="X276" s="7">
        <f t="shared" si="133"/>
        <v>295</v>
      </c>
      <c r="Y276" s="2"/>
      <c r="Z276" s="6">
        <f t="shared" si="134"/>
        <v>0.33333333333333331</v>
      </c>
    </row>
    <row r="277" spans="1:26" s="24" customFormat="1" hidden="1" outlineLevel="2" x14ac:dyDescent="0.25">
      <c r="A277" s="28"/>
      <c r="B277" s="11" t="str">
        <f>CONCATENATE("          ", "6309", " - ", "TELEPHONE")</f>
        <v xml:space="preserve">          6309 - TELEPHONE</v>
      </c>
      <c r="C277" s="11"/>
      <c r="D277" s="7">
        <v>7168.04</v>
      </c>
      <c r="E277" s="2"/>
      <c r="F277" s="6">
        <f t="shared" si="127"/>
        <v>8.0018619407213349E-3</v>
      </c>
      <c r="G277" s="2"/>
      <c r="H277" s="7">
        <v>10441.25</v>
      </c>
      <c r="I277" s="2"/>
      <c r="J277" s="6">
        <f t="shared" si="128"/>
        <v>2.6046035541193416E-3</v>
      </c>
      <c r="K277" s="2"/>
      <c r="L277" s="7">
        <f t="shared" si="129"/>
        <v>-3273.21</v>
      </c>
      <c r="M277" s="2"/>
      <c r="N277" s="6">
        <f t="shared" si="130"/>
        <v>-0.31348832754698913</v>
      </c>
      <c r="O277" s="11"/>
      <c r="P277" s="7">
        <v>16722.070000000003</v>
      </c>
      <c r="Q277" s="2"/>
      <c r="R277" s="6">
        <f t="shared" si="131"/>
        <v>4.6661507431999903E-3</v>
      </c>
      <c r="S277" s="2"/>
      <c r="T277" s="7">
        <v>18078.969999999998</v>
      </c>
      <c r="U277" s="2"/>
      <c r="V277" s="6">
        <f t="shared" si="132"/>
        <v>1.8573060968806333E-3</v>
      </c>
      <c r="W277" s="2"/>
      <c r="X277" s="7">
        <f t="shared" si="133"/>
        <v>-1356.8999999999942</v>
      </c>
      <c r="Y277" s="2"/>
      <c r="Z277" s="6">
        <f t="shared" si="134"/>
        <v>-7.5054054517486021E-2</v>
      </c>
    </row>
    <row r="278" spans="1:26" s="27" customFormat="1" outlineLevel="1" collapsed="1" x14ac:dyDescent="0.25">
      <c r="A278" s="29"/>
      <c r="B278" s="14" t="str">
        <f>CONCATENATE("     ","Training                                          ")</f>
        <v xml:space="preserve">     Training                                          </v>
      </c>
      <c r="C278" s="14"/>
      <c r="D278" s="1">
        <f>SUM(OSRRefD22_24x_0)</f>
        <v>0</v>
      </c>
      <c r="E278" s="1"/>
      <c r="F278" s="5">
        <f t="shared" ref="F278:F283" si="135">IF(D$12=0,0,D278/D$12)</f>
        <v>0</v>
      </c>
      <c r="G278" s="1"/>
      <c r="H278" s="1">
        <f>SUM(OSRRefH22_24x_0)</f>
        <v>-4279.59</v>
      </c>
      <c r="I278" s="1"/>
      <c r="J278" s="5">
        <f t="shared" ref="J278:J283" si="136">IF(H$12=0,0,H278/H$12)</f>
        <v>-1.0675575552901802E-3</v>
      </c>
      <c r="K278" s="1"/>
      <c r="L278" s="1">
        <f t="shared" ref="L278:L283" si="137">+D278-H278</f>
        <v>4279.59</v>
      </c>
      <c r="M278" s="1"/>
      <c r="N278" s="5">
        <f t="shared" ref="N278:N283" si="138">IF(H278=0,0,L278/H278)</f>
        <v>-1</v>
      </c>
      <c r="O278" s="14"/>
      <c r="P278" s="1">
        <f>SUM(OSRRefP22_24x_0)</f>
        <v>481.63</v>
      </c>
      <c r="Q278" s="1"/>
      <c r="R278" s="5">
        <f t="shared" ref="R278:R283" si="139">IF(P$12=0,0,P278/P$12)</f>
        <v>1.3439473596554797E-4</v>
      </c>
      <c r="S278" s="1"/>
      <c r="T278" s="1">
        <f>SUM(OSRRefT22_24x_0)</f>
        <v>7483.06</v>
      </c>
      <c r="U278" s="1"/>
      <c r="V278" s="5">
        <f t="shared" ref="V278:V283" si="140">IF(T$12=0,0,T278/T$12)</f>
        <v>7.6875690160023468E-4</v>
      </c>
      <c r="W278" s="1"/>
      <c r="X278" s="1">
        <f t="shared" ref="X278:X283" si="141">+P278-T278</f>
        <v>-7001.43</v>
      </c>
      <c r="Y278" s="1"/>
      <c r="Z278" s="5">
        <f t="shared" ref="Z278:Z283" si="142">IF(T278=0,0,X278/T278)</f>
        <v>-0.93563729276525909</v>
      </c>
    </row>
    <row r="279" spans="1:26" s="24" customFormat="1" hidden="1" outlineLevel="2" x14ac:dyDescent="0.25">
      <c r="A279" s="28"/>
      <c r="B279" s="11" t="str">
        <f>CONCATENATE("          ", "6376", " - ", "TRAINING")</f>
        <v xml:space="preserve">          6376 - TRAINING</v>
      </c>
      <c r="C279" s="11"/>
      <c r="D279" s="7"/>
      <c r="E279" s="2"/>
      <c r="F279" s="6">
        <f t="shared" si="135"/>
        <v>0</v>
      </c>
      <c r="G279" s="2"/>
      <c r="H279" s="7">
        <v>-4279.59</v>
      </c>
      <c r="I279" s="2"/>
      <c r="J279" s="6">
        <f t="shared" si="136"/>
        <v>-1.0675575552901802E-3</v>
      </c>
      <c r="K279" s="2"/>
      <c r="L279" s="7">
        <f t="shared" si="137"/>
        <v>4279.59</v>
      </c>
      <c r="M279" s="2"/>
      <c r="N279" s="6">
        <f t="shared" si="138"/>
        <v>-1</v>
      </c>
      <c r="O279" s="11"/>
      <c r="P279" s="7">
        <v>481.63</v>
      </c>
      <c r="Q279" s="2"/>
      <c r="R279" s="6">
        <f t="shared" si="139"/>
        <v>1.3439473596554797E-4</v>
      </c>
      <c r="S279" s="2"/>
      <c r="T279" s="7">
        <v>7483.06</v>
      </c>
      <c r="U279" s="2"/>
      <c r="V279" s="6">
        <f t="shared" si="140"/>
        <v>7.6875690160023468E-4</v>
      </c>
      <c r="W279" s="2"/>
      <c r="X279" s="7">
        <f t="shared" si="141"/>
        <v>-7001.43</v>
      </c>
      <c r="Y279" s="2"/>
      <c r="Z279" s="6">
        <f t="shared" si="142"/>
        <v>-0.93563729276525909</v>
      </c>
    </row>
    <row r="280" spans="1:26" s="27" customFormat="1" outlineLevel="1" collapsed="1" x14ac:dyDescent="0.25">
      <c r="A280" s="29"/>
      <c r="B280" s="14" t="str">
        <f>CONCATENATE("     ","Travel                                            ")</f>
        <v xml:space="preserve">     Travel                                            </v>
      </c>
      <c r="C280" s="14"/>
      <c r="D280" s="1">
        <f>SUM(OSRRefD22_25x_0)</f>
        <v>152.52000000000001</v>
      </c>
      <c r="E280" s="1"/>
      <c r="F280" s="5">
        <f t="shared" si="135"/>
        <v>1.7026188235540231E-4</v>
      </c>
      <c r="G280" s="1"/>
      <c r="H280" s="1">
        <f>SUM(OSRRefH22_25x_0)</f>
        <v>457.65</v>
      </c>
      <c r="I280" s="1"/>
      <c r="J280" s="5">
        <f t="shared" si="136"/>
        <v>1.1416227142753183E-4</v>
      </c>
      <c r="K280" s="1"/>
      <c r="L280" s="1">
        <f t="shared" si="137"/>
        <v>-305.13</v>
      </c>
      <c r="M280" s="1"/>
      <c r="N280" s="5">
        <f t="shared" si="138"/>
        <v>-0.66673221894460832</v>
      </c>
      <c r="O280" s="14"/>
      <c r="P280" s="1">
        <f>SUM(OSRRefP22_25x_0)</f>
        <v>633.18000000000006</v>
      </c>
      <c r="Q280" s="1"/>
      <c r="R280" s="5">
        <f t="shared" si="139"/>
        <v>1.7668346846887794E-4</v>
      </c>
      <c r="S280" s="1"/>
      <c r="T280" s="1">
        <f>SUM(OSRRefT22_25x_0)</f>
        <v>3403.45</v>
      </c>
      <c r="U280" s="1"/>
      <c r="V280" s="5">
        <f t="shared" si="140"/>
        <v>3.4964649177626777E-4</v>
      </c>
      <c r="W280" s="1"/>
      <c r="X280" s="1">
        <f t="shared" si="141"/>
        <v>-2770.2699999999995</v>
      </c>
      <c r="Y280" s="1"/>
      <c r="Z280" s="5">
        <f t="shared" si="142"/>
        <v>-0.81395936476222652</v>
      </c>
    </row>
    <row r="281" spans="1:26" s="24" customFormat="1" hidden="1" outlineLevel="2" x14ac:dyDescent="0.25">
      <c r="A281" s="28"/>
      <c r="B281" s="11" t="str">
        <f>CONCATENATE("          ", "6292", " - ", "TRAVEL/CONFERENCE")</f>
        <v xml:space="preserve">          6292 - TRAVEL/CONFERENCE</v>
      </c>
      <c r="C281" s="11"/>
      <c r="D281" s="7"/>
      <c r="E281" s="2"/>
      <c r="F281" s="6">
        <f t="shared" si="135"/>
        <v>0</v>
      </c>
      <c r="G281" s="2"/>
      <c r="H281" s="7">
        <v>91.13</v>
      </c>
      <c r="I281" s="2"/>
      <c r="J281" s="6">
        <f t="shared" si="136"/>
        <v>2.2732672992878783E-5</v>
      </c>
      <c r="K281" s="2"/>
      <c r="L281" s="7">
        <f t="shared" si="137"/>
        <v>-91.13</v>
      </c>
      <c r="M281" s="2"/>
      <c r="N281" s="6">
        <f t="shared" si="138"/>
        <v>-1</v>
      </c>
      <c r="O281" s="11"/>
      <c r="P281" s="7">
        <v>0.16</v>
      </c>
      <c r="Q281" s="2"/>
      <c r="R281" s="6">
        <f t="shared" si="139"/>
        <v>4.4646632797972876E-8</v>
      </c>
      <c r="S281" s="2"/>
      <c r="T281" s="7">
        <v>2575.87</v>
      </c>
      <c r="U281" s="2"/>
      <c r="V281" s="6">
        <f t="shared" si="140"/>
        <v>2.6462674896699965E-4</v>
      </c>
      <c r="W281" s="2"/>
      <c r="X281" s="7">
        <f t="shared" si="141"/>
        <v>-2575.71</v>
      </c>
      <c r="Y281" s="2"/>
      <c r="Z281" s="6">
        <f t="shared" si="142"/>
        <v>-0.99993788506407555</v>
      </c>
    </row>
    <row r="282" spans="1:26" s="24" customFormat="1" hidden="1" outlineLevel="2" x14ac:dyDescent="0.25">
      <c r="A282" s="28"/>
      <c r="B282" s="11" t="str">
        <f>CONCATENATE("          ", "6294", " - ", "TRAVEL OPERATIONAL")</f>
        <v xml:space="preserve">          6294 - TRAVEL OPERATIONAL</v>
      </c>
      <c r="C282" s="11"/>
      <c r="D282" s="7"/>
      <c r="E282" s="2"/>
      <c r="F282" s="6">
        <f t="shared" si="135"/>
        <v>0</v>
      </c>
      <c r="G282" s="2"/>
      <c r="H282" s="7">
        <v>33.43</v>
      </c>
      <c r="I282" s="2"/>
      <c r="J282" s="6">
        <f t="shared" si="136"/>
        <v>8.3392215313501346E-6</v>
      </c>
      <c r="K282" s="2"/>
      <c r="L282" s="7">
        <f t="shared" si="137"/>
        <v>-33.43</v>
      </c>
      <c r="M282" s="2"/>
      <c r="N282" s="6">
        <f t="shared" si="138"/>
        <v>-1</v>
      </c>
      <c r="O282" s="11"/>
      <c r="P282" s="7">
        <v>240.92</v>
      </c>
      <c r="Q282" s="2"/>
      <c r="R282" s="6">
        <f t="shared" si="139"/>
        <v>6.7226667335547658E-5</v>
      </c>
      <c r="S282" s="2"/>
      <c r="T282" s="7">
        <v>147.59</v>
      </c>
      <c r="U282" s="2"/>
      <c r="V282" s="6">
        <f t="shared" si="140"/>
        <v>1.5162357525822141E-5</v>
      </c>
      <c r="W282" s="2"/>
      <c r="X282" s="7">
        <f t="shared" si="141"/>
        <v>93.329999999999984</v>
      </c>
      <c r="Y282" s="2"/>
      <c r="Z282" s="6">
        <f t="shared" si="142"/>
        <v>0.63235991598346764</v>
      </c>
    </row>
    <row r="283" spans="1:26" s="24" customFormat="1" hidden="1" outlineLevel="2" x14ac:dyDescent="0.25">
      <c r="A283" s="28"/>
      <c r="B283" s="11" t="str">
        <f>CONCATENATE("          ", "6298", " - ", "VEHICLE MILEAGE")</f>
        <v xml:space="preserve">          6298 - VEHICLE MILEAGE</v>
      </c>
      <c r="C283" s="11"/>
      <c r="D283" s="7">
        <v>152.52000000000001</v>
      </c>
      <c r="E283" s="2"/>
      <c r="F283" s="6">
        <f t="shared" si="135"/>
        <v>1.7026188235540231E-4</v>
      </c>
      <c r="G283" s="2"/>
      <c r="H283" s="7">
        <v>333.09</v>
      </c>
      <c r="I283" s="2"/>
      <c r="J283" s="6">
        <f t="shared" si="136"/>
        <v>8.3090376903302912E-5</v>
      </c>
      <c r="K283" s="2"/>
      <c r="L283" s="7">
        <f t="shared" si="137"/>
        <v>-180.56999999999996</v>
      </c>
      <c r="M283" s="2"/>
      <c r="N283" s="6">
        <f t="shared" si="138"/>
        <v>-0.54210573718814725</v>
      </c>
      <c r="O283" s="11"/>
      <c r="P283" s="7">
        <v>392.1</v>
      </c>
      <c r="Q283" s="2"/>
      <c r="R283" s="6">
        <f t="shared" si="139"/>
        <v>1.0941215450053228E-4</v>
      </c>
      <c r="S283" s="2"/>
      <c r="T283" s="7">
        <v>679.99</v>
      </c>
      <c r="U283" s="2"/>
      <c r="V283" s="6">
        <f t="shared" si="140"/>
        <v>6.9857385283446008E-5</v>
      </c>
      <c r="W283" s="2"/>
      <c r="X283" s="7">
        <f t="shared" si="141"/>
        <v>-287.89</v>
      </c>
      <c r="Y283" s="2"/>
      <c r="Z283" s="6">
        <f t="shared" si="142"/>
        <v>-0.42337387314519331</v>
      </c>
    </row>
    <row r="284" spans="1:26" s="27" customFormat="1" outlineLevel="1" collapsed="1" x14ac:dyDescent="0.25">
      <c r="A284" s="29"/>
      <c r="B284" s="14" t="str">
        <f>CONCATENATE("     ","Utilities                                         ")</f>
        <v xml:space="preserve">     Utilities                                         </v>
      </c>
      <c r="C284" s="14"/>
      <c r="D284" s="1">
        <f>SUM(OSRRefD22_26x_0)</f>
        <v>8511.01</v>
      </c>
      <c r="E284" s="1"/>
      <c r="F284" s="5">
        <f t="shared" ref="F284:F285" si="143">IF(D$12=0,0,D284/D$12)</f>
        <v>9.5010528674642838E-3</v>
      </c>
      <c r="G284" s="1"/>
      <c r="H284" s="1">
        <f>SUM(OSRRefH22_26x_0)</f>
        <v>23914.02</v>
      </c>
      <c r="I284" s="1"/>
      <c r="J284" s="5">
        <f t="shared" ref="J284:J285" si="144">IF(H$12=0,0,H284/H$12)</f>
        <v>5.9654295688045993E-3</v>
      </c>
      <c r="K284" s="1"/>
      <c r="L284" s="1">
        <f t="shared" ref="L284:L285" si="145">+D284-H284</f>
        <v>-15403.01</v>
      </c>
      <c r="M284" s="1"/>
      <c r="N284" s="5">
        <f t="shared" ref="N284:N285" si="146">IF(H284=0,0,L284/H284)</f>
        <v>-0.64409957004301244</v>
      </c>
      <c r="O284" s="14"/>
      <c r="P284" s="1">
        <f>SUM(OSRRefP22_26x_0)</f>
        <v>25532.38</v>
      </c>
      <c r="Q284" s="1"/>
      <c r="R284" s="5">
        <f t="shared" ref="R284:R285" si="147">IF(P$12=0,0,P284/P$12)</f>
        <v>7.1245924644894173E-3</v>
      </c>
      <c r="S284" s="1"/>
      <c r="T284" s="1">
        <f>SUM(OSRRefT22_26x_0)</f>
        <v>43350.92</v>
      </c>
      <c r="U284" s="1"/>
      <c r="V284" s="5">
        <f t="shared" ref="V284:V285" si="148">IF(T$12=0,0,T284/T$12)</f>
        <v>4.4535683184044553E-3</v>
      </c>
      <c r="W284" s="1"/>
      <c r="X284" s="1">
        <f t="shared" ref="X284:X285" si="149">+P284-T284</f>
        <v>-17818.539999999997</v>
      </c>
      <c r="Y284" s="1"/>
      <c r="Z284" s="5">
        <f t="shared" ref="Z284:Z285" si="150">IF(T284=0,0,X284/T284)</f>
        <v>-0.41103026187218167</v>
      </c>
    </row>
    <row r="285" spans="1:26" s="24" customFormat="1" hidden="1" outlineLevel="2" x14ac:dyDescent="0.25">
      <c r="A285" s="28"/>
      <c r="B285" s="11" t="str">
        <f>CONCATENATE("          ", "6274", " - ", "UTILITIES")</f>
        <v xml:space="preserve">          6274 - UTILITIES</v>
      </c>
      <c r="C285" s="11"/>
      <c r="D285" s="7">
        <v>8511.01</v>
      </c>
      <c r="E285" s="2"/>
      <c r="F285" s="6">
        <f t="shared" si="143"/>
        <v>9.5010528674642838E-3</v>
      </c>
      <c r="G285" s="2"/>
      <c r="H285" s="7">
        <v>23914.02</v>
      </c>
      <c r="I285" s="2"/>
      <c r="J285" s="6">
        <f t="shared" si="144"/>
        <v>5.9654295688045993E-3</v>
      </c>
      <c r="K285" s="2"/>
      <c r="L285" s="7">
        <f t="shared" si="145"/>
        <v>-15403.01</v>
      </c>
      <c r="M285" s="2"/>
      <c r="N285" s="6">
        <f t="shared" si="146"/>
        <v>-0.64409957004301244</v>
      </c>
      <c r="O285" s="11"/>
      <c r="P285" s="7">
        <v>25532.38</v>
      </c>
      <c r="Q285" s="2"/>
      <c r="R285" s="6">
        <f t="shared" si="147"/>
        <v>7.1245924644894173E-3</v>
      </c>
      <c r="S285" s="2"/>
      <c r="T285" s="7">
        <v>43350.92</v>
      </c>
      <c r="U285" s="2"/>
      <c r="V285" s="6">
        <f t="shared" si="148"/>
        <v>4.4535683184044553E-3</v>
      </c>
      <c r="W285" s="2"/>
      <c r="X285" s="7">
        <f t="shared" si="149"/>
        <v>-17818.539999999997</v>
      </c>
      <c r="Y285" s="2"/>
      <c r="Z285" s="6">
        <f t="shared" si="150"/>
        <v>-0.41103026187218167</v>
      </c>
    </row>
    <row r="286" spans="1:26" s="60" customFormat="1" x14ac:dyDescent="0.25">
      <c r="A286" s="37"/>
      <c r="B286" s="37"/>
      <c r="C286" s="37"/>
      <c r="D286" s="1"/>
      <c r="E286" s="1"/>
      <c r="F286" s="5"/>
      <c r="G286" s="1"/>
      <c r="H286" s="1"/>
      <c r="I286" s="1"/>
      <c r="J286" s="5"/>
      <c r="K286" s="1"/>
      <c r="L286" s="1"/>
      <c r="M286" s="1"/>
      <c r="N286" s="5"/>
      <c r="O286" s="37"/>
      <c r="P286" s="1"/>
      <c r="Q286" s="1"/>
      <c r="R286" s="5"/>
      <c r="S286" s="1"/>
      <c r="T286" s="1"/>
      <c r="U286" s="1"/>
      <c r="V286" s="5"/>
      <c r="W286" s="1"/>
      <c r="X286" s="1"/>
      <c r="Y286" s="1"/>
      <c r="Z286" s="5"/>
    </row>
    <row r="287" spans="1:26" s="23" customFormat="1" collapsed="1" x14ac:dyDescent="0.25">
      <c r="A287" s="10"/>
      <c r="B287" s="26" t="s">
        <v>0</v>
      </c>
      <c r="C287" s="10"/>
      <c r="D287" s="4">
        <f>SUM(OSRRefD25x_0)</f>
        <v>168011.96</v>
      </c>
      <c r="E287" s="4"/>
      <c r="F287" s="12">
        <f t="shared" ref="F287:F298" si="151">IF(D$12=0,0,D287/D$12)</f>
        <v>0.18755594392748856</v>
      </c>
      <c r="G287" s="4"/>
      <c r="H287" s="4">
        <f>SUM(OSRRefH25x_0)</f>
        <v>368424.33</v>
      </c>
      <c r="I287" s="4"/>
      <c r="J287" s="12">
        <f t="shared" ref="J287:J298" si="152">IF(H$12=0,0,H287/H$12)</f>
        <v>9.1904639707126756E-2</v>
      </c>
      <c r="K287" s="4"/>
      <c r="L287" s="4">
        <f t="shared" ref="L287:L298" si="153">+D287-H287</f>
        <v>-200412.37000000002</v>
      </c>
      <c r="M287" s="4"/>
      <c r="N287" s="12">
        <f t="shared" ref="N287:N298" si="154">IF(H287=0,0,L287/H287)</f>
        <v>-0.54397159384126459</v>
      </c>
      <c r="O287" s="10"/>
      <c r="P287" s="4">
        <f>SUM(OSRRefP25x_0)</f>
        <v>425542.84</v>
      </c>
      <c r="Q287" s="4"/>
      <c r="R287" s="12">
        <f t="shared" ref="R287:R298" si="155">IF(P$12=0,0,P287/P$12)</f>
        <v>0.11874409323304079</v>
      </c>
      <c r="S287" s="4"/>
      <c r="T287" s="4">
        <f>SUM(OSRRefT25x_0)</f>
        <v>556401.30000000005</v>
      </c>
      <c r="U287" s="4"/>
      <c r="V287" s="12">
        <f t="shared" ref="V287:V298" si="156">IF(T$12=0,0,T287/T$12)</f>
        <v>5.716075234387305E-2</v>
      </c>
      <c r="W287" s="4"/>
      <c r="X287" s="4">
        <f t="shared" ref="X287:X298" si="157">+P287-T287</f>
        <v>-130858.46000000002</v>
      </c>
      <c r="Y287" s="4"/>
      <c r="Z287" s="12">
        <f t="shared" ref="Z287:Z298" si="158">IF(T287=0,0,X287/T287)</f>
        <v>-0.23518719312841291</v>
      </c>
    </row>
    <row r="288" spans="1:26" s="24" customFormat="1" hidden="1" outlineLevel="1" x14ac:dyDescent="0.25">
      <c r="A288" s="44"/>
      <c r="B288" s="11" t="str">
        <f>CONCATENATE("          ", "4098", " - ", "TAXABLE SALES-GRAD RENTALS")</f>
        <v xml:space="preserve">          4098 - TAXABLE SALES-GRAD RENTALS</v>
      </c>
      <c r="C288" s="11"/>
      <c r="D288" s="2">
        <f>0</f>
        <v>0</v>
      </c>
      <c r="E288" s="2"/>
      <c r="F288" s="19">
        <f t="shared" si="151"/>
        <v>0</v>
      </c>
      <c r="G288" s="2"/>
      <c r="H288" s="2">
        <f>0</f>
        <v>0</v>
      </c>
      <c r="I288" s="2"/>
      <c r="J288" s="19">
        <f t="shared" si="152"/>
        <v>0</v>
      </c>
      <c r="K288" s="2"/>
      <c r="L288" s="2">
        <f t="shared" si="153"/>
        <v>0</v>
      </c>
      <c r="M288" s="2"/>
      <c r="N288" s="19">
        <f t="shared" si="154"/>
        <v>0</v>
      </c>
      <c r="O288" s="11"/>
      <c r="P288" s="2">
        <f>0</f>
        <v>0</v>
      </c>
      <c r="Q288" s="2"/>
      <c r="R288" s="19">
        <f t="shared" si="155"/>
        <v>0</v>
      </c>
      <c r="S288" s="2"/>
      <c r="T288" s="2">
        <f>--1626.85</f>
        <v>1626.85</v>
      </c>
      <c r="U288" s="2"/>
      <c r="V288" s="19">
        <f t="shared" si="156"/>
        <v>1.6713111552871975E-4</v>
      </c>
      <c r="W288" s="2"/>
      <c r="X288" s="2">
        <f t="shared" si="157"/>
        <v>-1626.85</v>
      </c>
      <c r="Y288" s="2"/>
      <c r="Z288" s="19">
        <f t="shared" si="158"/>
        <v>-1</v>
      </c>
    </row>
    <row r="289" spans="1:26" s="24" customFormat="1" hidden="1" outlineLevel="1" x14ac:dyDescent="0.25">
      <c r="A289" s="44"/>
      <c r="B289" s="11" t="str">
        <f>CONCATENATE("          ", "4187", " - ", "NON-TAXABLE SALES-COMPUTER REP")</f>
        <v xml:space="preserve">          4187 - NON-TAXABLE SALES-COMPUTER REP</v>
      </c>
      <c r="C289" s="11"/>
      <c r="D289" s="2">
        <f>--125.14</f>
        <v>125.14</v>
      </c>
      <c r="E289" s="2"/>
      <c r="F289" s="19">
        <f t="shared" si="151"/>
        <v>1.3969690504822348E-4</v>
      </c>
      <c r="G289" s="2"/>
      <c r="H289" s="2">
        <f>--4892.54</f>
        <v>4892.54</v>
      </c>
      <c r="I289" s="2"/>
      <c r="J289" s="19">
        <f t="shared" si="152"/>
        <v>1.2204599135803706E-3</v>
      </c>
      <c r="K289" s="2"/>
      <c r="L289" s="2">
        <f t="shared" si="153"/>
        <v>-4767.3999999999996</v>
      </c>
      <c r="M289" s="2"/>
      <c r="N289" s="19">
        <f t="shared" si="154"/>
        <v>-0.97442228372174777</v>
      </c>
      <c r="O289" s="11"/>
      <c r="P289" s="2">
        <f>--145.13</f>
        <v>145.13</v>
      </c>
      <c r="Q289" s="2"/>
      <c r="R289" s="19">
        <f t="shared" si="155"/>
        <v>4.0497286362311273E-5</v>
      </c>
      <c r="S289" s="2"/>
      <c r="T289" s="2">
        <f>--7374.8</f>
        <v>7374.8</v>
      </c>
      <c r="U289" s="2"/>
      <c r="V289" s="19">
        <f t="shared" si="156"/>
        <v>7.5763503138039925E-4</v>
      </c>
      <c r="W289" s="2"/>
      <c r="X289" s="2">
        <f t="shared" si="157"/>
        <v>-7229.67</v>
      </c>
      <c r="Y289" s="2"/>
      <c r="Z289" s="19">
        <f t="shared" si="158"/>
        <v>-0.98032082225958672</v>
      </c>
    </row>
    <row r="290" spans="1:26" s="24" customFormat="1" hidden="1" outlineLevel="1" x14ac:dyDescent="0.25">
      <c r="A290" s="44"/>
      <c r="B290" s="11" t="str">
        <f>CONCATENATE("          ", "4197", " - ", "NON-TAXABLE SALES-RETURNED CHE")</f>
        <v xml:space="preserve">          4197 - NON-TAXABLE SALES-RETURNED CHE</v>
      </c>
      <c r="C290" s="11"/>
      <c r="D290" s="2">
        <f t="shared" ref="D290:D292" si="159">0</f>
        <v>0</v>
      </c>
      <c r="E290" s="2"/>
      <c r="F290" s="19">
        <f t="shared" si="151"/>
        <v>0</v>
      </c>
      <c r="G290" s="2"/>
      <c r="H290" s="2">
        <f>0</f>
        <v>0</v>
      </c>
      <c r="I290" s="2"/>
      <c r="J290" s="19">
        <f t="shared" si="152"/>
        <v>0</v>
      </c>
      <c r="K290" s="2"/>
      <c r="L290" s="2">
        <f t="shared" si="153"/>
        <v>0</v>
      </c>
      <c r="M290" s="2"/>
      <c r="N290" s="19">
        <f t="shared" si="154"/>
        <v>0</v>
      </c>
      <c r="O290" s="11"/>
      <c r="P290" s="2">
        <f t="shared" ref="P290:P292" si="160">0</f>
        <v>0</v>
      </c>
      <c r="Q290" s="2"/>
      <c r="R290" s="19">
        <f t="shared" si="155"/>
        <v>0</v>
      </c>
      <c r="S290" s="2"/>
      <c r="T290" s="2">
        <f>--30</f>
        <v>30</v>
      </c>
      <c r="U290" s="2"/>
      <c r="V290" s="19">
        <f t="shared" si="156"/>
        <v>3.0819887917519086E-6</v>
      </c>
      <c r="W290" s="2"/>
      <c r="X290" s="2">
        <f t="shared" si="157"/>
        <v>-30</v>
      </c>
      <c r="Y290" s="2"/>
      <c r="Z290" s="19">
        <f t="shared" si="158"/>
        <v>-1</v>
      </c>
    </row>
    <row r="291" spans="1:26" s="24" customFormat="1" hidden="1" outlineLevel="1" x14ac:dyDescent="0.25">
      <c r="A291" s="44"/>
      <c r="B291" s="11" t="str">
        <f>CONCATENATE("          ", "4198", " - ", "NON-TAXABLE SALES-GRAD RENTALS")</f>
        <v xml:space="preserve">          4198 - NON-TAXABLE SALES-GRAD RENTALS</v>
      </c>
      <c r="C291" s="11"/>
      <c r="D291" s="2">
        <f t="shared" si="159"/>
        <v>0</v>
      </c>
      <c r="E291" s="2"/>
      <c r="F291" s="19">
        <f t="shared" si="151"/>
        <v>0</v>
      </c>
      <c r="G291" s="2"/>
      <c r="H291" s="2">
        <f>--30</f>
        <v>30</v>
      </c>
      <c r="I291" s="2"/>
      <c r="J291" s="19">
        <f t="shared" si="152"/>
        <v>7.4835969470686222E-6</v>
      </c>
      <c r="K291" s="2"/>
      <c r="L291" s="2">
        <f t="shared" si="153"/>
        <v>-30</v>
      </c>
      <c r="M291" s="2"/>
      <c r="N291" s="19">
        <f t="shared" si="154"/>
        <v>-1</v>
      </c>
      <c r="O291" s="11"/>
      <c r="P291" s="2">
        <f t="shared" si="160"/>
        <v>0</v>
      </c>
      <c r="Q291" s="2"/>
      <c r="R291" s="19">
        <f t="shared" si="155"/>
        <v>0</v>
      </c>
      <c r="S291" s="2"/>
      <c r="T291" s="2">
        <f>--495</f>
        <v>495</v>
      </c>
      <c r="U291" s="2"/>
      <c r="V291" s="19">
        <f t="shared" si="156"/>
        <v>5.0852815063906491E-5</v>
      </c>
      <c r="W291" s="2"/>
      <c r="X291" s="2">
        <f t="shared" si="157"/>
        <v>-495</v>
      </c>
      <c r="Y291" s="2"/>
      <c r="Z291" s="19">
        <f t="shared" si="158"/>
        <v>-1</v>
      </c>
    </row>
    <row r="292" spans="1:26" s="24" customFormat="1" hidden="1" outlineLevel="1" x14ac:dyDescent="0.25">
      <c r="A292" s="44"/>
      <c r="B292" s="11" t="str">
        <f>CONCATENATE("          ", "4387", " - ", "SALES RETURN NON TAXABLE-COMPU")</f>
        <v xml:space="preserve">          4387 - SALES RETURN NON TAXABLE-COMPU</v>
      </c>
      <c r="C292" s="11"/>
      <c r="D292" s="2">
        <f t="shared" si="159"/>
        <v>0</v>
      </c>
      <c r="E292" s="2"/>
      <c r="F292" s="19">
        <f t="shared" si="151"/>
        <v>0</v>
      </c>
      <c r="G292" s="2"/>
      <c r="H292" s="2">
        <f>-2989.2</f>
        <v>-2989.2</v>
      </c>
      <c r="I292" s="2"/>
      <c r="J292" s="19">
        <f t="shared" si="152"/>
        <v>-7.4566559980591746E-4</v>
      </c>
      <c r="K292" s="2"/>
      <c r="L292" s="2">
        <f t="shared" si="153"/>
        <v>2989.2</v>
      </c>
      <c r="M292" s="2"/>
      <c r="N292" s="19">
        <f t="shared" si="154"/>
        <v>-1</v>
      </c>
      <c r="O292" s="11"/>
      <c r="P292" s="2">
        <f t="shared" si="160"/>
        <v>0</v>
      </c>
      <c r="Q292" s="2"/>
      <c r="R292" s="19">
        <f t="shared" si="155"/>
        <v>0</v>
      </c>
      <c r="S292" s="2"/>
      <c r="T292" s="2">
        <f>-6440.7</f>
        <v>-6440.7</v>
      </c>
      <c r="U292" s="2"/>
      <c r="V292" s="19">
        <f t="shared" si="156"/>
        <v>-6.6167217370121723E-4</v>
      </c>
      <c r="W292" s="2"/>
      <c r="X292" s="2">
        <f t="shared" si="157"/>
        <v>6440.7</v>
      </c>
      <c r="Y292" s="2"/>
      <c r="Z292" s="19">
        <f t="shared" si="158"/>
        <v>-1</v>
      </c>
    </row>
    <row r="293" spans="1:26" s="24" customFormat="1" hidden="1" outlineLevel="1" x14ac:dyDescent="0.25">
      <c r="A293" s="44"/>
      <c r="B293" s="11" t="str">
        <f>CONCATENATE("          ", "9150", " - ", "MISC. INCOME")</f>
        <v xml:space="preserve">          9150 - MISC. INCOME</v>
      </c>
      <c r="C293" s="11"/>
      <c r="D293" s="2">
        <f>--19434.2</f>
        <v>19434.2</v>
      </c>
      <c r="E293" s="2"/>
      <c r="F293" s="19">
        <f t="shared" si="151"/>
        <v>2.1694882468340934E-2</v>
      </c>
      <c r="G293" s="2"/>
      <c r="H293" s="2">
        <f>--63872.04</f>
        <v>63872.04</v>
      </c>
      <c r="I293" s="2"/>
      <c r="J293" s="19">
        <f t="shared" si="152"/>
        <v>1.5933086784901497E-2</v>
      </c>
      <c r="K293" s="2"/>
      <c r="L293" s="2">
        <f t="shared" si="153"/>
        <v>-44437.84</v>
      </c>
      <c r="M293" s="2"/>
      <c r="N293" s="19">
        <f t="shared" si="154"/>
        <v>-0.69573227972677865</v>
      </c>
      <c r="O293" s="11"/>
      <c r="P293" s="2">
        <f>--112544.24</f>
        <v>112544.24</v>
      </c>
      <c r="Q293" s="2"/>
      <c r="R293" s="19">
        <f t="shared" si="155"/>
        <v>3.1404508480043322E-2</v>
      </c>
      <c r="S293" s="2"/>
      <c r="T293" s="2">
        <f>--212176.77</f>
        <v>212176.77</v>
      </c>
      <c r="U293" s="2"/>
      <c r="V293" s="19">
        <f t="shared" si="156"/>
        <v>2.1797547567004086E-2</v>
      </c>
      <c r="W293" s="2"/>
      <c r="X293" s="2">
        <f t="shared" si="157"/>
        <v>-99632.529999999984</v>
      </c>
      <c r="Y293" s="2"/>
      <c r="Z293" s="19">
        <f t="shared" si="158"/>
        <v>-0.46957322425070375</v>
      </c>
    </row>
    <row r="294" spans="1:26" s="24" customFormat="1" hidden="1" outlineLevel="1" x14ac:dyDescent="0.25">
      <c r="A294" s="44"/>
      <c r="B294" s="11" t="str">
        <f>CONCATENATE("          ", "9151", " - ", "MISC. INCOME")</f>
        <v xml:space="preserve">          9151 - MISC. INCOME</v>
      </c>
      <c r="C294" s="11"/>
      <c r="D294" s="2">
        <f>--147285.39</f>
        <v>147285.39000000001</v>
      </c>
      <c r="E294" s="2"/>
      <c r="F294" s="19">
        <f t="shared" si="151"/>
        <v>0.16441835657520029</v>
      </c>
      <c r="G294" s="2"/>
      <c r="H294" s="2">
        <f>--83458.02</f>
        <v>83458.02</v>
      </c>
      <c r="I294" s="2"/>
      <c r="J294" s="19">
        <f t="shared" si="152"/>
        <v>2.0818872789346403E-2</v>
      </c>
      <c r="K294" s="2"/>
      <c r="L294" s="2">
        <f t="shared" si="153"/>
        <v>63827.37000000001</v>
      </c>
      <c r="M294" s="2"/>
      <c r="N294" s="19">
        <f t="shared" si="154"/>
        <v>0.76478413937929524</v>
      </c>
      <c r="O294" s="11"/>
      <c r="P294" s="2">
        <f>--147285.39</f>
        <v>147285.39000000001</v>
      </c>
      <c r="Q294" s="2"/>
      <c r="R294" s="19">
        <f t="shared" si="155"/>
        <v>4.1098729523976418E-2</v>
      </c>
      <c r="S294" s="2"/>
      <c r="T294" s="2">
        <f>--83193.51</f>
        <v>83193.509999999995</v>
      </c>
      <c r="U294" s="2"/>
      <c r="V294" s="19">
        <f t="shared" si="156"/>
        <v>8.5467155122166769E-3</v>
      </c>
      <c r="W294" s="2"/>
      <c r="X294" s="2">
        <f t="shared" si="157"/>
        <v>64091.880000000019</v>
      </c>
      <c r="Y294" s="2"/>
      <c r="Z294" s="19">
        <f t="shared" si="158"/>
        <v>0.7703951906825427</v>
      </c>
    </row>
    <row r="295" spans="1:26" s="24" customFormat="1" hidden="1" outlineLevel="1" x14ac:dyDescent="0.25">
      <c r="A295" s="44"/>
      <c r="B295" s="11" t="str">
        <f>CONCATENATE("          ", "9152", " - ", "MISC. INCOME")</f>
        <v xml:space="preserve">          9152 - MISC. INCOME</v>
      </c>
      <c r="C295" s="11"/>
      <c r="D295" s="2">
        <f>--542.55</f>
        <v>542.54999999999995</v>
      </c>
      <c r="E295" s="2"/>
      <c r="F295" s="19">
        <f t="shared" si="151"/>
        <v>6.0566210511358188E-4</v>
      </c>
      <c r="G295" s="2"/>
      <c r="H295" s="2">
        <f>--633.59</f>
        <v>633.59</v>
      </c>
      <c r="I295" s="2"/>
      <c r="J295" s="19">
        <f t="shared" si="152"/>
        <v>1.5805107298977363E-4</v>
      </c>
      <c r="K295" s="2"/>
      <c r="L295" s="2">
        <f t="shared" si="153"/>
        <v>-91.040000000000077</v>
      </c>
      <c r="M295" s="2"/>
      <c r="N295" s="19">
        <f t="shared" si="154"/>
        <v>-0.14368913650783641</v>
      </c>
      <c r="O295" s="11"/>
      <c r="P295" s="2">
        <f>--2088.94</f>
        <v>2088.94</v>
      </c>
      <c r="Q295" s="2"/>
      <c r="R295" s="19">
        <f t="shared" si="155"/>
        <v>5.8290085698123415E-4</v>
      </c>
      <c r="S295" s="2"/>
      <c r="T295" s="2">
        <f>--641.02</f>
        <v>641.02</v>
      </c>
      <c r="U295" s="2"/>
      <c r="V295" s="19">
        <f t="shared" si="156"/>
        <v>6.5853881842960275E-5</v>
      </c>
      <c r="W295" s="2"/>
      <c r="X295" s="2">
        <f t="shared" si="157"/>
        <v>1447.92</v>
      </c>
      <c r="Y295" s="2"/>
      <c r="Z295" s="19">
        <f t="shared" si="158"/>
        <v>2.2587750772206796</v>
      </c>
    </row>
    <row r="296" spans="1:26" s="24" customFormat="1" hidden="1" outlineLevel="1" x14ac:dyDescent="0.25">
      <c r="A296" s="44"/>
      <c r="B296" s="11" t="str">
        <f>CONCATENATE("          ", "9160", " - ", "MISC. INCOME")</f>
        <v xml:space="preserve">          9160 - MISC. INCOME</v>
      </c>
      <c r="C296" s="11"/>
      <c r="D296" s="2">
        <f t="shared" ref="D296:D297" si="161">0</f>
        <v>0</v>
      </c>
      <c r="E296" s="2"/>
      <c r="F296" s="19">
        <f t="shared" si="151"/>
        <v>0</v>
      </c>
      <c r="G296" s="2"/>
      <c r="H296" s="2">
        <f>--20000</f>
        <v>20000</v>
      </c>
      <c r="I296" s="2"/>
      <c r="J296" s="19">
        <f t="shared" si="152"/>
        <v>4.9890646313790815E-3</v>
      </c>
      <c r="K296" s="2"/>
      <c r="L296" s="2">
        <f t="shared" si="153"/>
        <v>-20000</v>
      </c>
      <c r="M296" s="2"/>
      <c r="N296" s="19">
        <f t="shared" si="154"/>
        <v>-1</v>
      </c>
      <c r="O296" s="11"/>
      <c r="P296" s="2">
        <f>--1990.06</f>
        <v>1990.06</v>
      </c>
      <c r="Q296" s="2"/>
      <c r="R296" s="19">
        <f t="shared" si="155"/>
        <v>5.5530923791208687E-4</v>
      </c>
      <c r="S296" s="2"/>
      <c r="T296" s="2">
        <f>--52143.27</f>
        <v>52143.27</v>
      </c>
      <c r="U296" s="2"/>
      <c r="V296" s="19">
        <f t="shared" si="156"/>
        <v>5.3568324568431178E-3</v>
      </c>
      <c r="W296" s="2"/>
      <c r="X296" s="2">
        <f t="shared" si="157"/>
        <v>-50153.21</v>
      </c>
      <c r="Y296" s="2"/>
      <c r="Z296" s="19">
        <f t="shared" si="158"/>
        <v>-0.96183476793841283</v>
      </c>
    </row>
    <row r="297" spans="1:26" s="24" customFormat="1" hidden="1" outlineLevel="1" x14ac:dyDescent="0.25">
      <c r="A297" s="44"/>
      <c r="B297" s="11" t="str">
        <f>CONCATENATE("          ", "9163", " - ", "MISC. INCOME")</f>
        <v xml:space="preserve">          9163 - MISC. INCOME</v>
      </c>
      <c r="C297" s="11"/>
      <c r="D297" s="2">
        <f t="shared" si="161"/>
        <v>0</v>
      </c>
      <c r="E297" s="2"/>
      <c r="F297" s="19">
        <f t="shared" si="151"/>
        <v>0</v>
      </c>
      <c r="G297" s="2"/>
      <c r="H297" s="2">
        <f>0</f>
        <v>0</v>
      </c>
      <c r="I297" s="2"/>
      <c r="J297" s="19">
        <f t="shared" si="152"/>
        <v>0</v>
      </c>
      <c r="K297" s="2"/>
      <c r="L297" s="2">
        <f t="shared" si="153"/>
        <v>0</v>
      </c>
      <c r="M297" s="2"/>
      <c r="N297" s="19">
        <f t="shared" si="154"/>
        <v>0</v>
      </c>
      <c r="O297" s="11"/>
      <c r="P297" s="2">
        <f>--160663.9</f>
        <v>160663.9</v>
      </c>
      <c r="Q297" s="2"/>
      <c r="R297" s="19">
        <f t="shared" si="155"/>
        <v>4.4831888419938966E-2</v>
      </c>
      <c r="S297" s="2"/>
      <c r="T297" s="2">
        <f>0</f>
        <v>0</v>
      </c>
      <c r="U297" s="2"/>
      <c r="V297" s="19">
        <f t="shared" si="156"/>
        <v>0</v>
      </c>
      <c r="W297" s="2"/>
      <c r="X297" s="2">
        <f t="shared" si="157"/>
        <v>160663.9</v>
      </c>
      <c r="Y297" s="2"/>
      <c r="Z297" s="19">
        <f t="shared" si="158"/>
        <v>0</v>
      </c>
    </row>
    <row r="298" spans="1:26" s="24" customFormat="1" hidden="1" outlineLevel="1" x14ac:dyDescent="0.25">
      <c r="A298" s="44"/>
      <c r="B298" s="11" t="str">
        <f>CONCATENATE("          ", "9165", " - ", "OTHER INCOME")</f>
        <v xml:space="preserve">          9165 - OTHER INCOME</v>
      </c>
      <c r="C298" s="11"/>
      <c r="D298" s="2">
        <f>--624.68</f>
        <v>624.67999999999995</v>
      </c>
      <c r="E298" s="2"/>
      <c r="F298" s="19">
        <f t="shared" si="151"/>
        <v>6.9734587378555404E-4</v>
      </c>
      <c r="G298" s="2"/>
      <c r="H298" s="2">
        <f>--198527.34</f>
        <v>198527.34</v>
      </c>
      <c r="I298" s="2"/>
      <c r="J298" s="19">
        <f t="shared" si="152"/>
        <v>4.9523286517788478E-2</v>
      </c>
      <c r="K298" s="2"/>
      <c r="L298" s="2">
        <f t="shared" si="153"/>
        <v>-197902.66</v>
      </c>
      <c r="M298" s="2"/>
      <c r="N298" s="19">
        <f t="shared" si="154"/>
        <v>-0.99685343086750677</v>
      </c>
      <c r="O298" s="11"/>
      <c r="P298" s="2">
        <f>--825.18</f>
        <v>825.18</v>
      </c>
      <c r="Q298" s="2"/>
      <c r="R298" s="19">
        <f t="shared" si="155"/>
        <v>2.3025942782644535E-4</v>
      </c>
      <c r="S298" s="2"/>
      <c r="T298" s="2">
        <f>--205160.78</f>
        <v>205160.78</v>
      </c>
      <c r="U298" s="2"/>
      <c r="V298" s="19">
        <f t="shared" si="156"/>
        <v>2.107677414890264E-2</v>
      </c>
      <c r="W298" s="2"/>
      <c r="X298" s="2">
        <f t="shared" si="157"/>
        <v>-204335.6</v>
      </c>
      <c r="Y298" s="2"/>
      <c r="Z298" s="19">
        <f t="shared" si="158"/>
        <v>-0.99597788622172334</v>
      </c>
    </row>
    <row r="299" spans="1:26" x14ac:dyDescent="0.25">
      <c r="A299" s="9"/>
      <c r="B299" s="10"/>
      <c r="C299" s="10"/>
      <c r="D299" s="3"/>
      <c r="E299" s="3"/>
      <c r="F299" s="8"/>
      <c r="G299" s="3"/>
      <c r="H299" s="3"/>
      <c r="I299" s="3"/>
      <c r="J299" s="8"/>
      <c r="K299" s="3"/>
      <c r="L299" s="3"/>
      <c r="M299" s="3"/>
      <c r="N299" s="8"/>
      <c r="O299" s="10"/>
      <c r="P299" s="3"/>
      <c r="Q299" s="3"/>
      <c r="R299" s="8"/>
      <c r="S299" s="3"/>
      <c r="T299" s="3"/>
      <c r="U299" s="3"/>
      <c r="V299" s="8"/>
      <c r="W299" s="3"/>
      <c r="X299" s="3"/>
      <c r="Y299" s="3"/>
      <c r="Z299" s="8"/>
    </row>
    <row r="300" spans="1:26" s="23" customFormat="1" x14ac:dyDescent="0.25">
      <c r="A300" s="10"/>
      <c r="B300" s="25" t="s">
        <v>3</v>
      </c>
      <c r="C300" s="25"/>
      <c r="D300" s="22">
        <f>+D188-D190+D287</f>
        <v>-164659.3299999997</v>
      </c>
      <c r="E300" s="13"/>
      <c r="F300" s="21">
        <f>IF(D$12=0,0,D300/D$12)</f>
        <v>-0.18381331938879697</v>
      </c>
      <c r="G300" s="13"/>
      <c r="H300" s="22">
        <f>+H188-H190+H287</f>
        <v>1084302.6999999981</v>
      </c>
      <c r="I300" s="13"/>
      <c r="J300" s="21">
        <f>IF(H$12=0,0,H300/H$12)</f>
        <v>0.27048281251394168</v>
      </c>
      <c r="K300" s="15"/>
      <c r="L300" s="22">
        <f>+D300-H300</f>
        <v>-1248962.0299999977</v>
      </c>
      <c r="M300" s="15"/>
      <c r="N300" s="21">
        <f>IF(H300=0,0,L300/H300)</f>
        <v>-1.15185734573934</v>
      </c>
      <c r="O300" s="26"/>
      <c r="P300" s="22">
        <f>+P188-P190+P287</f>
        <v>-473122.69000000024</v>
      </c>
      <c r="Q300" s="13"/>
      <c r="R300" s="21">
        <f>IF(P$12=0,0,P300/P$12)</f>
        <v>-0.13202084380511978</v>
      </c>
      <c r="S300" s="13"/>
      <c r="T300" s="22">
        <f>+T188-T190+T287</f>
        <v>1001613.6799999971</v>
      </c>
      <c r="U300" s="13"/>
      <c r="V300" s="21">
        <f>IF(T$12=0,0,T300/T$12)</f>
        <v>0.10289873784751247</v>
      </c>
      <c r="W300" s="15"/>
      <c r="X300" s="22">
        <f>+P300-T300</f>
        <v>-1474736.3699999973</v>
      </c>
      <c r="Y300" s="15"/>
      <c r="Z300" s="21">
        <f>IF(T300=0,0,X300/T300)</f>
        <v>-1.4723604513868076</v>
      </c>
    </row>
    <row r="301" spans="1:26" x14ac:dyDescent="0.25">
      <c r="A301" s="9"/>
      <c r="B301" s="10"/>
      <c r="C301" s="9"/>
      <c r="D301" s="3"/>
      <c r="E301" s="3"/>
      <c r="F301" s="8"/>
      <c r="G301" s="3"/>
      <c r="H301" s="3"/>
      <c r="I301" s="3"/>
      <c r="J301" s="8"/>
      <c r="K301" s="3"/>
      <c r="L301" s="3"/>
      <c r="M301" s="3"/>
      <c r="N301" s="8"/>
      <c r="P301" s="3"/>
      <c r="Q301" s="3"/>
      <c r="R301" s="8"/>
      <c r="S301" s="3"/>
      <c r="T301" s="3"/>
      <c r="U301" s="3"/>
      <c r="V301" s="8"/>
      <c r="W301" s="3"/>
      <c r="X301" s="3"/>
      <c r="Y301" s="3"/>
      <c r="Z301" s="8"/>
    </row>
    <row r="302" spans="1:26" s="23" customFormat="1" x14ac:dyDescent="0.25">
      <c r="A302" s="51"/>
      <c r="B302" s="10" t="s">
        <v>13</v>
      </c>
      <c r="C302" s="10"/>
      <c r="D302" s="4">
        <v>210081.47999999998</v>
      </c>
      <c r="E302" s="4"/>
      <c r="F302" s="12">
        <f>IF(D$12=0,0,D302/D$12)</f>
        <v>0.23451919900871229</v>
      </c>
      <c r="G302" s="4"/>
      <c r="H302" s="4">
        <v>331728.94</v>
      </c>
      <c r="I302" s="4"/>
      <c r="J302" s="12">
        <f>IF(H$12=0,0,H302/H$12)</f>
        <v>8.2750856087943678E-2</v>
      </c>
      <c r="K302" s="4"/>
      <c r="L302" s="4">
        <f>+D302-H302</f>
        <v>-121647.46000000002</v>
      </c>
      <c r="M302" s="4"/>
      <c r="N302" s="12">
        <f>IF(H302=0,0,L302/H302)</f>
        <v>-0.36670740876572305</v>
      </c>
      <c r="O302" s="10"/>
      <c r="P302" s="4">
        <v>663897.74</v>
      </c>
      <c r="Q302" s="4"/>
      <c r="R302" s="12">
        <f>IF(P$12=0,0,P302/P$12)</f>
        <v>0.18525499133240045</v>
      </c>
      <c r="S302" s="4"/>
      <c r="T302" s="4">
        <v>1045557.7999999999</v>
      </c>
      <c r="U302" s="4"/>
      <c r="V302" s="12">
        <f>IF(T$12=0,0,T302/T$12)</f>
        <v>0.10741324735762611</v>
      </c>
      <c r="W302" s="4"/>
      <c r="X302" s="4">
        <f>+P302-T302</f>
        <v>-381660.05999999994</v>
      </c>
      <c r="Y302" s="4"/>
      <c r="Z302" s="12">
        <f>IF(T302=0,0,X302/T302)</f>
        <v>-0.36503009207142822</v>
      </c>
    </row>
    <row r="303" spans="1:26" x14ac:dyDescent="0.25">
      <c r="A303" s="9"/>
      <c r="B303" s="10"/>
      <c r="C303" s="10"/>
      <c r="D303" s="3"/>
      <c r="E303" s="3"/>
      <c r="F303" s="8"/>
      <c r="G303" s="3"/>
      <c r="H303" s="3"/>
      <c r="I303" s="3"/>
      <c r="J303" s="8"/>
      <c r="K303" s="3"/>
      <c r="L303" s="3"/>
      <c r="M303" s="3"/>
      <c r="N303" s="8"/>
      <c r="O303" s="10"/>
      <c r="P303" s="3"/>
      <c r="Q303" s="3"/>
      <c r="R303" s="8"/>
      <c r="S303" s="3"/>
      <c r="T303" s="3"/>
      <c r="U303" s="3"/>
      <c r="V303" s="8"/>
      <c r="W303" s="3"/>
      <c r="X303" s="3"/>
      <c r="Y303" s="3"/>
      <c r="Z303" s="8"/>
    </row>
    <row r="304" spans="1:26" s="23" customFormat="1" ht="15.75" thickBot="1" x14ac:dyDescent="0.3">
      <c r="A304" s="10"/>
      <c r="B304" s="25" t="s">
        <v>4</v>
      </c>
      <c r="C304" s="25"/>
      <c r="D304" s="33">
        <f>+D300-D302</f>
        <v>-374740.80999999971</v>
      </c>
      <c r="E304" s="13"/>
      <c r="F304" s="32">
        <f>IF(D$12=0,0,D304/D$12)</f>
        <v>-0.41833251839750929</v>
      </c>
      <c r="G304" s="13"/>
      <c r="H304" s="33">
        <f>+H300-H302</f>
        <v>752573.75999999815</v>
      </c>
      <c r="I304" s="13"/>
      <c r="J304" s="32">
        <f>IF(H$12=0,0,H304/H$12)</f>
        <v>0.18773195642599802</v>
      </c>
      <c r="K304" s="15"/>
      <c r="L304" s="33">
        <f>D304-H304</f>
        <v>-1127314.569999998</v>
      </c>
      <c r="M304" s="15"/>
      <c r="N304" s="32">
        <f>IF(H304=0,0,L304/H304)</f>
        <v>-1.4979456232967792</v>
      </c>
      <c r="O304" s="26"/>
      <c r="P304" s="33">
        <f>+P300-P302</f>
        <v>-1137020.4300000002</v>
      </c>
      <c r="Q304" s="13"/>
      <c r="R304" s="32">
        <f>IF(P$12=0,0,P304/P$12)</f>
        <v>-0.31727583513752022</v>
      </c>
      <c r="S304" s="13"/>
      <c r="T304" s="33">
        <f>+T300-T302</f>
        <v>-43944.120000002789</v>
      </c>
      <c r="U304" s="13"/>
      <c r="V304" s="32">
        <f>IF(T$12=0,0,T304/T$12)</f>
        <v>-4.5145095101136491E-3</v>
      </c>
      <c r="W304" s="15"/>
      <c r="X304" s="33">
        <f>P304-T304</f>
        <v>-1093076.3099999973</v>
      </c>
      <c r="Y304" s="15"/>
      <c r="Z304" s="32">
        <f>IF(T304=0,0,X304/T304)</f>
        <v>24.874233685870326</v>
      </c>
    </row>
    <row r="305" spans="1:26" ht="15.75" thickTop="1" x14ac:dyDescent="0.25">
      <c r="A305" s="9"/>
      <c r="B305" s="9"/>
      <c r="C305" s="9"/>
      <c r="D305" s="3"/>
      <c r="E305" s="3"/>
      <c r="F305" s="8"/>
      <c r="G305" s="3"/>
      <c r="H305" s="3"/>
      <c r="I305" s="3"/>
      <c r="J305" s="8"/>
      <c r="K305" s="3"/>
      <c r="L305" s="3"/>
      <c r="M305" s="3"/>
      <c r="N305" s="8"/>
      <c r="P305" s="3"/>
      <c r="Q305" s="3"/>
      <c r="R305" s="8"/>
      <c r="S305" s="3"/>
      <c r="T305" s="3"/>
      <c r="U305" s="3"/>
      <c r="V305" s="8"/>
      <c r="W305" s="3"/>
      <c r="X305" s="3"/>
      <c r="Y305" s="3"/>
      <c r="Z305" s="8"/>
    </row>
    <row r="306" spans="1:26" s="23" customFormat="1" x14ac:dyDescent="0.25">
      <c r="A306" s="51"/>
      <c r="B306" s="10" t="s">
        <v>2</v>
      </c>
      <c r="C306" s="10"/>
      <c r="D306" s="4">
        <f>-231583.65</f>
        <v>-231583.65</v>
      </c>
      <c r="E306" s="4"/>
      <c r="F306" s="12">
        <f t="shared" ref="F306:F307" si="162">IF(D$12=0,0,D306/D$12)</f>
        <v>-0.25852260799721127</v>
      </c>
      <c r="G306" s="4"/>
      <c r="H306" s="4">
        <f>--83075.9</f>
        <v>83075.899999999994</v>
      </c>
      <c r="I306" s="4"/>
      <c r="J306" s="12">
        <f t="shared" ref="J306:J307" si="163">IF(H$12=0,0,H306/H$12)</f>
        <v>2.0723551720499271E-2</v>
      </c>
      <c r="K306" s="4"/>
      <c r="L306" s="4">
        <f t="shared" ref="L306:L307" si="164">+D306-H306</f>
        <v>-314659.55</v>
      </c>
      <c r="M306" s="4"/>
      <c r="N306" s="12">
        <f t="shared" ref="N306:N307" si="165">IF(H306=0,0,L306/H306)</f>
        <v>-3.7876153011884313</v>
      </c>
      <c r="O306" s="10"/>
      <c r="P306" s="4">
        <f>--719759.06</f>
        <v>719759.06</v>
      </c>
      <c r="Q306" s="4"/>
      <c r="R306" s="12">
        <f t="shared" ref="R306:R307" si="166">IF(P$12=0,0,P306/P$12)</f>
        <v>0.2008426153427133</v>
      </c>
      <c r="S306" s="4"/>
      <c r="T306" s="4">
        <f>-97529.91</f>
        <v>-97529.91</v>
      </c>
      <c r="U306" s="4"/>
      <c r="V306" s="12">
        <f t="shared" ref="V306:V307" si="167">IF(T$12=0,0,T306/T$12)</f>
        <v>-1.001953631601908E-2</v>
      </c>
      <c r="W306" s="4"/>
      <c r="X306" s="4">
        <f t="shared" ref="X306:X307" si="168">+P306-T306</f>
        <v>817288.97000000009</v>
      </c>
      <c r="Y306" s="4"/>
      <c r="Z306" s="12">
        <f t="shared" ref="Z306:Z307" si="169">IF(T306=0,0,X306/T306)</f>
        <v>-8.379880284930028</v>
      </c>
    </row>
    <row r="307" spans="1:26" s="23" customFormat="1" x14ac:dyDescent="0.25">
      <c r="A307" s="51"/>
      <c r="B307" s="10" t="s">
        <v>1</v>
      </c>
      <c r="C307" s="10"/>
      <c r="D307" s="4">
        <f>--23302.32</f>
        <v>23302.32</v>
      </c>
      <c r="E307" s="4"/>
      <c r="F307" s="12">
        <f t="shared" si="162"/>
        <v>2.6012961358824666E-2</v>
      </c>
      <c r="G307" s="4"/>
      <c r="H307" s="4">
        <f>--19950.21</f>
        <v>19950.21</v>
      </c>
      <c r="I307" s="4"/>
      <c r="J307" s="12">
        <f t="shared" si="163"/>
        <v>4.9766443549792636E-3</v>
      </c>
      <c r="K307" s="4"/>
      <c r="L307" s="4">
        <f t="shared" si="164"/>
        <v>3352.1100000000006</v>
      </c>
      <c r="M307" s="4"/>
      <c r="N307" s="12">
        <f t="shared" si="165"/>
        <v>0.16802379523824565</v>
      </c>
      <c r="O307" s="10"/>
      <c r="P307" s="4">
        <f>-33260.96</f>
        <v>-33260.959999999999</v>
      </c>
      <c r="Q307" s="4"/>
      <c r="R307" s="12">
        <f t="shared" si="166"/>
        <v>-9.2811866726754001E-3</v>
      </c>
      <c r="S307" s="4"/>
      <c r="T307" s="4">
        <f>--51771.16</f>
        <v>51771.16</v>
      </c>
      <c r="U307" s="4"/>
      <c r="V307" s="12">
        <f t="shared" si="167"/>
        <v>5.3186044951998249E-3</v>
      </c>
      <c r="W307" s="4"/>
      <c r="X307" s="4">
        <f t="shared" si="168"/>
        <v>-85032.12</v>
      </c>
      <c r="Y307" s="4"/>
      <c r="Z307" s="12">
        <f t="shared" si="169"/>
        <v>-1.642461169500548</v>
      </c>
    </row>
    <row r="308" spans="1:26" x14ac:dyDescent="0.25">
      <c r="A308" s="9"/>
      <c r="B308" s="9"/>
      <c r="C308" s="9"/>
      <c r="D308" s="3"/>
      <c r="E308" s="3"/>
      <c r="F308" s="8"/>
      <c r="G308" s="3"/>
      <c r="H308" s="3"/>
      <c r="I308" s="3"/>
      <c r="J308" s="8"/>
      <c r="K308" s="3"/>
      <c r="L308" s="3"/>
      <c r="M308" s="3"/>
      <c r="N308" s="8"/>
      <c r="P308" s="3"/>
      <c r="Q308" s="3"/>
      <c r="R308" s="8"/>
      <c r="S308" s="3"/>
      <c r="T308" s="3"/>
      <c r="U308" s="3"/>
      <c r="V308" s="8"/>
      <c r="W308" s="3"/>
      <c r="X308" s="3"/>
      <c r="Y308" s="3"/>
      <c r="Z308" s="8"/>
    </row>
    <row r="309" spans="1:26" s="23" customFormat="1" ht="15.75" thickBot="1" x14ac:dyDescent="0.3">
      <c r="A309" s="10"/>
      <c r="B309" s="25" t="s">
        <v>5</v>
      </c>
      <c r="C309" s="25"/>
      <c r="D309" s="34">
        <f>SUM(D304:D308)</f>
        <v>-583022.13999999978</v>
      </c>
      <c r="E309" s="13"/>
      <c r="F309" s="31">
        <f>IF(D$12=0,0,D309/D$12)</f>
        <v>-0.65084216503589598</v>
      </c>
      <c r="G309" s="13"/>
      <c r="H309" s="34">
        <f>SUM(H304:H308)</f>
        <v>855599.86999999813</v>
      </c>
      <c r="I309" s="13"/>
      <c r="J309" s="31">
        <f>IF(H$12=0,0,H309/H$12)</f>
        <v>0.21343215250147654</v>
      </c>
      <c r="K309" s="15"/>
      <c r="L309" s="34">
        <f>+D309-H309</f>
        <v>-1438622.0099999979</v>
      </c>
      <c r="M309" s="15"/>
      <c r="N309" s="31">
        <f>IF(H309=0,0,L309/H309)</f>
        <v>-1.6814191544933277</v>
      </c>
      <c r="O309" s="26"/>
      <c r="P309" s="34">
        <f>SUM(P304:P308)</f>
        <v>-450522.33000000013</v>
      </c>
      <c r="Q309" s="13"/>
      <c r="R309" s="31">
        <f>IF(P$12=0,0,P309/P$12)</f>
        <v>-0.12571440646748228</v>
      </c>
      <c r="S309" s="13"/>
      <c r="T309" s="34">
        <f>SUM(T304:T308)</f>
        <v>-89702.870000002789</v>
      </c>
      <c r="U309" s="13"/>
      <c r="V309" s="31">
        <f>IF(T$12=0,0,T309/T$12)</f>
        <v>-9.2154413309329039E-3</v>
      </c>
      <c r="W309" s="15"/>
      <c r="X309" s="34">
        <f>+P309-T309</f>
        <v>-360819.45999999734</v>
      </c>
      <c r="Y309" s="15"/>
      <c r="Z309" s="31">
        <f>IF(T309=0,0,X309/T309)</f>
        <v>4.0223847910327297</v>
      </c>
    </row>
    <row r="310" spans="1:26" ht="15.75" thickTop="1" x14ac:dyDescent="0.25">
      <c r="A310" s="9"/>
      <c r="C310" s="9"/>
      <c r="D310" s="18"/>
      <c r="E310" s="18"/>
      <c r="G310" s="18"/>
      <c r="H310" s="18"/>
      <c r="I310" s="18"/>
      <c r="J310" s="42"/>
      <c r="K310" s="18"/>
      <c r="L310" s="18"/>
      <c r="M310" s="18"/>
      <c r="P310" s="18"/>
      <c r="Q310" s="18"/>
      <c r="R310" s="42"/>
      <c r="S310" s="18"/>
      <c r="T310" s="18"/>
      <c r="U310" s="18"/>
      <c r="V310" s="42"/>
      <c r="W310" s="18"/>
      <c r="X310" s="18"/>
    </row>
    <row r="311" spans="1:26" x14ac:dyDescent="0.25">
      <c r="A311" s="9"/>
      <c r="B311" s="54">
        <v>44123.564504201386</v>
      </c>
      <c r="D311" s="18"/>
      <c r="E311" s="18"/>
      <c r="G311" s="18"/>
      <c r="H311" s="18"/>
      <c r="I311" s="18"/>
      <c r="J311" s="42"/>
      <c r="K311" s="18"/>
      <c r="L311" s="18"/>
      <c r="M311" s="18"/>
      <c r="P311" s="18"/>
      <c r="Q311" s="18"/>
      <c r="R311" s="42"/>
      <c r="S311" s="18"/>
      <c r="T311" s="18"/>
      <c r="U311" s="18"/>
      <c r="V311" s="42"/>
      <c r="W311" s="18"/>
      <c r="X311" s="18"/>
    </row>
    <row r="312" spans="1:26" x14ac:dyDescent="0.25">
      <c r="A312" s="9"/>
      <c r="B312" s="59" t="s">
        <v>313</v>
      </c>
      <c r="D312" s="18"/>
      <c r="E312" s="18"/>
      <c r="G312" s="18"/>
      <c r="H312" s="18"/>
      <c r="I312" s="18"/>
      <c r="J312" s="42"/>
      <c r="K312" s="18"/>
      <c r="L312" s="18"/>
      <c r="M312" s="18"/>
      <c r="P312" s="18"/>
      <c r="Q312" s="18"/>
      <c r="R312" s="42"/>
      <c r="S312" s="18"/>
      <c r="T312" s="18"/>
      <c r="U312" s="18"/>
      <c r="V312" s="42"/>
      <c r="W312" s="18"/>
      <c r="X312" s="18"/>
    </row>
    <row r="313" spans="1:26" x14ac:dyDescent="0.25">
      <c r="A313" s="9"/>
      <c r="B313" s="58"/>
      <c r="D313" s="18"/>
      <c r="E313" s="18"/>
      <c r="G313" s="18"/>
      <c r="H313" s="18"/>
      <c r="I313" s="18"/>
      <c r="J313" s="42"/>
      <c r="K313" s="18"/>
      <c r="L313" s="18"/>
      <c r="M313" s="18"/>
      <c r="P313" s="18"/>
      <c r="Q313" s="18"/>
      <c r="R313" s="42"/>
      <c r="S313" s="18"/>
      <c r="T313" s="18"/>
      <c r="U313" s="18"/>
      <c r="V313" s="42"/>
      <c r="W313" s="18"/>
      <c r="X313" s="18"/>
    </row>
    <row r="314" spans="1:26" x14ac:dyDescent="0.25">
      <c r="D314" s="18"/>
      <c r="E314" s="18"/>
      <c r="G314" s="18"/>
      <c r="H314" s="18"/>
      <c r="I314" s="18"/>
      <c r="J314" s="42"/>
      <c r="K314" s="18"/>
      <c r="L314" s="18"/>
      <c r="M314" s="18"/>
      <c r="P314" s="18"/>
      <c r="Q314" s="18"/>
      <c r="R314" s="42"/>
      <c r="S314" s="18"/>
      <c r="T314" s="18"/>
      <c r="U314" s="18"/>
      <c r="V314" s="42"/>
      <c r="W314" s="18"/>
      <c r="X314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60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6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2">
        <f>IF(D$12=0,0,D26/D$12)</f>
        <v>0</v>
      </c>
      <c r="G26" s="13"/>
      <c r="H26" s="33">
        <f>+H22-H24</f>
        <v>0</v>
      </c>
      <c r="I26" s="13"/>
      <c r="J26" s="32">
        <f>IF(H$12=0,0,H26/H$12)</f>
        <v>0</v>
      </c>
      <c r="K26" s="15"/>
      <c r="L26" s="33">
        <f>D26-H26</f>
        <v>0</v>
      </c>
      <c r="M26" s="15"/>
      <c r="N26" s="32">
        <f>IF(H26=0,0,L26/H26)</f>
        <v>0</v>
      </c>
      <c r="O26" s="26"/>
      <c r="P26" s="33">
        <f>+P22-P24</f>
        <v>0</v>
      </c>
      <c r="Q26" s="13"/>
      <c r="R26" s="32">
        <f>IF(P$12=0,0,P26/P$12)</f>
        <v>0</v>
      </c>
      <c r="S26" s="13"/>
      <c r="T26" s="33">
        <f>+T22-T24</f>
        <v>0</v>
      </c>
      <c r="U26" s="13"/>
      <c r="V26" s="32">
        <f>IF(T$12=0,0,T26/T$12)</f>
        <v>0</v>
      </c>
      <c r="W26" s="15"/>
      <c r="X26" s="33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-231583.65</f>
        <v>-231583.65</v>
      </c>
      <c r="E28" s="4"/>
      <c r="F28" s="12">
        <f t="shared" ref="F28:F29" si="0">IF(D$12=0,0,D28/D$12)</f>
        <v>0</v>
      </c>
      <c r="G28" s="4"/>
      <c r="H28" s="4">
        <f>--83075.9</f>
        <v>83075.899999999994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-314659.55</v>
      </c>
      <c r="M28" s="4"/>
      <c r="N28" s="12">
        <f t="shared" ref="N28:N29" si="3">IF(H28=0,0,L28/H28)</f>
        <v>-3.7876153011884313</v>
      </c>
      <c r="O28" s="10"/>
      <c r="P28" s="4">
        <f>--719759.06</f>
        <v>719759.06</v>
      </c>
      <c r="Q28" s="4"/>
      <c r="R28" s="12">
        <f t="shared" ref="R28:R29" si="4">IF(P$12=0,0,P28/P$12)</f>
        <v>0</v>
      </c>
      <c r="S28" s="4"/>
      <c r="T28" s="4">
        <f>-97529.91</f>
        <v>-97529.91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817288.97000000009</v>
      </c>
      <c r="Y28" s="4"/>
      <c r="Z28" s="12">
        <f t="shared" ref="Z28:Z29" si="7">IF(T28=0,0,X28/T28)</f>
        <v>-8.379880284930028</v>
      </c>
    </row>
    <row r="29" spans="1:26" s="23" customFormat="1" x14ac:dyDescent="0.25">
      <c r="A29" s="51"/>
      <c r="B29" s="10" t="s">
        <v>1</v>
      </c>
      <c r="C29" s="10"/>
      <c r="D29" s="4">
        <f>--23302.32</f>
        <v>23302.32</v>
      </c>
      <c r="E29" s="4"/>
      <c r="F29" s="12">
        <f t="shared" si="0"/>
        <v>0</v>
      </c>
      <c r="G29" s="4"/>
      <c r="H29" s="4">
        <f>--19950.21</f>
        <v>19950.21</v>
      </c>
      <c r="I29" s="4"/>
      <c r="J29" s="12">
        <f t="shared" si="1"/>
        <v>0</v>
      </c>
      <c r="K29" s="4"/>
      <c r="L29" s="4">
        <f t="shared" si="2"/>
        <v>3352.1100000000006</v>
      </c>
      <c r="M29" s="4"/>
      <c r="N29" s="12">
        <f t="shared" si="3"/>
        <v>0.16802379523824565</v>
      </c>
      <c r="O29" s="10"/>
      <c r="P29" s="4">
        <f>-33260.96</f>
        <v>-33260.959999999999</v>
      </c>
      <c r="Q29" s="4"/>
      <c r="R29" s="12">
        <f t="shared" si="4"/>
        <v>0</v>
      </c>
      <c r="S29" s="4"/>
      <c r="T29" s="4">
        <f>--51771.16</f>
        <v>51771.16</v>
      </c>
      <c r="U29" s="4"/>
      <c r="V29" s="12">
        <f t="shared" si="5"/>
        <v>0</v>
      </c>
      <c r="W29" s="4"/>
      <c r="X29" s="4">
        <f t="shared" si="6"/>
        <v>-85032.12</v>
      </c>
      <c r="Y29" s="4"/>
      <c r="Z29" s="12">
        <f t="shared" si="7"/>
        <v>-1.642461169500548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4">
        <f>SUM(D26:D30)</f>
        <v>-208281.33</v>
      </c>
      <c r="E31" s="13"/>
      <c r="F31" s="31">
        <f>IF(D$12=0,0,D31/D$12)</f>
        <v>0</v>
      </c>
      <c r="G31" s="13"/>
      <c r="H31" s="34">
        <f>SUM(H26:H30)</f>
        <v>103026.10999999999</v>
      </c>
      <c r="I31" s="13"/>
      <c r="J31" s="31">
        <f>IF(H$12=0,0,H31/H$12)</f>
        <v>0</v>
      </c>
      <c r="K31" s="15"/>
      <c r="L31" s="34">
        <f>+D31-H31</f>
        <v>-311307.43999999994</v>
      </c>
      <c r="M31" s="15"/>
      <c r="N31" s="31">
        <f>IF(H31=0,0,L31/H31)</f>
        <v>-3.0216363599479781</v>
      </c>
      <c r="O31" s="26"/>
      <c r="P31" s="34">
        <f>SUM(P26:P30)</f>
        <v>686498.10000000009</v>
      </c>
      <c r="Q31" s="13"/>
      <c r="R31" s="31">
        <f>IF(P$12=0,0,P31/P$12)</f>
        <v>0</v>
      </c>
      <c r="S31" s="13"/>
      <c r="T31" s="34">
        <f>SUM(T26:T30)</f>
        <v>-45758.75</v>
      </c>
      <c r="U31" s="13"/>
      <c r="V31" s="31">
        <f>IF(T$12=0,0,T31/T$12)</f>
        <v>0</v>
      </c>
      <c r="W31" s="15"/>
      <c r="X31" s="34">
        <f>+P31-T31</f>
        <v>732256.85000000009</v>
      </c>
      <c r="Y31" s="15"/>
      <c r="Z31" s="31">
        <f>IF(T31=0,0,X31/T31)</f>
        <v>-16.002553609965311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4">
        <v>44123.564952002314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9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210081.48</v>
      </c>
      <c r="E18" s="20"/>
      <c r="F18" s="36">
        <f t="shared" ref="F18:F30" si="0">IF(D$12=0,0,D18/D$12)</f>
        <v>0</v>
      </c>
      <c r="G18" s="20"/>
      <c r="H18" s="20">
        <f>SUM(OSRRefH22x_0)</f>
        <v>331728.94</v>
      </c>
      <c r="I18" s="20"/>
      <c r="J18" s="36">
        <f t="shared" ref="J18:J30" si="1">IF(H$12=0,0,H18/H$12)</f>
        <v>0</v>
      </c>
      <c r="K18" s="4"/>
      <c r="L18" s="20">
        <f t="shared" ref="L18:L30" si="2">+D18-H18</f>
        <v>-121647.45999999999</v>
      </c>
      <c r="M18" s="4"/>
      <c r="N18" s="36">
        <f t="shared" ref="N18:N30" si="3">IF(H18=0,0,L18/H18)</f>
        <v>-0.366707408765723</v>
      </c>
      <c r="O18" s="10"/>
      <c r="P18" s="20">
        <f>SUM(OSRRefP22x_0)</f>
        <v>663897.74</v>
      </c>
      <c r="Q18" s="20"/>
      <c r="R18" s="36">
        <f t="shared" ref="R18:R30" si="4">IF(P$12=0,0,P18/P$12)</f>
        <v>0</v>
      </c>
      <c r="S18" s="20"/>
      <c r="T18" s="20">
        <f>SUM(OSRRefT22x_0)</f>
        <v>1045557.8000000003</v>
      </c>
      <c r="U18" s="20"/>
      <c r="V18" s="36">
        <f t="shared" ref="V18:V30" si="5">IF(T$12=0,0,T18/T$12)</f>
        <v>0</v>
      </c>
      <c r="W18" s="4"/>
      <c r="X18" s="20">
        <f t="shared" ref="X18:X30" si="6">+P18-T18</f>
        <v>-381660.06000000029</v>
      </c>
      <c r="Y18" s="4"/>
      <c r="Z18" s="36">
        <f t="shared" ref="Z18:Z30" si="7">IF(T18=0,0,X18/T18)</f>
        <v>-0.36503009207142845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81783.600000000006</v>
      </c>
      <c r="E19" s="1"/>
      <c r="F19" s="5">
        <f t="shared" si="0"/>
        <v>0</v>
      </c>
      <c r="G19" s="1"/>
      <c r="H19" s="1">
        <f>SUM(OSRRefH22_0x_0)</f>
        <v>97769.17</v>
      </c>
      <c r="I19" s="1"/>
      <c r="J19" s="5">
        <f t="shared" si="1"/>
        <v>0</v>
      </c>
      <c r="K19" s="1"/>
      <c r="L19" s="1">
        <f t="shared" si="2"/>
        <v>-15985.569999999992</v>
      </c>
      <c r="M19" s="1"/>
      <c r="N19" s="5">
        <f t="shared" si="3"/>
        <v>-0.16350317794454011</v>
      </c>
      <c r="O19" s="14"/>
      <c r="P19" s="1">
        <f>SUM(OSRRefP22_0x_0)</f>
        <v>246577.50999999998</v>
      </c>
      <c r="Q19" s="1"/>
      <c r="R19" s="5">
        <f t="shared" si="4"/>
        <v>0</v>
      </c>
      <c r="S19" s="1"/>
      <c r="T19" s="1">
        <f>SUM(OSRRefT22_0x_0)</f>
        <v>287283.41000000003</v>
      </c>
      <c r="U19" s="1"/>
      <c r="V19" s="5">
        <f t="shared" si="5"/>
        <v>0</v>
      </c>
      <c r="W19" s="1"/>
      <c r="X19" s="1">
        <f t="shared" si="6"/>
        <v>-40705.900000000052</v>
      </c>
      <c r="Y19" s="1"/>
      <c r="Z19" s="5">
        <f t="shared" si="7"/>
        <v>-0.14169248408740362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7199.68</v>
      </c>
      <c r="E20" s="2"/>
      <c r="F20" s="6">
        <f t="shared" si="0"/>
        <v>0</v>
      </c>
      <c r="G20" s="2"/>
      <c r="H20" s="7">
        <v>7944.9</v>
      </c>
      <c r="I20" s="2"/>
      <c r="J20" s="6">
        <f t="shared" si="1"/>
        <v>0</v>
      </c>
      <c r="K20" s="2"/>
      <c r="L20" s="7">
        <f t="shared" si="2"/>
        <v>-745.21999999999935</v>
      </c>
      <c r="M20" s="2"/>
      <c r="N20" s="6">
        <f t="shared" si="3"/>
        <v>-9.3798537426525108E-2</v>
      </c>
      <c r="O20" s="11"/>
      <c r="P20" s="7">
        <v>21975.070000000003</v>
      </c>
      <c r="Q20" s="2"/>
      <c r="R20" s="6">
        <f t="shared" si="4"/>
        <v>0</v>
      </c>
      <c r="S20" s="2"/>
      <c r="T20" s="7">
        <v>26890.91</v>
      </c>
      <c r="U20" s="2"/>
      <c r="V20" s="6">
        <f t="shared" si="5"/>
        <v>0</v>
      </c>
      <c r="W20" s="2"/>
      <c r="X20" s="7">
        <f t="shared" si="6"/>
        <v>-4915.8399999999965</v>
      </c>
      <c r="Y20" s="2"/>
      <c r="Z20" s="6">
        <f t="shared" si="7"/>
        <v>-0.18280675514514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596.41</v>
      </c>
      <c r="E21" s="2"/>
      <c r="F21" s="6">
        <f t="shared" si="0"/>
        <v>0</v>
      </c>
      <c r="G21" s="2"/>
      <c r="H21" s="7">
        <v>701.22</v>
      </c>
      <c r="I21" s="2"/>
      <c r="J21" s="6">
        <f t="shared" si="1"/>
        <v>0</v>
      </c>
      <c r="K21" s="2"/>
      <c r="L21" s="7">
        <f t="shared" si="2"/>
        <v>-104.81000000000006</v>
      </c>
      <c r="M21" s="2"/>
      <c r="N21" s="6">
        <f t="shared" si="3"/>
        <v>-0.14946806993525577</v>
      </c>
      <c r="O21" s="11"/>
      <c r="P21" s="7">
        <v>1788.7</v>
      </c>
      <c r="Q21" s="2"/>
      <c r="R21" s="6">
        <f t="shared" si="4"/>
        <v>0</v>
      </c>
      <c r="S21" s="2"/>
      <c r="T21" s="7">
        <v>2102.29</v>
      </c>
      <c r="U21" s="2"/>
      <c r="V21" s="6">
        <f t="shared" si="5"/>
        <v>0</v>
      </c>
      <c r="W21" s="2"/>
      <c r="X21" s="7">
        <f t="shared" si="6"/>
        <v>-313.58999999999992</v>
      </c>
      <c r="Y21" s="2"/>
      <c r="Z21" s="6">
        <f t="shared" si="7"/>
        <v>-0.14916590955577011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22694.37</v>
      </c>
      <c r="E22" s="2"/>
      <c r="F22" s="6">
        <f t="shared" si="0"/>
        <v>0</v>
      </c>
      <c r="G22" s="2"/>
      <c r="H22" s="7">
        <v>22318.809999999998</v>
      </c>
      <c r="I22" s="2"/>
      <c r="J22" s="6">
        <f t="shared" si="1"/>
        <v>0</v>
      </c>
      <c r="K22" s="2"/>
      <c r="L22" s="7">
        <f t="shared" si="2"/>
        <v>375.56000000000131</v>
      </c>
      <c r="M22" s="2"/>
      <c r="N22" s="6">
        <f t="shared" si="3"/>
        <v>1.6827062016299316E-2</v>
      </c>
      <c r="O22" s="11"/>
      <c r="P22" s="7">
        <v>67977.789999999994</v>
      </c>
      <c r="Q22" s="2"/>
      <c r="R22" s="6">
        <f t="shared" si="4"/>
        <v>0</v>
      </c>
      <c r="S22" s="2"/>
      <c r="T22" s="7">
        <v>68360.53</v>
      </c>
      <c r="U22" s="2"/>
      <c r="V22" s="6">
        <f t="shared" si="5"/>
        <v>0</v>
      </c>
      <c r="W22" s="2"/>
      <c r="X22" s="7">
        <f t="shared" si="6"/>
        <v>-382.74000000000524</v>
      </c>
      <c r="Y22" s="2"/>
      <c r="Z22" s="6">
        <f t="shared" si="7"/>
        <v>-5.5988448304892489E-3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255.2</v>
      </c>
      <c r="E23" s="2"/>
      <c r="F23" s="6">
        <f t="shared" si="0"/>
        <v>0</v>
      </c>
      <c r="G23" s="2"/>
      <c r="H23" s="7">
        <v>332.94</v>
      </c>
      <c r="I23" s="2"/>
      <c r="J23" s="6">
        <f t="shared" si="1"/>
        <v>0</v>
      </c>
      <c r="K23" s="2"/>
      <c r="L23" s="7">
        <f t="shared" si="2"/>
        <v>-77.740000000000009</v>
      </c>
      <c r="M23" s="2"/>
      <c r="N23" s="6">
        <f t="shared" si="3"/>
        <v>-0.23349552471916865</v>
      </c>
      <c r="O23" s="11"/>
      <c r="P23" s="7">
        <v>763.34</v>
      </c>
      <c r="Q23" s="2"/>
      <c r="R23" s="6">
        <f t="shared" si="4"/>
        <v>0</v>
      </c>
      <c r="S23" s="2"/>
      <c r="T23" s="7">
        <v>982.28</v>
      </c>
      <c r="U23" s="2"/>
      <c r="V23" s="6">
        <f t="shared" si="5"/>
        <v>0</v>
      </c>
      <c r="W23" s="2"/>
      <c r="X23" s="7">
        <f t="shared" si="6"/>
        <v>-218.93999999999994</v>
      </c>
      <c r="Y23" s="2"/>
      <c r="Z23" s="6">
        <f t="shared" si="7"/>
        <v>-0.22288960377896316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7443.75</v>
      </c>
      <c r="E24" s="2"/>
      <c r="F24" s="6">
        <f t="shared" si="0"/>
        <v>0</v>
      </c>
      <c r="G24" s="2"/>
      <c r="H24" s="7">
        <v>8345.31</v>
      </c>
      <c r="I24" s="2"/>
      <c r="J24" s="6">
        <f t="shared" si="1"/>
        <v>0</v>
      </c>
      <c r="K24" s="2"/>
      <c r="L24" s="7">
        <f t="shared" si="2"/>
        <v>-901.55999999999949</v>
      </c>
      <c r="M24" s="2"/>
      <c r="N24" s="6">
        <f t="shared" si="3"/>
        <v>-0.1080319365008609</v>
      </c>
      <c r="O24" s="11"/>
      <c r="P24" s="7">
        <v>26053.14</v>
      </c>
      <c r="Q24" s="2"/>
      <c r="R24" s="6">
        <f t="shared" si="4"/>
        <v>0</v>
      </c>
      <c r="S24" s="2"/>
      <c r="T24" s="7">
        <v>24478.27</v>
      </c>
      <c r="U24" s="2"/>
      <c r="V24" s="6">
        <f t="shared" si="5"/>
        <v>0</v>
      </c>
      <c r="W24" s="2"/>
      <c r="X24" s="7">
        <f t="shared" si="6"/>
        <v>1574.869999999999</v>
      </c>
      <c r="Y24" s="2"/>
      <c r="Z24" s="6">
        <f t="shared" si="7"/>
        <v>6.4337471561511456E-2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1971.94</v>
      </c>
      <c r="I25" s="2"/>
      <c r="J25" s="6">
        <f t="shared" si="1"/>
        <v>0</v>
      </c>
      <c r="K25" s="2"/>
      <c r="L25" s="7">
        <f t="shared" si="2"/>
        <v>-1971.94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1971.94</v>
      </c>
      <c r="U25" s="2"/>
      <c r="V25" s="6">
        <f t="shared" si="5"/>
        <v>0</v>
      </c>
      <c r="W25" s="2"/>
      <c r="X25" s="7">
        <f t="shared" si="6"/>
        <v>-1971.94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808.78</v>
      </c>
      <c r="E26" s="2"/>
      <c r="F26" s="6">
        <f t="shared" si="0"/>
        <v>0</v>
      </c>
      <c r="G26" s="2"/>
      <c r="H26" s="7">
        <v>1194.0999999999999</v>
      </c>
      <c r="I26" s="2"/>
      <c r="J26" s="6">
        <f t="shared" si="1"/>
        <v>0</v>
      </c>
      <c r="K26" s="2"/>
      <c r="L26" s="7">
        <f t="shared" si="2"/>
        <v>-385.31999999999994</v>
      </c>
      <c r="M26" s="2"/>
      <c r="N26" s="6">
        <f t="shared" si="3"/>
        <v>-0.32268654216564774</v>
      </c>
      <c r="O26" s="11"/>
      <c r="P26" s="7">
        <v>2664.29</v>
      </c>
      <c r="Q26" s="2"/>
      <c r="R26" s="6">
        <f t="shared" si="4"/>
        <v>0</v>
      </c>
      <c r="S26" s="2"/>
      <c r="T26" s="7">
        <v>2634.87</v>
      </c>
      <c r="U26" s="2"/>
      <c r="V26" s="6">
        <f t="shared" si="5"/>
        <v>0</v>
      </c>
      <c r="W26" s="2"/>
      <c r="X26" s="7">
        <f t="shared" si="6"/>
        <v>29.420000000000073</v>
      </c>
      <c r="Y26" s="2"/>
      <c r="Z26" s="6">
        <f t="shared" si="7"/>
        <v>1.1165636255299151E-2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6480.55</v>
      </c>
      <c r="E27" s="2"/>
      <c r="F27" s="6">
        <f t="shared" si="0"/>
        <v>0</v>
      </c>
      <c r="G27" s="2"/>
      <c r="H27" s="7">
        <v>8862.1</v>
      </c>
      <c r="I27" s="2"/>
      <c r="J27" s="6">
        <f t="shared" si="1"/>
        <v>0</v>
      </c>
      <c r="K27" s="2"/>
      <c r="L27" s="7">
        <f t="shared" si="2"/>
        <v>-2381.5500000000002</v>
      </c>
      <c r="M27" s="2"/>
      <c r="N27" s="6">
        <f t="shared" si="3"/>
        <v>-0.26873427291499757</v>
      </c>
      <c r="O27" s="11"/>
      <c r="P27" s="7">
        <v>18619.09</v>
      </c>
      <c r="Q27" s="2"/>
      <c r="R27" s="6">
        <f t="shared" si="4"/>
        <v>0</v>
      </c>
      <c r="S27" s="2"/>
      <c r="T27" s="7">
        <v>31385.75</v>
      </c>
      <c r="U27" s="2"/>
      <c r="V27" s="6">
        <f t="shared" si="5"/>
        <v>0</v>
      </c>
      <c r="W27" s="2"/>
      <c r="X27" s="7">
        <f t="shared" si="6"/>
        <v>-12766.66</v>
      </c>
      <c r="Y27" s="2"/>
      <c r="Z27" s="6">
        <f t="shared" si="7"/>
        <v>-0.40676612794022765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4158.5</v>
      </c>
      <c r="E28" s="2"/>
      <c r="F28" s="6">
        <f t="shared" si="0"/>
        <v>0</v>
      </c>
      <c r="G28" s="2"/>
      <c r="H28" s="7">
        <v>13176.97</v>
      </c>
      <c r="I28" s="2"/>
      <c r="J28" s="6">
        <f t="shared" si="1"/>
        <v>0</v>
      </c>
      <c r="K28" s="2"/>
      <c r="L28" s="7">
        <f t="shared" si="2"/>
        <v>-9018.4699999999993</v>
      </c>
      <c r="M28" s="2"/>
      <c r="N28" s="6">
        <f t="shared" si="3"/>
        <v>-0.68441151493856323</v>
      </c>
      <c r="O28" s="11"/>
      <c r="P28" s="7">
        <v>12475.5</v>
      </c>
      <c r="Q28" s="2"/>
      <c r="R28" s="6">
        <f t="shared" si="4"/>
        <v>0</v>
      </c>
      <c r="S28" s="2"/>
      <c r="T28" s="7">
        <v>32988.590000000004</v>
      </c>
      <c r="U28" s="2"/>
      <c r="V28" s="6">
        <f t="shared" si="5"/>
        <v>0</v>
      </c>
      <c r="W28" s="2"/>
      <c r="X28" s="7">
        <f t="shared" si="6"/>
        <v>-20513.090000000004</v>
      </c>
      <c r="Y28" s="2"/>
      <c r="Z28" s="6">
        <f t="shared" si="7"/>
        <v>-0.62182378816433204</v>
      </c>
    </row>
    <row r="29" spans="1:26" s="24" customFormat="1" hidden="1" outlineLevel="2" x14ac:dyDescent="0.25">
      <c r="A29" s="28"/>
      <c r="B29" s="11" t="str">
        <f>CONCATENATE("          ", "6120", " - ", "RETIREES HEALTH INSURANCE")</f>
        <v xml:space="preserve">          6120 - RETIREES HEALTH INSURANCE</v>
      </c>
      <c r="C29" s="11"/>
      <c r="D29" s="7">
        <v>31087.670000000002</v>
      </c>
      <c r="E29" s="2"/>
      <c r="F29" s="6">
        <f t="shared" si="0"/>
        <v>0</v>
      </c>
      <c r="G29" s="2"/>
      <c r="H29" s="7">
        <v>30468.499999999996</v>
      </c>
      <c r="I29" s="2"/>
      <c r="J29" s="6">
        <f t="shared" si="1"/>
        <v>0</v>
      </c>
      <c r="K29" s="2"/>
      <c r="L29" s="7">
        <f t="shared" si="2"/>
        <v>619.17000000000553</v>
      </c>
      <c r="M29" s="2"/>
      <c r="N29" s="6">
        <f t="shared" si="3"/>
        <v>2.0321643664768716E-2</v>
      </c>
      <c r="O29" s="11"/>
      <c r="P29" s="7">
        <v>91763.010000000009</v>
      </c>
      <c r="Q29" s="2"/>
      <c r="R29" s="6">
        <f t="shared" si="4"/>
        <v>0</v>
      </c>
      <c r="S29" s="2"/>
      <c r="T29" s="7">
        <v>88296.639999999999</v>
      </c>
      <c r="U29" s="2"/>
      <c r="V29" s="6">
        <f t="shared" si="5"/>
        <v>0</v>
      </c>
      <c r="W29" s="2"/>
      <c r="X29" s="7">
        <f t="shared" si="6"/>
        <v>3466.3700000000099</v>
      </c>
      <c r="Y29" s="2"/>
      <c r="Z29" s="6">
        <f t="shared" si="7"/>
        <v>3.925823224983431E-2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7">
        <v>1058.69</v>
      </c>
      <c r="E30" s="2"/>
      <c r="F30" s="6">
        <f t="shared" si="0"/>
        <v>0</v>
      </c>
      <c r="G30" s="2"/>
      <c r="H30" s="7">
        <v>2452.38</v>
      </c>
      <c r="I30" s="2"/>
      <c r="J30" s="6">
        <f t="shared" si="1"/>
        <v>0</v>
      </c>
      <c r="K30" s="2"/>
      <c r="L30" s="7">
        <f t="shared" si="2"/>
        <v>-1393.69</v>
      </c>
      <c r="M30" s="2"/>
      <c r="N30" s="6">
        <f t="shared" si="3"/>
        <v>-0.56830099739844564</v>
      </c>
      <c r="O30" s="11"/>
      <c r="P30" s="7">
        <v>2497.58</v>
      </c>
      <c r="Q30" s="2"/>
      <c r="R30" s="6">
        <f t="shared" si="4"/>
        <v>0</v>
      </c>
      <c r="S30" s="2"/>
      <c r="T30" s="7">
        <v>7191.34</v>
      </c>
      <c r="U30" s="2"/>
      <c r="V30" s="6">
        <f t="shared" si="5"/>
        <v>0</v>
      </c>
      <c r="W30" s="2"/>
      <c r="X30" s="7">
        <f t="shared" si="6"/>
        <v>-4693.76</v>
      </c>
      <c r="Y30" s="2"/>
      <c r="Z30" s="6">
        <f t="shared" si="7"/>
        <v>-0.65269615954745575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94176.3</v>
      </c>
      <c r="E31" s="1"/>
      <c r="F31" s="5">
        <f t="shared" ref="F31:F38" si="8">IF(D$12=0,0,D31/D$12)</f>
        <v>0</v>
      </c>
      <c r="G31" s="1"/>
      <c r="H31" s="1">
        <f>SUM(OSRRefH22_1x_0)</f>
        <v>103127.95000000001</v>
      </c>
      <c r="I31" s="1"/>
      <c r="J31" s="5">
        <f t="shared" ref="J31:J38" si="9">IF(H$12=0,0,H31/H$12)</f>
        <v>0</v>
      </c>
      <c r="K31" s="1"/>
      <c r="L31" s="1">
        <f t="shared" ref="L31:L38" si="10">+D31-H31</f>
        <v>-8951.6500000000087</v>
      </c>
      <c r="M31" s="1"/>
      <c r="N31" s="5">
        <f t="shared" ref="N31:N38" si="11">IF(H31=0,0,L31/H31)</f>
        <v>-8.6801395741891579E-2</v>
      </c>
      <c r="O31" s="14"/>
      <c r="P31" s="1">
        <f>SUM(OSRRefP22_1x_0)</f>
        <v>297797.2</v>
      </c>
      <c r="Q31" s="1"/>
      <c r="R31" s="5">
        <f t="shared" ref="R31:R38" si="12">IF(P$12=0,0,P31/P$12)</f>
        <v>0</v>
      </c>
      <c r="S31" s="1"/>
      <c r="T31" s="1">
        <f>SUM(OSRRefT22_1x_0)</f>
        <v>360753.74</v>
      </c>
      <c r="U31" s="1"/>
      <c r="V31" s="5">
        <f t="shared" ref="V31:V38" si="13">IF(T$12=0,0,T31/T$12)</f>
        <v>0</v>
      </c>
      <c r="W31" s="1"/>
      <c r="X31" s="1">
        <f t="shared" ref="X31:X38" si="14">+P31-T31</f>
        <v>-62956.539999999979</v>
      </c>
      <c r="Y31" s="1"/>
      <c r="Z31" s="5">
        <f t="shared" ref="Z31:Z38" si="15">IF(T31=0,0,X31/T31)</f>
        <v>-0.17451389415948945</v>
      </c>
    </row>
    <row r="32" spans="1:26" s="24" customFormat="1" hidden="1" outlineLevel="2" x14ac:dyDescent="0.25">
      <c r="A32" s="28"/>
      <c r="B32" s="11" t="str">
        <f>CONCATENATE("          ", "6001", " - ", "ADMINISTRATIVE SALARIES")</f>
        <v xml:space="preserve">          6001 - ADMINISTRATIVE SALARIES</v>
      </c>
      <c r="C32" s="11"/>
      <c r="D32" s="7">
        <v>22550.76</v>
      </c>
      <c r="E32" s="2"/>
      <c r="F32" s="6">
        <f t="shared" si="8"/>
        <v>0</v>
      </c>
      <c r="G32" s="2"/>
      <c r="H32" s="7">
        <v>14580.08</v>
      </c>
      <c r="I32" s="2"/>
      <c r="J32" s="6">
        <f t="shared" si="9"/>
        <v>0</v>
      </c>
      <c r="K32" s="2"/>
      <c r="L32" s="7">
        <f t="shared" si="10"/>
        <v>7970.6799999999985</v>
      </c>
      <c r="M32" s="2"/>
      <c r="N32" s="6">
        <f t="shared" si="11"/>
        <v>0.54668287142457372</v>
      </c>
      <c r="O32" s="11"/>
      <c r="P32" s="7">
        <v>72105.53</v>
      </c>
      <c r="Q32" s="2"/>
      <c r="R32" s="6">
        <f t="shared" si="12"/>
        <v>0</v>
      </c>
      <c r="S32" s="2"/>
      <c r="T32" s="7">
        <v>83523.490000000005</v>
      </c>
      <c r="U32" s="2"/>
      <c r="V32" s="6">
        <f t="shared" si="13"/>
        <v>0</v>
      </c>
      <c r="W32" s="2"/>
      <c r="X32" s="7">
        <f t="shared" si="14"/>
        <v>-11417.960000000006</v>
      </c>
      <c r="Y32" s="2"/>
      <c r="Z32" s="6">
        <f t="shared" si="15"/>
        <v>-0.13670357883752229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46779.08</v>
      </c>
      <c r="E33" s="2"/>
      <c r="F33" s="6">
        <f t="shared" si="8"/>
        <v>0</v>
      </c>
      <c r="G33" s="2"/>
      <c r="H33" s="7">
        <v>45134.74</v>
      </c>
      <c r="I33" s="2"/>
      <c r="J33" s="6">
        <f t="shared" si="9"/>
        <v>0</v>
      </c>
      <c r="K33" s="2"/>
      <c r="L33" s="7">
        <f t="shared" si="10"/>
        <v>1644.3400000000038</v>
      </c>
      <c r="M33" s="2"/>
      <c r="N33" s="6">
        <f t="shared" si="11"/>
        <v>3.6431803971840843E-2</v>
      </c>
      <c r="O33" s="11"/>
      <c r="P33" s="7">
        <v>144563.49</v>
      </c>
      <c r="Q33" s="2"/>
      <c r="R33" s="6">
        <f t="shared" si="12"/>
        <v>0</v>
      </c>
      <c r="S33" s="2"/>
      <c r="T33" s="7">
        <v>138380.83000000002</v>
      </c>
      <c r="U33" s="2"/>
      <c r="V33" s="6">
        <f t="shared" si="13"/>
        <v>0</v>
      </c>
      <c r="W33" s="2"/>
      <c r="X33" s="7">
        <f t="shared" si="14"/>
        <v>6182.6599999999744</v>
      </c>
      <c r="Y33" s="2"/>
      <c r="Z33" s="6">
        <f t="shared" si="15"/>
        <v>4.4678587344793158E-2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>
        <v>17369.990000000002</v>
      </c>
      <c r="E34" s="2"/>
      <c r="F34" s="6">
        <f t="shared" si="8"/>
        <v>0</v>
      </c>
      <c r="G34" s="2"/>
      <c r="H34" s="7">
        <v>20525.670000000002</v>
      </c>
      <c r="I34" s="2"/>
      <c r="J34" s="6">
        <f t="shared" si="9"/>
        <v>0</v>
      </c>
      <c r="K34" s="2"/>
      <c r="L34" s="7">
        <f t="shared" si="10"/>
        <v>-3155.6800000000003</v>
      </c>
      <c r="M34" s="2"/>
      <c r="N34" s="6">
        <f t="shared" si="11"/>
        <v>-0.15374309340450276</v>
      </c>
      <c r="O34" s="11"/>
      <c r="P34" s="7">
        <v>53248.88</v>
      </c>
      <c r="Q34" s="2"/>
      <c r="R34" s="6">
        <f t="shared" si="12"/>
        <v>0</v>
      </c>
      <c r="S34" s="2"/>
      <c r="T34" s="7">
        <v>61551.810000000005</v>
      </c>
      <c r="U34" s="2"/>
      <c r="V34" s="6">
        <f t="shared" si="13"/>
        <v>0</v>
      </c>
      <c r="W34" s="2"/>
      <c r="X34" s="7">
        <f t="shared" si="14"/>
        <v>-8302.9300000000076</v>
      </c>
      <c r="Y34" s="2"/>
      <c r="Z34" s="6">
        <f t="shared" si="15"/>
        <v>-0.13489335244568773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>
        <v>6074.61</v>
      </c>
      <c r="E35" s="2"/>
      <c r="F35" s="6">
        <f t="shared" si="8"/>
        <v>0</v>
      </c>
      <c r="G35" s="2"/>
      <c r="H35" s="7">
        <v>9262.5</v>
      </c>
      <c r="I35" s="2"/>
      <c r="J35" s="6">
        <f t="shared" si="9"/>
        <v>0</v>
      </c>
      <c r="K35" s="2"/>
      <c r="L35" s="7">
        <f t="shared" si="10"/>
        <v>-3187.8900000000003</v>
      </c>
      <c r="M35" s="2"/>
      <c r="N35" s="6">
        <f t="shared" si="11"/>
        <v>-0.34417165991902837</v>
      </c>
      <c r="O35" s="11"/>
      <c r="P35" s="7">
        <v>17714.689999999999</v>
      </c>
      <c r="Q35" s="2"/>
      <c r="R35" s="6">
        <f t="shared" si="12"/>
        <v>0</v>
      </c>
      <c r="S35" s="2"/>
      <c r="T35" s="7">
        <v>27799.18</v>
      </c>
      <c r="U35" s="2"/>
      <c r="V35" s="6">
        <f t="shared" si="13"/>
        <v>0</v>
      </c>
      <c r="W35" s="2"/>
      <c r="X35" s="7">
        <f t="shared" si="14"/>
        <v>-10084.490000000002</v>
      </c>
      <c r="Y35" s="2"/>
      <c r="Z35" s="6">
        <f t="shared" si="15"/>
        <v>-0.36276213902712245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8"/>
        <v>0</v>
      </c>
      <c r="G36" s="2"/>
      <c r="H36" s="7">
        <v>498.75</v>
      </c>
      <c r="I36" s="2"/>
      <c r="J36" s="6">
        <f t="shared" si="9"/>
        <v>0</v>
      </c>
      <c r="K36" s="2"/>
      <c r="L36" s="7">
        <f t="shared" si="10"/>
        <v>-498.75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2361.4299999999998</v>
      </c>
      <c r="U36" s="2"/>
      <c r="V36" s="6">
        <f t="shared" si="13"/>
        <v>0</v>
      </c>
      <c r="W36" s="2"/>
      <c r="X36" s="7">
        <f t="shared" si="14"/>
        <v>-2361.4299999999998</v>
      </c>
      <c r="Y36" s="2"/>
      <c r="Z36" s="6">
        <f t="shared" si="15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>
        <v>231.39</v>
      </c>
      <c r="E37" s="2"/>
      <c r="F37" s="6">
        <f t="shared" si="8"/>
        <v>0</v>
      </c>
      <c r="G37" s="2"/>
      <c r="H37" s="7">
        <v>11631.83</v>
      </c>
      <c r="I37" s="2"/>
      <c r="J37" s="6">
        <f t="shared" si="9"/>
        <v>0</v>
      </c>
      <c r="K37" s="2"/>
      <c r="L37" s="7">
        <f t="shared" si="10"/>
        <v>-11400.44</v>
      </c>
      <c r="M37" s="2"/>
      <c r="N37" s="6">
        <f t="shared" si="11"/>
        <v>-0.98010717144249881</v>
      </c>
      <c r="O37" s="11"/>
      <c r="P37" s="7">
        <v>5955.28</v>
      </c>
      <c r="Q37" s="2"/>
      <c r="R37" s="6">
        <f t="shared" si="12"/>
        <v>0</v>
      </c>
      <c r="S37" s="2"/>
      <c r="T37" s="7">
        <v>42159.43</v>
      </c>
      <c r="U37" s="2"/>
      <c r="V37" s="6">
        <f t="shared" si="13"/>
        <v>0</v>
      </c>
      <c r="W37" s="2"/>
      <c r="X37" s="7">
        <f t="shared" si="14"/>
        <v>-36204.15</v>
      </c>
      <c r="Y37" s="2"/>
      <c r="Z37" s="6">
        <f t="shared" si="15"/>
        <v>-0.85874382077746314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>
        <v>1170.47</v>
      </c>
      <c r="E38" s="2"/>
      <c r="F38" s="6">
        <f t="shared" si="8"/>
        <v>0</v>
      </c>
      <c r="G38" s="2"/>
      <c r="H38" s="7">
        <v>1494.38</v>
      </c>
      <c r="I38" s="2"/>
      <c r="J38" s="6">
        <f t="shared" si="9"/>
        <v>0</v>
      </c>
      <c r="K38" s="2"/>
      <c r="L38" s="7">
        <f t="shared" si="10"/>
        <v>-323.91000000000008</v>
      </c>
      <c r="M38" s="2"/>
      <c r="N38" s="6">
        <f t="shared" si="11"/>
        <v>-0.21675209785998212</v>
      </c>
      <c r="O38" s="11"/>
      <c r="P38" s="7">
        <v>4209.33</v>
      </c>
      <c r="Q38" s="2"/>
      <c r="R38" s="6">
        <f t="shared" si="12"/>
        <v>0</v>
      </c>
      <c r="S38" s="2"/>
      <c r="T38" s="7">
        <v>4977.57</v>
      </c>
      <c r="U38" s="2"/>
      <c r="V38" s="6">
        <f t="shared" si="13"/>
        <v>0</v>
      </c>
      <c r="W38" s="2"/>
      <c r="X38" s="7">
        <f t="shared" si="14"/>
        <v>-768.23999999999978</v>
      </c>
      <c r="Y38" s="2"/>
      <c r="Z38" s="6">
        <f t="shared" si="15"/>
        <v>-0.15434037090387476</v>
      </c>
    </row>
    <row r="39" spans="1:26" s="27" customFormat="1" outlineLevel="1" collapsed="1" x14ac:dyDescent="0.25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178.16</v>
      </c>
      <c r="E39" s="1"/>
      <c r="F39" s="5">
        <f t="shared" ref="F39:F55" si="16">IF(D$12=0,0,D39/D$12)</f>
        <v>0</v>
      </c>
      <c r="G39" s="1"/>
      <c r="H39" s="1">
        <f>SUM(OSRRefH22_2x_0)</f>
        <v>-445.73</v>
      </c>
      <c r="I39" s="1"/>
      <c r="J39" s="5">
        <f t="shared" ref="J39:J55" si="17">IF(H$12=0,0,H39/H$12)</f>
        <v>0</v>
      </c>
      <c r="K39" s="1"/>
      <c r="L39" s="1">
        <f t="shared" ref="L39:L55" si="18">+D39-H39</f>
        <v>623.89</v>
      </c>
      <c r="M39" s="1"/>
      <c r="N39" s="5">
        <f t="shared" ref="N39:N55" si="19">IF(H39=0,0,L39/H39)</f>
        <v>-1.3997038565947995</v>
      </c>
      <c r="O39" s="14"/>
      <c r="P39" s="1">
        <f>SUM(OSRRefP22_2x_0)</f>
        <v>413.22</v>
      </c>
      <c r="Q39" s="1"/>
      <c r="R39" s="5">
        <f t="shared" ref="R39:R55" si="20">IF(P$12=0,0,P39/P$12)</f>
        <v>0</v>
      </c>
      <c r="S39" s="1"/>
      <c r="T39" s="1">
        <f>SUM(OSRRefT22_2x_0)</f>
        <v>-2404.3200000000002</v>
      </c>
      <c r="U39" s="1"/>
      <c r="V39" s="5">
        <f t="shared" ref="V39:V55" si="21">IF(T$12=0,0,T39/T$12)</f>
        <v>0</v>
      </c>
      <c r="W39" s="1"/>
      <c r="X39" s="1">
        <f t="shared" ref="X39:X55" si="22">+P39-T39</f>
        <v>2817.54</v>
      </c>
      <c r="Y39" s="1"/>
      <c r="Z39" s="5">
        <f t="shared" ref="Z39:Z55" si="23">IF(T39=0,0,X39/T39)</f>
        <v>-1.1718656418446796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7">
        <v>178.16</v>
      </c>
      <c r="E40" s="2"/>
      <c r="F40" s="6">
        <f t="shared" si="16"/>
        <v>0</v>
      </c>
      <c r="G40" s="2"/>
      <c r="H40" s="7">
        <v>-445.73</v>
      </c>
      <c r="I40" s="2"/>
      <c r="J40" s="6">
        <f t="shared" si="17"/>
        <v>0</v>
      </c>
      <c r="K40" s="2"/>
      <c r="L40" s="7">
        <f t="shared" si="18"/>
        <v>623.89</v>
      </c>
      <c r="M40" s="2"/>
      <c r="N40" s="6">
        <f t="shared" si="19"/>
        <v>-1.3997038565947995</v>
      </c>
      <c r="O40" s="11"/>
      <c r="P40" s="7">
        <v>413.22</v>
      </c>
      <c r="Q40" s="2"/>
      <c r="R40" s="6">
        <f t="shared" si="20"/>
        <v>0</v>
      </c>
      <c r="S40" s="2"/>
      <c r="T40" s="7">
        <v>-2404.3200000000002</v>
      </c>
      <c r="U40" s="2"/>
      <c r="V40" s="6">
        <f t="shared" si="21"/>
        <v>0</v>
      </c>
      <c r="W40" s="2"/>
      <c r="X40" s="7">
        <f t="shared" si="22"/>
        <v>2817.54</v>
      </c>
      <c r="Y40" s="2"/>
      <c r="Z40" s="6">
        <f t="shared" si="23"/>
        <v>-1.1718656418446796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SUM(OSRRefD22_3x_0)</f>
        <v>7</v>
      </c>
      <c r="E41" s="1"/>
      <c r="F41" s="5">
        <f t="shared" si="16"/>
        <v>0</v>
      </c>
      <c r="G41" s="1"/>
      <c r="H41" s="1">
        <f>SUM(OSRRefH22_3x_0)</f>
        <v>3165.08</v>
      </c>
      <c r="I41" s="1"/>
      <c r="J41" s="5">
        <f t="shared" si="17"/>
        <v>0</v>
      </c>
      <c r="K41" s="1"/>
      <c r="L41" s="1">
        <f t="shared" si="18"/>
        <v>-3158.08</v>
      </c>
      <c r="M41" s="1"/>
      <c r="N41" s="5">
        <f t="shared" si="19"/>
        <v>-0.99778836553894368</v>
      </c>
      <c r="O41" s="14"/>
      <c r="P41" s="1">
        <f>SUM(OSRRefP22_3x_0)</f>
        <v>937.98</v>
      </c>
      <c r="Q41" s="1"/>
      <c r="R41" s="5">
        <f t="shared" si="20"/>
        <v>0</v>
      </c>
      <c r="S41" s="1"/>
      <c r="T41" s="1">
        <f>SUM(OSRRefT22_3x_0)</f>
        <v>6603.12</v>
      </c>
      <c r="U41" s="1"/>
      <c r="V41" s="5">
        <f t="shared" si="21"/>
        <v>0</v>
      </c>
      <c r="W41" s="1"/>
      <c r="X41" s="1">
        <f t="shared" si="22"/>
        <v>-5665.1399999999994</v>
      </c>
      <c r="Y41" s="1"/>
      <c r="Z41" s="5">
        <f t="shared" si="23"/>
        <v>-0.85794896957801758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>
        <v>7</v>
      </c>
      <c r="E42" s="2"/>
      <c r="F42" s="6">
        <f t="shared" si="16"/>
        <v>0</v>
      </c>
      <c r="G42" s="2"/>
      <c r="H42" s="7">
        <v>3165.08</v>
      </c>
      <c r="I42" s="2"/>
      <c r="J42" s="6">
        <f t="shared" si="17"/>
        <v>0</v>
      </c>
      <c r="K42" s="2"/>
      <c r="L42" s="7">
        <f t="shared" si="18"/>
        <v>-3158.08</v>
      </c>
      <c r="M42" s="2"/>
      <c r="N42" s="6">
        <f t="shared" si="19"/>
        <v>-0.99778836553894368</v>
      </c>
      <c r="O42" s="11"/>
      <c r="P42" s="7">
        <v>937.98</v>
      </c>
      <c r="Q42" s="2"/>
      <c r="R42" s="6">
        <f t="shared" si="20"/>
        <v>0</v>
      </c>
      <c r="S42" s="2"/>
      <c r="T42" s="7">
        <v>6603.12</v>
      </c>
      <c r="U42" s="2"/>
      <c r="V42" s="6">
        <f t="shared" si="21"/>
        <v>0</v>
      </c>
      <c r="W42" s="2"/>
      <c r="X42" s="7">
        <f t="shared" si="22"/>
        <v>-5665.1399999999994</v>
      </c>
      <c r="Y42" s="2"/>
      <c r="Z42" s="6">
        <f t="shared" si="23"/>
        <v>-0.85794896957801758</v>
      </c>
    </row>
    <row r="43" spans="1:26" s="27" customFormat="1" outlineLevel="1" collapsed="1" x14ac:dyDescent="0.25">
      <c r="A43" s="29"/>
      <c r="B43" s="14" t="str">
        <f>CONCATENATE("     ","Board                                             ")</f>
        <v xml:space="preserve">     Board                                             </v>
      </c>
      <c r="C43" s="14"/>
      <c r="D43" s="1">
        <f>SUM(OSRRefD22_4x_0)</f>
        <v>833.04</v>
      </c>
      <c r="E43" s="1"/>
      <c r="F43" s="5">
        <f t="shared" si="16"/>
        <v>0</v>
      </c>
      <c r="G43" s="1"/>
      <c r="H43" s="1">
        <f>SUM(OSRRefH22_4x_0)</f>
        <v>3527.11</v>
      </c>
      <c r="I43" s="1"/>
      <c r="J43" s="5">
        <f t="shared" si="17"/>
        <v>0</v>
      </c>
      <c r="K43" s="1"/>
      <c r="L43" s="1">
        <f t="shared" si="18"/>
        <v>-2694.07</v>
      </c>
      <c r="M43" s="1"/>
      <c r="N43" s="5">
        <f t="shared" si="19"/>
        <v>-0.76381796995273754</v>
      </c>
      <c r="O43" s="14"/>
      <c r="P43" s="1">
        <f>SUM(OSRRefP22_4x_0)</f>
        <v>5970.84</v>
      </c>
      <c r="Q43" s="1"/>
      <c r="R43" s="5">
        <f t="shared" si="20"/>
        <v>0</v>
      </c>
      <c r="S43" s="1"/>
      <c r="T43" s="1">
        <f>SUM(OSRRefT22_4x_0)</f>
        <v>8441.7900000000009</v>
      </c>
      <c r="U43" s="1"/>
      <c r="V43" s="5">
        <f t="shared" si="21"/>
        <v>0</v>
      </c>
      <c r="W43" s="1"/>
      <c r="X43" s="1">
        <f t="shared" si="22"/>
        <v>-2470.9500000000007</v>
      </c>
      <c r="Y43" s="1"/>
      <c r="Z43" s="5">
        <f t="shared" si="23"/>
        <v>-0.29270450935168968</v>
      </c>
    </row>
    <row r="44" spans="1:26" s="24" customFormat="1" hidden="1" outlineLevel="2" x14ac:dyDescent="0.25">
      <c r="A44" s="28"/>
      <c r="B44" s="11" t="str">
        <f>CONCATENATE("          ", "6397", " - ", "BOARD EXPENSES")</f>
        <v xml:space="preserve">          6397 - BOARD EXPENSES</v>
      </c>
      <c r="C44" s="11"/>
      <c r="D44" s="7">
        <v>833.04</v>
      </c>
      <c r="E44" s="2"/>
      <c r="F44" s="6">
        <f t="shared" si="16"/>
        <v>0</v>
      </c>
      <c r="G44" s="2"/>
      <c r="H44" s="7">
        <v>3527.11</v>
      </c>
      <c r="I44" s="2"/>
      <c r="J44" s="6">
        <f t="shared" si="17"/>
        <v>0</v>
      </c>
      <c r="K44" s="2"/>
      <c r="L44" s="7">
        <f t="shared" si="18"/>
        <v>-2694.07</v>
      </c>
      <c r="M44" s="2"/>
      <c r="N44" s="6">
        <f t="shared" si="19"/>
        <v>-0.76381796995273754</v>
      </c>
      <c r="O44" s="11"/>
      <c r="P44" s="7">
        <v>5970.84</v>
      </c>
      <c r="Q44" s="2"/>
      <c r="R44" s="6">
        <f t="shared" si="20"/>
        <v>0</v>
      </c>
      <c r="S44" s="2"/>
      <c r="T44" s="7">
        <v>8441.7900000000009</v>
      </c>
      <c r="U44" s="2"/>
      <c r="V44" s="6">
        <f t="shared" si="21"/>
        <v>0</v>
      </c>
      <c r="W44" s="2"/>
      <c r="X44" s="7">
        <f t="shared" si="22"/>
        <v>-2470.9500000000007</v>
      </c>
      <c r="Y44" s="2"/>
      <c r="Z44" s="6">
        <f t="shared" si="23"/>
        <v>-0.29270450935168968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7607.15</v>
      </c>
      <c r="E45" s="1"/>
      <c r="F45" s="5">
        <f t="shared" si="16"/>
        <v>0</v>
      </c>
      <c r="G45" s="1"/>
      <c r="H45" s="1">
        <f>SUM(OSRRefH22_5x_0)</f>
        <v>8599.93</v>
      </c>
      <c r="I45" s="1"/>
      <c r="J45" s="5">
        <f t="shared" si="17"/>
        <v>0</v>
      </c>
      <c r="K45" s="1"/>
      <c r="L45" s="1">
        <f t="shared" si="18"/>
        <v>-992.78000000000065</v>
      </c>
      <c r="M45" s="1"/>
      <c r="N45" s="5">
        <f t="shared" si="19"/>
        <v>-0.11544047451549032</v>
      </c>
      <c r="O45" s="14"/>
      <c r="P45" s="1">
        <f>SUM(OSRRefP22_5x_0)</f>
        <v>22821.47</v>
      </c>
      <c r="Q45" s="1"/>
      <c r="R45" s="5">
        <f t="shared" si="20"/>
        <v>0</v>
      </c>
      <c r="S45" s="1"/>
      <c r="T45" s="1">
        <f>SUM(OSRRefT22_5x_0)</f>
        <v>25799.79</v>
      </c>
      <c r="U45" s="1"/>
      <c r="V45" s="5">
        <f t="shared" si="21"/>
        <v>0</v>
      </c>
      <c r="W45" s="1"/>
      <c r="X45" s="1">
        <f t="shared" si="22"/>
        <v>-2978.3199999999997</v>
      </c>
      <c r="Y45" s="1"/>
      <c r="Z45" s="5">
        <f t="shared" si="23"/>
        <v>-0.11543969931538201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7607.15</v>
      </c>
      <c r="E46" s="2"/>
      <c r="F46" s="6">
        <f t="shared" si="16"/>
        <v>0</v>
      </c>
      <c r="G46" s="2"/>
      <c r="H46" s="7">
        <v>8599.93</v>
      </c>
      <c r="I46" s="2"/>
      <c r="J46" s="6">
        <f t="shared" si="17"/>
        <v>0</v>
      </c>
      <c r="K46" s="2"/>
      <c r="L46" s="7">
        <f t="shared" si="18"/>
        <v>-992.78000000000065</v>
      </c>
      <c r="M46" s="2"/>
      <c r="N46" s="6">
        <f t="shared" si="19"/>
        <v>-0.11544047451549032</v>
      </c>
      <c r="O46" s="11"/>
      <c r="P46" s="7">
        <v>22821.47</v>
      </c>
      <c r="Q46" s="2"/>
      <c r="R46" s="6">
        <f t="shared" si="20"/>
        <v>0</v>
      </c>
      <c r="S46" s="2"/>
      <c r="T46" s="7">
        <v>25799.79</v>
      </c>
      <c r="U46" s="2"/>
      <c r="V46" s="6">
        <f t="shared" si="21"/>
        <v>0</v>
      </c>
      <c r="W46" s="2"/>
      <c r="X46" s="7">
        <f t="shared" si="22"/>
        <v>-2978.3199999999997</v>
      </c>
      <c r="Y46" s="2"/>
      <c r="Z46" s="6">
        <f t="shared" si="23"/>
        <v>-0.11543969931538201</v>
      </c>
    </row>
    <row r="47" spans="1:26" s="27" customFormat="1" outlineLevel="1" collapsed="1" x14ac:dyDescent="0.25">
      <c r="A47" s="29"/>
      <c r="B47" s="14" t="str">
        <f>CONCATENATE("     ","Donations                                         ")</f>
        <v xml:space="preserve">     Donations                                         </v>
      </c>
      <c r="C47" s="14"/>
      <c r="D47" s="1">
        <f>SUM(OSRRefD22_6x_0)</f>
        <v>0</v>
      </c>
      <c r="E47" s="1"/>
      <c r="F47" s="5">
        <f t="shared" si="16"/>
        <v>0</v>
      </c>
      <c r="G47" s="1"/>
      <c r="H47" s="1">
        <f>SUM(OSRRefH22_6x_0)</f>
        <v>27575</v>
      </c>
      <c r="I47" s="1"/>
      <c r="J47" s="5">
        <f t="shared" si="17"/>
        <v>0</v>
      </c>
      <c r="K47" s="1"/>
      <c r="L47" s="1">
        <f t="shared" si="18"/>
        <v>-27575</v>
      </c>
      <c r="M47" s="1"/>
      <c r="N47" s="5">
        <f t="shared" si="19"/>
        <v>-1</v>
      </c>
      <c r="O47" s="14"/>
      <c r="P47" s="1">
        <f>SUM(OSRRefP22_6x_0)</f>
        <v>0</v>
      </c>
      <c r="Q47" s="1"/>
      <c r="R47" s="5">
        <f t="shared" si="20"/>
        <v>0</v>
      </c>
      <c r="S47" s="1"/>
      <c r="T47" s="1">
        <f>SUM(OSRRefT22_6x_0)</f>
        <v>139243.59999999998</v>
      </c>
      <c r="U47" s="1"/>
      <c r="V47" s="5">
        <f t="shared" si="21"/>
        <v>0</v>
      </c>
      <c r="W47" s="1"/>
      <c r="X47" s="1">
        <f t="shared" si="22"/>
        <v>-139243.59999999998</v>
      </c>
      <c r="Y47" s="1"/>
      <c r="Z47" s="5">
        <f t="shared" si="23"/>
        <v>-1</v>
      </c>
    </row>
    <row r="48" spans="1:26" s="24" customFormat="1" hidden="1" outlineLevel="2" x14ac:dyDescent="0.25">
      <c r="A48" s="28"/>
      <c r="B48" s="11" t="str">
        <f>CONCATENATE("          ", "6399", " - ", "DONATION-ON CAMPUS")</f>
        <v xml:space="preserve">          6399 - DONATION-ON CAMPUS</v>
      </c>
      <c r="C48" s="11"/>
      <c r="D48" s="7"/>
      <c r="E48" s="2"/>
      <c r="F48" s="6">
        <f t="shared" si="16"/>
        <v>0</v>
      </c>
      <c r="G48" s="2"/>
      <c r="H48" s="7">
        <v>27575</v>
      </c>
      <c r="I48" s="2"/>
      <c r="J48" s="6">
        <f t="shared" si="17"/>
        <v>0</v>
      </c>
      <c r="K48" s="2"/>
      <c r="L48" s="7">
        <f t="shared" si="18"/>
        <v>-27575</v>
      </c>
      <c r="M48" s="2"/>
      <c r="N48" s="6">
        <f t="shared" si="19"/>
        <v>-1</v>
      </c>
      <c r="O48" s="11"/>
      <c r="P48" s="7"/>
      <c r="Q48" s="2"/>
      <c r="R48" s="6">
        <f t="shared" si="20"/>
        <v>0</v>
      </c>
      <c r="S48" s="2"/>
      <c r="T48" s="7">
        <v>139243.59999999998</v>
      </c>
      <c r="U48" s="2"/>
      <c r="V48" s="6">
        <f t="shared" si="21"/>
        <v>0</v>
      </c>
      <c r="W48" s="2"/>
      <c r="X48" s="7">
        <f t="shared" si="22"/>
        <v>-139243.59999999998</v>
      </c>
      <c r="Y48" s="2"/>
      <c r="Z48" s="6">
        <f t="shared" si="23"/>
        <v>-1</v>
      </c>
    </row>
    <row r="49" spans="1:26" s="27" customFormat="1" outlineLevel="1" collapsed="1" x14ac:dyDescent="0.25">
      <c r="A49" s="29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SUM(OSRRefD22_7x_0)</f>
        <v>0</v>
      </c>
      <c r="E49" s="1"/>
      <c r="F49" s="5">
        <f t="shared" si="16"/>
        <v>0</v>
      </c>
      <c r="G49" s="1"/>
      <c r="H49" s="1">
        <f>SUM(OSRRefH22_7x_0)</f>
        <v>438</v>
      </c>
      <c r="I49" s="1"/>
      <c r="J49" s="5">
        <f t="shared" si="17"/>
        <v>0</v>
      </c>
      <c r="K49" s="1"/>
      <c r="L49" s="1">
        <f t="shared" si="18"/>
        <v>-438</v>
      </c>
      <c r="M49" s="1"/>
      <c r="N49" s="5">
        <f t="shared" si="19"/>
        <v>-1</v>
      </c>
      <c r="O49" s="14"/>
      <c r="P49" s="1">
        <f>SUM(OSRRefP22_7x_0)</f>
        <v>81.56</v>
      </c>
      <c r="Q49" s="1"/>
      <c r="R49" s="5">
        <f t="shared" si="20"/>
        <v>0</v>
      </c>
      <c r="S49" s="1"/>
      <c r="T49" s="1">
        <f>SUM(OSRRefT22_7x_0)</f>
        <v>11565.12</v>
      </c>
      <c r="U49" s="1"/>
      <c r="V49" s="5">
        <f t="shared" si="21"/>
        <v>0</v>
      </c>
      <c r="W49" s="1"/>
      <c r="X49" s="1">
        <f t="shared" si="22"/>
        <v>-11483.560000000001</v>
      </c>
      <c r="Y49" s="1"/>
      <c r="Z49" s="5">
        <f t="shared" si="23"/>
        <v>-0.99294776016158937</v>
      </c>
    </row>
    <row r="50" spans="1:26" s="24" customFormat="1" hidden="1" outlineLevel="2" x14ac:dyDescent="0.25">
      <c r="A50" s="28"/>
      <c r="B50" s="11" t="str">
        <f>CONCATENATE("          ", "6277", " - ", "EMPLOYEE APPRECIATION")</f>
        <v xml:space="preserve">          6277 - EMPLOYEE APPRECIATION</v>
      </c>
      <c r="C50" s="11"/>
      <c r="D50" s="7"/>
      <c r="E50" s="2"/>
      <c r="F50" s="6">
        <f t="shared" si="16"/>
        <v>0</v>
      </c>
      <c r="G50" s="2"/>
      <c r="H50" s="7">
        <v>438</v>
      </c>
      <c r="I50" s="2"/>
      <c r="J50" s="6">
        <f t="shared" si="17"/>
        <v>0</v>
      </c>
      <c r="K50" s="2"/>
      <c r="L50" s="7">
        <f t="shared" si="18"/>
        <v>-438</v>
      </c>
      <c r="M50" s="2"/>
      <c r="N50" s="6">
        <f t="shared" si="19"/>
        <v>-1</v>
      </c>
      <c r="O50" s="11"/>
      <c r="P50" s="7">
        <v>81.56</v>
      </c>
      <c r="Q50" s="2"/>
      <c r="R50" s="6">
        <f t="shared" si="20"/>
        <v>0</v>
      </c>
      <c r="S50" s="2"/>
      <c r="T50" s="7">
        <v>11565.12</v>
      </c>
      <c r="U50" s="2"/>
      <c r="V50" s="6">
        <f t="shared" si="21"/>
        <v>0</v>
      </c>
      <c r="W50" s="2"/>
      <c r="X50" s="7">
        <f t="shared" si="22"/>
        <v>-11483.560000000001</v>
      </c>
      <c r="Y50" s="2"/>
      <c r="Z50" s="6">
        <f t="shared" si="23"/>
        <v>-0.99294776016158937</v>
      </c>
    </row>
    <row r="51" spans="1:26" s="27" customFormat="1" outlineLevel="1" collapsed="1" x14ac:dyDescent="0.25">
      <c r="A51" s="29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SUM(OSRRefD22_8x_0)</f>
        <v>208.97</v>
      </c>
      <c r="E51" s="1"/>
      <c r="F51" s="5">
        <f t="shared" si="16"/>
        <v>0</v>
      </c>
      <c r="G51" s="1"/>
      <c r="H51" s="1">
        <f>SUM(OSRRefH22_8x_0)</f>
        <v>300.24</v>
      </c>
      <c r="I51" s="1"/>
      <c r="J51" s="5">
        <f t="shared" si="17"/>
        <v>0</v>
      </c>
      <c r="K51" s="1"/>
      <c r="L51" s="1">
        <f t="shared" si="18"/>
        <v>-91.27000000000001</v>
      </c>
      <c r="M51" s="1"/>
      <c r="N51" s="5">
        <f t="shared" si="19"/>
        <v>-0.30399014122035706</v>
      </c>
      <c r="O51" s="14"/>
      <c r="P51" s="1">
        <f>SUM(OSRRefP22_8x_0)</f>
        <v>626.91</v>
      </c>
      <c r="Q51" s="1"/>
      <c r="R51" s="5">
        <f t="shared" si="20"/>
        <v>0</v>
      </c>
      <c r="S51" s="1"/>
      <c r="T51" s="1">
        <f>SUM(OSRRefT22_8x_0)</f>
        <v>900.72</v>
      </c>
      <c r="U51" s="1"/>
      <c r="V51" s="5">
        <f t="shared" si="21"/>
        <v>0</v>
      </c>
      <c r="W51" s="1"/>
      <c r="X51" s="1">
        <f t="shared" si="22"/>
        <v>-273.81000000000006</v>
      </c>
      <c r="Y51" s="1"/>
      <c r="Z51" s="5">
        <f t="shared" si="23"/>
        <v>-0.30399014122035711</v>
      </c>
    </row>
    <row r="52" spans="1:26" s="24" customFormat="1" hidden="1" outlineLevel="2" x14ac:dyDescent="0.25">
      <c r="A52" s="28"/>
      <c r="B52" s="11" t="str">
        <f>CONCATENATE("          ", "6351", " - ", "EQUIPMENT RENTAL")</f>
        <v xml:space="preserve">          6351 - EQUIPMENT RENTAL</v>
      </c>
      <c r="C52" s="11"/>
      <c r="D52" s="7">
        <v>208.97</v>
      </c>
      <c r="E52" s="2"/>
      <c r="F52" s="6">
        <f t="shared" si="16"/>
        <v>0</v>
      </c>
      <c r="G52" s="2"/>
      <c r="H52" s="7">
        <v>300.24</v>
      </c>
      <c r="I52" s="2"/>
      <c r="J52" s="6">
        <f t="shared" si="17"/>
        <v>0</v>
      </c>
      <c r="K52" s="2"/>
      <c r="L52" s="7">
        <f t="shared" si="18"/>
        <v>-91.27000000000001</v>
      </c>
      <c r="M52" s="2"/>
      <c r="N52" s="6">
        <f t="shared" si="19"/>
        <v>-0.30399014122035706</v>
      </c>
      <c r="O52" s="11"/>
      <c r="P52" s="7">
        <v>626.91</v>
      </c>
      <c r="Q52" s="2"/>
      <c r="R52" s="6">
        <f t="shared" si="20"/>
        <v>0</v>
      </c>
      <c r="S52" s="2"/>
      <c r="T52" s="7">
        <v>900.72</v>
      </c>
      <c r="U52" s="2"/>
      <c r="V52" s="6">
        <f t="shared" si="21"/>
        <v>0</v>
      </c>
      <c r="W52" s="2"/>
      <c r="X52" s="7">
        <f t="shared" si="22"/>
        <v>-273.81000000000006</v>
      </c>
      <c r="Y52" s="2"/>
      <c r="Z52" s="6">
        <f t="shared" si="23"/>
        <v>-0.30399014122035711</v>
      </c>
    </row>
    <row r="53" spans="1:26" s="27" customFormat="1" outlineLevel="1" collapsed="1" x14ac:dyDescent="0.25">
      <c r="A53" s="29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SUM(OSRRefD22_9x_0)</f>
        <v>140.93</v>
      </c>
      <c r="E53" s="1"/>
      <c r="F53" s="5">
        <f t="shared" si="16"/>
        <v>0</v>
      </c>
      <c r="G53" s="1"/>
      <c r="H53" s="1">
        <f>SUM(OSRRefH22_9x_0)</f>
        <v>263.60000000000002</v>
      </c>
      <c r="I53" s="1"/>
      <c r="J53" s="5">
        <f t="shared" si="17"/>
        <v>0</v>
      </c>
      <c r="K53" s="1"/>
      <c r="L53" s="1">
        <f t="shared" si="18"/>
        <v>-122.67000000000002</v>
      </c>
      <c r="M53" s="1"/>
      <c r="N53" s="5">
        <f t="shared" si="19"/>
        <v>-0.4653641881638847</v>
      </c>
      <c r="O53" s="14"/>
      <c r="P53" s="1">
        <f>SUM(OSRRefP22_9x_0)</f>
        <v>398.94</v>
      </c>
      <c r="Q53" s="1"/>
      <c r="R53" s="5">
        <f t="shared" si="20"/>
        <v>0</v>
      </c>
      <c r="S53" s="1"/>
      <c r="T53" s="1">
        <f>SUM(OSRRefT22_9x_0)</f>
        <v>611.1</v>
      </c>
      <c r="U53" s="1"/>
      <c r="V53" s="5">
        <f t="shared" si="21"/>
        <v>0</v>
      </c>
      <c r="W53" s="1"/>
      <c r="X53" s="1">
        <f t="shared" si="22"/>
        <v>-212.16000000000003</v>
      </c>
      <c r="Y53" s="1"/>
      <c r="Z53" s="5">
        <f t="shared" si="23"/>
        <v>-0.34717722140402557</v>
      </c>
    </row>
    <row r="54" spans="1:26" s="24" customFormat="1" hidden="1" outlineLevel="2" x14ac:dyDescent="0.25">
      <c r="A54" s="28"/>
      <c r="B54" s="11" t="str">
        <f>CONCATENATE("          ", "6305", " - ", "FREIGHT OUT")</f>
        <v xml:space="preserve">          6305 - FREIGHT OUT</v>
      </c>
      <c r="C54" s="11"/>
      <c r="D54" s="7"/>
      <c r="E54" s="2"/>
      <c r="F54" s="6">
        <f t="shared" si="16"/>
        <v>0</v>
      </c>
      <c r="G54" s="2"/>
      <c r="H54" s="7"/>
      <c r="I54" s="2"/>
      <c r="J54" s="6">
        <f t="shared" si="17"/>
        <v>0</v>
      </c>
      <c r="K54" s="2"/>
      <c r="L54" s="7">
        <f t="shared" si="18"/>
        <v>0</v>
      </c>
      <c r="M54" s="2"/>
      <c r="N54" s="6">
        <f t="shared" si="19"/>
        <v>0</v>
      </c>
      <c r="O54" s="11"/>
      <c r="P54" s="7">
        <v>5.41</v>
      </c>
      <c r="Q54" s="2"/>
      <c r="R54" s="6">
        <f t="shared" si="20"/>
        <v>0</v>
      </c>
      <c r="S54" s="2"/>
      <c r="T54" s="7"/>
      <c r="U54" s="2"/>
      <c r="V54" s="6">
        <f t="shared" si="21"/>
        <v>0</v>
      </c>
      <c r="W54" s="2"/>
      <c r="X54" s="7">
        <f t="shared" si="22"/>
        <v>5.41</v>
      </c>
      <c r="Y54" s="2"/>
      <c r="Z54" s="6">
        <f t="shared" si="23"/>
        <v>0</v>
      </c>
    </row>
    <row r="55" spans="1:26" s="24" customFormat="1" hidden="1" outlineLevel="2" x14ac:dyDescent="0.25">
      <c r="A55" s="28"/>
      <c r="B55" s="11" t="str">
        <f>CONCATENATE("          ", "6307", " - ", "POSTAGE")</f>
        <v xml:space="preserve">          6307 - POSTAGE</v>
      </c>
      <c r="C55" s="11"/>
      <c r="D55" s="7">
        <v>140.93</v>
      </c>
      <c r="E55" s="2"/>
      <c r="F55" s="6">
        <f t="shared" si="16"/>
        <v>0</v>
      </c>
      <c r="G55" s="2"/>
      <c r="H55" s="7">
        <v>263.60000000000002</v>
      </c>
      <c r="I55" s="2"/>
      <c r="J55" s="6">
        <f t="shared" si="17"/>
        <v>0</v>
      </c>
      <c r="K55" s="2"/>
      <c r="L55" s="7">
        <f t="shared" si="18"/>
        <v>-122.67000000000002</v>
      </c>
      <c r="M55" s="2"/>
      <c r="N55" s="6">
        <f t="shared" si="19"/>
        <v>-0.4653641881638847</v>
      </c>
      <c r="O55" s="11"/>
      <c r="P55" s="7">
        <v>393.53</v>
      </c>
      <c r="Q55" s="2"/>
      <c r="R55" s="6">
        <f t="shared" si="20"/>
        <v>0</v>
      </c>
      <c r="S55" s="2"/>
      <c r="T55" s="7">
        <v>611.1</v>
      </c>
      <c r="U55" s="2"/>
      <c r="V55" s="6">
        <f t="shared" si="21"/>
        <v>0</v>
      </c>
      <c r="W55" s="2"/>
      <c r="X55" s="7">
        <f t="shared" si="22"/>
        <v>-217.57000000000005</v>
      </c>
      <c r="Y55" s="2"/>
      <c r="Z55" s="6">
        <f t="shared" si="23"/>
        <v>-0.35603010963835713</v>
      </c>
    </row>
    <row r="56" spans="1:26" s="27" customFormat="1" outlineLevel="1" collapsed="1" x14ac:dyDescent="0.25">
      <c r="A56" s="29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SUM(OSRRefD22_10x_0)</f>
        <v>850.54</v>
      </c>
      <c r="E56" s="1"/>
      <c r="F56" s="5">
        <f t="shared" ref="F56:F64" si="24">IF(D$12=0,0,D56/D$12)</f>
        <v>0</v>
      </c>
      <c r="G56" s="1"/>
      <c r="H56" s="1">
        <f>SUM(OSRRefH22_10x_0)</f>
        <v>4153.0600000000004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-3302.5200000000004</v>
      </c>
      <c r="M56" s="1"/>
      <c r="N56" s="5">
        <f t="shared" ref="N56:N64" si="27">IF(H56=0,0,L56/H56)</f>
        <v>-0.79520161037885317</v>
      </c>
      <c r="O56" s="14"/>
      <c r="P56" s="1">
        <f>SUM(OSRRefP22_10x_0)</f>
        <v>166.54</v>
      </c>
      <c r="Q56" s="1"/>
      <c r="R56" s="5">
        <f t="shared" ref="R56:R64" si="28">IF(P$12=0,0,P56/P$12)</f>
        <v>0</v>
      </c>
      <c r="S56" s="1"/>
      <c r="T56" s="1">
        <f>SUM(OSRRefT22_10x_0)</f>
        <v>6433.68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-6267.14</v>
      </c>
      <c r="Y56" s="1"/>
      <c r="Z56" s="5">
        <f t="shared" ref="Z56:Z64" si="31">IF(T56=0,0,X56/T56)</f>
        <v>-0.97411434824237453</v>
      </c>
    </row>
    <row r="57" spans="1:26" s="24" customFormat="1" hidden="1" outlineLevel="2" x14ac:dyDescent="0.25">
      <c r="A57" s="28"/>
      <c r="B57" s="11" t="str">
        <f>CONCATENATE("          ", "6279", " - ", "GENERAL EXPENSE")</f>
        <v xml:space="preserve">          6279 - GENERAL EXPENSE</v>
      </c>
      <c r="C57" s="11"/>
      <c r="D57" s="7">
        <v>850.54</v>
      </c>
      <c r="E57" s="2"/>
      <c r="F57" s="6">
        <f t="shared" si="24"/>
        <v>0</v>
      </c>
      <c r="G57" s="2"/>
      <c r="H57" s="7">
        <v>4153.0600000000004</v>
      </c>
      <c r="I57" s="2"/>
      <c r="J57" s="6">
        <f t="shared" si="25"/>
        <v>0</v>
      </c>
      <c r="K57" s="2"/>
      <c r="L57" s="7">
        <f t="shared" si="26"/>
        <v>-3302.5200000000004</v>
      </c>
      <c r="M57" s="2"/>
      <c r="N57" s="6">
        <f t="shared" si="27"/>
        <v>-0.79520161037885317</v>
      </c>
      <c r="O57" s="11"/>
      <c r="P57" s="7">
        <v>166.54</v>
      </c>
      <c r="Q57" s="2"/>
      <c r="R57" s="6">
        <f t="shared" si="28"/>
        <v>0</v>
      </c>
      <c r="S57" s="2"/>
      <c r="T57" s="7">
        <v>6433.68</v>
      </c>
      <c r="U57" s="2"/>
      <c r="V57" s="6">
        <f t="shared" si="29"/>
        <v>0</v>
      </c>
      <c r="W57" s="2"/>
      <c r="X57" s="7">
        <f t="shared" si="30"/>
        <v>-6267.14</v>
      </c>
      <c r="Y57" s="2"/>
      <c r="Z57" s="6">
        <f t="shared" si="31"/>
        <v>-0.97411434824237453</v>
      </c>
    </row>
    <row r="58" spans="1:26" s="27" customFormat="1" outlineLevel="1" collapsed="1" x14ac:dyDescent="0.25">
      <c r="A58" s="29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SUM(OSRRefD22_11x_0)</f>
        <v>393.67</v>
      </c>
      <c r="E58" s="1"/>
      <c r="F58" s="5">
        <f t="shared" si="24"/>
        <v>0</v>
      </c>
      <c r="G58" s="1"/>
      <c r="H58" s="1">
        <f>SUM(OSRRefH22_11x_0)</f>
        <v>393.67</v>
      </c>
      <c r="I58" s="1"/>
      <c r="J58" s="5">
        <f t="shared" si="25"/>
        <v>0</v>
      </c>
      <c r="K58" s="1"/>
      <c r="L58" s="1">
        <f t="shared" si="26"/>
        <v>0</v>
      </c>
      <c r="M58" s="1"/>
      <c r="N58" s="5">
        <f t="shared" si="27"/>
        <v>0</v>
      </c>
      <c r="O58" s="14"/>
      <c r="P58" s="1">
        <f>SUM(OSRRefP22_11x_0)</f>
        <v>1181.01</v>
      </c>
      <c r="Q58" s="1"/>
      <c r="R58" s="5">
        <f t="shared" si="28"/>
        <v>0</v>
      </c>
      <c r="S58" s="1"/>
      <c r="T58" s="1">
        <f>SUM(OSRRefT22_11x_0)</f>
        <v>1181.01</v>
      </c>
      <c r="U58" s="1"/>
      <c r="V58" s="5">
        <f t="shared" si="29"/>
        <v>0</v>
      </c>
      <c r="W58" s="1"/>
      <c r="X58" s="1">
        <f t="shared" si="30"/>
        <v>0</v>
      </c>
      <c r="Y58" s="1"/>
      <c r="Z58" s="5">
        <f t="shared" si="31"/>
        <v>0</v>
      </c>
    </row>
    <row r="59" spans="1:26" s="24" customFormat="1" hidden="1" outlineLevel="2" x14ac:dyDescent="0.25">
      <c r="A59" s="28"/>
      <c r="B59" s="11" t="str">
        <f>CONCATENATE("          ", "6314", " - ", "LIABILITY INSURANCE")</f>
        <v xml:space="preserve">          6314 - LIABILITY INSURANCE</v>
      </c>
      <c r="C59" s="11"/>
      <c r="D59" s="7">
        <v>393.67</v>
      </c>
      <c r="E59" s="2"/>
      <c r="F59" s="6">
        <f t="shared" si="24"/>
        <v>0</v>
      </c>
      <c r="G59" s="2"/>
      <c r="H59" s="7">
        <v>393.67</v>
      </c>
      <c r="I59" s="2"/>
      <c r="J59" s="6">
        <f t="shared" si="25"/>
        <v>0</v>
      </c>
      <c r="K59" s="2"/>
      <c r="L59" s="7">
        <f t="shared" si="26"/>
        <v>0</v>
      </c>
      <c r="M59" s="2"/>
      <c r="N59" s="6">
        <f t="shared" si="27"/>
        <v>0</v>
      </c>
      <c r="O59" s="11"/>
      <c r="P59" s="7">
        <v>1181.01</v>
      </c>
      <c r="Q59" s="2"/>
      <c r="R59" s="6">
        <f t="shared" si="28"/>
        <v>0</v>
      </c>
      <c r="S59" s="2"/>
      <c r="T59" s="7">
        <v>1181.01</v>
      </c>
      <c r="U59" s="2"/>
      <c r="V59" s="6">
        <f t="shared" si="29"/>
        <v>0</v>
      </c>
      <c r="W59" s="2"/>
      <c r="X59" s="7">
        <f t="shared" si="30"/>
        <v>0</v>
      </c>
      <c r="Y59" s="2"/>
      <c r="Z59" s="6">
        <f t="shared" si="31"/>
        <v>0</v>
      </c>
    </row>
    <row r="60" spans="1:26" s="27" customFormat="1" outlineLevel="1" collapsed="1" x14ac:dyDescent="0.25">
      <c r="A60" s="29"/>
      <c r="B60" s="14" t="str">
        <f>CONCATENATE("     ","Professional Services                             ")</f>
        <v xml:space="preserve">     Professional Services                             </v>
      </c>
      <c r="C60" s="14"/>
      <c r="D60" s="1">
        <f>SUM(OSRRefD22_12x_0)</f>
        <v>9079.17</v>
      </c>
      <c r="E60" s="1"/>
      <c r="F60" s="5">
        <f t="shared" si="24"/>
        <v>0</v>
      </c>
      <c r="G60" s="1"/>
      <c r="H60" s="1">
        <f>SUM(OSRRefH22_12x_0)</f>
        <v>45470.68</v>
      </c>
      <c r="I60" s="1"/>
      <c r="J60" s="5">
        <f t="shared" si="25"/>
        <v>0</v>
      </c>
      <c r="K60" s="1"/>
      <c r="L60" s="1">
        <f t="shared" si="26"/>
        <v>-36391.51</v>
      </c>
      <c r="M60" s="1"/>
      <c r="N60" s="5">
        <f t="shared" si="27"/>
        <v>-0.80032913517018001</v>
      </c>
      <c r="O60" s="14"/>
      <c r="P60" s="1">
        <f>SUM(OSRRefP22_12x_0)</f>
        <v>23817.010000000002</v>
      </c>
      <c r="Q60" s="1"/>
      <c r="R60" s="5">
        <f t="shared" si="28"/>
        <v>0</v>
      </c>
      <c r="S60" s="1"/>
      <c r="T60" s="1">
        <f>SUM(OSRRefT22_12x_0)</f>
        <v>71060.92</v>
      </c>
      <c r="U60" s="1"/>
      <c r="V60" s="5">
        <f t="shared" si="29"/>
        <v>0</v>
      </c>
      <c r="W60" s="1"/>
      <c r="X60" s="1">
        <f t="shared" si="30"/>
        <v>-47243.909999999996</v>
      </c>
      <c r="Y60" s="1"/>
      <c r="Z60" s="5">
        <f t="shared" si="31"/>
        <v>-0.6648367344526358</v>
      </c>
    </row>
    <row r="61" spans="1:26" s="24" customFormat="1" hidden="1" outlineLevel="2" x14ac:dyDescent="0.25">
      <c r="A61" s="28"/>
      <c r="B61" s="11" t="str">
        <f>CONCATENATE("          ", "6331", " - ", "INDIRECT COSTS-AUXILIARY ORGAN")</f>
        <v xml:space="preserve">          6331 - INDIRECT COSTS-AUXILIARY ORGAN</v>
      </c>
      <c r="C61" s="11"/>
      <c r="D61" s="7">
        <v>8500</v>
      </c>
      <c r="E61" s="2"/>
      <c r="F61" s="6">
        <f t="shared" si="24"/>
        <v>0</v>
      </c>
      <c r="G61" s="2"/>
      <c r="H61" s="7">
        <v>12000</v>
      </c>
      <c r="I61" s="2"/>
      <c r="J61" s="6">
        <f t="shared" si="25"/>
        <v>0</v>
      </c>
      <c r="K61" s="2"/>
      <c r="L61" s="7">
        <f t="shared" si="26"/>
        <v>-3500</v>
      </c>
      <c r="M61" s="2"/>
      <c r="N61" s="6">
        <f t="shared" si="27"/>
        <v>-0.29166666666666669</v>
      </c>
      <c r="O61" s="11"/>
      <c r="P61" s="7">
        <v>20085.75</v>
      </c>
      <c r="Q61" s="2"/>
      <c r="R61" s="6">
        <f t="shared" si="28"/>
        <v>0</v>
      </c>
      <c r="S61" s="2"/>
      <c r="T61" s="7">
        <v>23487</v>
      </c>
      <c r="U61" s="2"/>
      <c r="V61" s="6">
        <f t="shared" si="29"/>
        <v>0</v>
      </c>
      <c r="W61" s="2"/>
      <c r="X61" s="7">
        <f t="shared" si="30"/>
        <v>-3401.25</v>
      </c>
      <c r="Y61" s="2"/>
      <c r="Z61" s="6">
        <f t="shared" si="31"/>
        <v>-0.1448141525098991</v>
      </c>
    </row>
    <row r="62" spans="1:26" s="24" customFormat="1" hidden="1" outlineLevel="2" x14ac:dyDescent="0.25">
      <c r="A62" s="28"/>
      <c r="B62" s="11" t="str">
        <f>CONCATENATE("          ", "6332", " - ", "CONSULTANT FEES")</f>
        <v xml:space="preserve">          6332 - CONSULTANT FEES</v>
      </c>
      <c r="C62" s="11"/>
      <c r="D62" s="7"/>
      <c r="E62" s="2"/>
      <c r="F62" s="6">
        <f t="shared" si="24"/>
        <v>0</v>
      </c>
      <c r="G62" s="2"/>
      <c r="H62" s="7">
        <v>15062.24</v>
      </c>
      <c r="I62" s="2"/>
      <c r="J62" s="6">
        <f t="shared" si="25"/>
        <v>0</v>
      </c>
      <c r="K62" s="2"/>
      <c r="L62" s="7">
        <f t="shared" si="26"/>
        <v>-15062.24</v>
      </c>
      <c r="M62" s="2"/>
      <c r="N62" s="6">
        <f t="shared" si="27"/>
        <v>-1</v>
      </c>
      <c r="O62" s="11"/>
      <c r="P62" s="7"/>
      <c r="Q62" s="2"/>
      <c r="R62" s="6">
        <f t="shared" si="28"/>
        <v>0</v>
      </c>
      <c r="S62" s="2"/>
      <c r="T62" s="7">
        <v>15144.74</v>
      </c>
      <c r="U62" s="2"/>
      <c r="V62" s="6">
        <f t="shared" si="29"/>
        <v>0</v>
      </c>
      <c r="W62" s="2"/>
      <c r="X62" s="7">
        <f t="shared" si="30"/>
        <v>-15144.74</v>
      </c>
      <c r="Y62" s="2"/>
      <c r="Z62" s="6">
        <f t="shared" si="31"/>
        <v>-1</v>
      </c>
    </row>
    <row r="63" spans="1:26" s="24" customFormat="1" hidden="1" outlineLevel="2" x14ac:dyDescent="0.25">
      <c r="A63" s="28"/>
      <c r="B63" s="11" t="str">
        <f>CONCATENATE("          ", "6334", " - ", "LEGAL COUNCIL EXPENSE")</f>
        <v xml:space="preserve">          6334 - LEGAL COUNCIL EXPENSE</v>
      </c>
      <c r="C63" s="11"/>
      <c r="D63" s="7"/>
      <c r="E63" s="2"/>
      <c r="F63" s="6">
        <f t="shared" si="24"/>
        <v>0</v>
      </c>
      <c r="G63" s="2"/>
      <c r="H63" s="7">
        <v>11970</v>
      </c>
      <c r="I63" s="2"/>
      <c r="J63" s="6">
        <f t="shared" si="25"/>
        <v>0</v>
      </c>
      <c r="K63" s="2"/>
      <c r="L63" s="7">
        <f t="shared" si="26"/>
        <v>-11970</v>
      </c>
      <c r="M63" s="2"/>
      <c r="N63" s="6">
        <f t="shared" si="27"/>
        <v>-1</v>
      </c>
      <c r="O63" s="11"/>
      <c r="P63" s="7">
        <v>1150</v>
      </c>
      <c r="Q63" s="2"/>
      <c r="R63" s="6">
        <f t="shared" si="28"/>
        <v>0</v>
      </c>
      <c r="S63" s="2"/>
      <c r="T63" s="7">
        <v>18600</v>
      </c>
      <c r="U63" s="2"/>
      <c r="V63" s="6">
        <f t="shared" si="29"/>
        <v>0</v>
      </c>
      <c r="W63" s="2"/>
      <c r="X63" s="7">
        <f t="shared" si="30"/>
        <v>-17450</v>
      </c>
      <c r="Y63" s="2"/>
      <c r="Z63" s="6">
        <f t="shared" si="31"/>
        <v>-0.93817204301075274</v>
      </c>
    </row>
    <row r="64" spans="1:26" s="24" customFormat="1" hidden="1" outlineLevel="2" x14ac:dyDescent="0.25">
      <c r="A64" s="28"/>
      <c r="B64" s="11" t="str">
        <f>CONCATENATE("          ", "6336", " - ", "PROFESSIONAL SERVICES")</f>
        <v xml:space="preserve">          6336 - PROFESSIONAL SERVICES</v>
      </c>
      <c r="C64" s="11"/>
      <c r="D64" s="7">
        <v>579.16999999999996</v>
      </c>
      <c r="E64" s="2"/>
      <c r="F64" s="6">
        <f t="shared" si="24"/>
        <v>0</v>
      </c>
      <c r="G64" s="2"/>
      <c r="H64" s="7">
        <v>6438.44</v>
      </c>
      <c r="I64" s="2"/>
      <c r="J64" s="6">
        <f t="shared" si="25"/>
        <v>0</v>
      </c>
      <c r="K64" s="2"/>
      <c r="L64" s="7">
        <f t="shared" si="26"/>
        <v>-5859.2699999999995</v>
      </c>
      <c r="M64" s="2"/>
      <c r="N64" s="6">
        <f t="shared" si="27"/>
        <v>-0.91004497983983701</v>
      </c>
      <c r="O64" s="11"/>
      <c r="P64" s="7">
        <v>2581.2600000000002</v>
      </c>
      <c r="Q64" s="2"/>
      <c r="R64" s="6">
        <f t="shared" si="28"/>
        <v>0</v>
      </c>
      <c r="S64" s="2"/>
      <c r="T64" s="7">
        <v>13829.18</v>
      </c>
      <c r="U64" s="2"/>
      <c r="V64" s="6">
        <f t="shared" si="29"/>
        <v>0</v>
      </c>
      <c r="W64" s="2"/>
      <c r="X64" s="7">
        <f t="shared" si="30"/>
        <v>-11247.92</v>
      </c>
      <c r="Y64" s="2"/>
      <c r="Z64" s="6">
        <f t="shared" si="31"/>
        <v>-0.81334685064479595</v>
      </c>
    </row>
    <row r="65" spans="1:26" s="27" customFormat="1" outlineLevel="1" collapsed="1" x14ac:dyDescent="0.25">
      <c r="A65" s="29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SUM(OSRRefD22_13x_0)</f>
        <v>16226.789999999999</v>
      </c>
      <c r="E65" s="1"/>
      <c r="F65" s="5">
        <f t="shared" ref="F65:F68" si="32">IF(D$12=0,0,D65/D$12)</f>
        <v>0</v>
      </c>
      <c r="G65" s="1"/>
      <c r="H65" s="1">
        <f>SUM(OSRRefH22_13x_0)</f>
        <v>24725.599999999999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-8498.81</v>
      </c>
      <c r="M65" s="1"/>
      <c r="N65" s="5">
        <f t="shared" ref="N65:N68" si="35">IF(H65=0,0,L65/H65)</f>
        <v>-0.34372512699388486</v>
      </c>
      <c r="O65" s="14"/>
      <c r="P65" s="1">
        <f>SUM(OSRRefP22_13x_0)</f>
        <v>56402.46</v>
      </c>
      <c r="Q65" s="1"/>
      <c r="R65" s="5">
        <f t="shared" ref="R65:R68" si="36">IF(P$12=0,0,P65/P$12)</f>
        <v>0</v>
      </c>
      <c r="S65" s="1"/>
      <c r="T65" s="1">
        <f>SUM(OSRRefT22_13x_0)</f>
        <v>74684.02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-18281.560000000005</v>
      </c>
      <c r="Y65" s="1"/>
      <c r="Z65" s="5">
        <f t="shared" ref="Z65:Z68" si="39">IF(T65=0,0,X65/T65)</f>
        <v>-0.24478543067178232</v>
      </c>
    </row>
    <row r="66" spans="1:26" s="24" customFormat="1" hidden="1" outlineLevel="2" x14ac:dyDescent="0.25">
      <c r="A66" s="28"/>
      <c r="B66" s="11" t="str">
        <f>CONCATENATE("          ", "6371", " - ", "COMPUTER SOFTWARE MAINTENANCE")</f>
        <v xml:space="preserve">          6371 - COMPUTER SOFTWARE MAINTENANCE</v>
      </c>
      <c r="C66" s="11"/>
      <c r="D66" s="7">
        <v>3663.15</v>
      </c>
      <c r="E66" s="2"/>
      <c r="F66" s="6">
        <f t="shared" si="32"/>
        <v>0</v>
      </c>
      <c r="G66" s="2"/>
      <c r="H66" s="7">
        <v>11127.65</v>
      </c>
      <c r="I66" s="2"/>
      <c r="J66" s="6">
        <f t="shared" si="33"/>
        <v>0</v>
      </c>
      <c r="K66" s="2"/>
      <c r="L66" s="7">
        <f t="shared" si="34"/>
        <v>-7464.5</v>
      </c>
      <c r="M66" s="2"/>
      <c r="N66" s="6">
        <f t="shared" si="35"/>
        <v>-0.67080650451802493</v>
      </c>
      <c r="O66" s="11"/>
      <c r="P66" s="7">
        <v>12141.01</v>
      </c>
      <c r="Q66" s="2"/>
      <c r="R66" s="6">
        <f t="shared" si="36"/>
        <v>0</v>
      </c>
      <c r="S66" s="2"/>
      <c r="T66" s="7">
        <v>31505.11</v>
      </c>
      <c r="U66" s="2"/>
      <c r="V66" s="6">
        <f t="shared" si="37"/>
        <v>0</v>
      </c>
      <c r="W66" s="2"/>
      <c r="X66" s="7">
        <f t="shared" si="38"/>
        <v>-19364.099999999999</v>
      </c>
      <c r="Y66" s="2"/>
      <c r="Z66" s="6">
        <f t="shared" si="39"/>
        <v>-0.61463362610065475</v>
      </c>
    </row>
    <row r="67" spans="1:26" s="24" customFormat="1" hidden="1" outlineLevel="2" x14ac:dyDescent="0.25">
      <c r="A67" s="28"/>
      <c r="B67" s="11" t="str">
        <f>CONCATENATE("          ", "6373", " - ", "MAINTENANCE CONTRACTS")</f>
        <v xml:space="preserve">          6373 - MAINTENANCE CONTRACTS</v>
      </c>
      <c r="C67" s="11"/>
      <c r="D67" s="7">
        <v>12563.64</v>
      </c>
      <c r="E67" s="2"/>
      <c r="F67" s="6">
        <f t="shared" si="32"/>
        <v>0</v>
      </c>
      <c r="G67" s="2"/>
      <c r="H67" s="7">
        <v>13544.27</v>
      </c>
      <c r="I67" s="2"/>
      <c r="J67" s="6">
        <f t="shared" si="33"/>
        <v>0</v>
      </c>
      <c r="K67" s="2"/>
      <c r="L67" s="7">
        <f t="shared" si="34"/>
        <v>-980.63000000000102</v>
      </c>
      <c r="M67" s="2"/>
      <c r="N67" s="6">
        <f t="shared" si="35"/>
        <v>-7.2401834871868395E-2</v>
      </c>
      <c r="O67" s="11"/>
      <c r="P67" s="7">
        <v>43442.259999999995</v>
      </c>
      <c r="Q67" s="2"/>
      <c r="R67" s="6">
        <f t="shared" si="36"/>
        <v>0</v>
      </c>
      <c r="S67" s="2"/>
      <c r="T67" s="7">
        <v>43005.8</v>
      </c>
      <c r="U67" s="2"/>
      <c r="V67" s="6">
        <f t="shared" si="37"/>
        <v>0</v>
      </c>
      <c r="W67" s="2"/>
      <c r="X67" s="7">
        <f t="shared" si="38"/>
        <v>436.45999999999185</v>
      </c>
      <c r="Y67" s="2"/>
      <c r="Z67" s="6">
        <f t="shared" si="39"/>
        <v>1.0148863641648145E-2</v>
      </c>
    </row>
    <row r="68" spans="1:26" s="24" customFormat="1" hidden="1" outlineLevel="2" x14ac:dyDescent="0.25">
      <c r="A68" s="28"/>
      <c r="B68" s="11" t="str">
        <f>CONCATENATE("          ", "6375", " - ", "OUTSIDE REPAIRS &amp; MAINTENANCE")</f>
        <v xml:space="preserve">          6375 - OUTSIDE REPAIRS &amp; MAINTENANCE</v>
      </c>
      <c r="C68" s="11"/>
      <c r="D68" s="7"/>
      <c r="E68" s="2"/>
      <c r="F68" s="6">
        <f t="shared" si="32"/>
        <v>0</v>
      </c>
      <c r="G68" s="2"/>
      <c r="H68" s="7">
        <v>53.68</v>
      </c>
      <c r="I68" s="2"/>
      <c r="J68" s="6">
        <f t="shared" si="33"/>
        <v>0</v>
      </c>
      <c r="K68" s="2"/>
      <c r="L68" s="7">
        <f t="shared" si="34"/>
        <v>-53.68</v>
      </c>
      <c r="M68" s="2"/>
      <c r="N68" s="6">
        <f t="shared" si="35"/>
        <v>-1</v>
      </c>
      <c r="O68" s="11"/>
      <c r="P68" s="7">
        <v>819.19</v>
      </c>
      <c r="Q68" s="2"/>
      <c r="R68" s="6">
        <f t="shared" si="36"/>
        <v>0</v>
      </c>
      <c r="S68" s="2"/>
      <c r="T68" s="7">
        <v>173.11</v>
      </c>
      <c r="U68" s="2"/>
      <c r="V68" s="6">
        <f t="shared" si="37"/>
        <v>0</v>
      </c>
      <c r="W68" s="2"/>
      <c r="X68" s="7">
        <f t="shared" si="38"/>
        <v>646.08000000000004</v>
      </c>
      <c r="Y68" s="2"/>
      <c r="Z68" s="6">
        <f t="shared" si="39"/>
        <v>3.7321934030385302</v>
      </c>
    </row>
    <row r="69" spans="1:26" s="27" customFormat="1" outlineLevel="1" collapsed="1" x14ac:dyDescent="0.25">
      <c r="A69" s="29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512.48</v>
      </c>
      <c r="E69" s="1"/>
      <c r="F69" s="5">
        <f t="shared" ref="F69:F71" si="40">IF(D$12=0,0,D69/D$12)</f>
        <v>0</v>
      </c>
      <c r="G69" s="1"/>
      <c r="H69" s="1">
        <f>SUM(OSRRefH22_14x_0)</f>
        <v>870.09</v>
      </c>
      <c r="I69" s="1"/>
      <c r="J69" s="5">
        <f t="shared" ref="J69:J71" si="41">IF(H$12=0,0,H69/H$12)</f>
        <v>0</v>
      </c>
      <c r="K69" s="1"/>
      <c r="L69" s="1">
        <f t="shared" ref="L69:L71" si="42">+D69-H69</f>
        <v>-357.61</v>
      </c>
      <c r="M69" s="1"/>
      <c r="N69" s="5">
        <f t="shared" ref="N69:N71" si="43">IF(H69=0,0,L69/H69)</f>
        <v>-0.4110034594122447</v>
      </c>
      <c r="O69" s="14"/>
      <c r="P69" s="1">
        <f>SUM(OSRRefP22_14x_0)</f>
        <v>1024.96</v>
      </c>
      <c r="Q69" s="1"/>
      <c r="R69" s="5">
        <f t="shared" ref="R69:R71" si="44">IF(P$12=0,0,P69/P$12)</f>
        <v>0</v>
      </c>
      <c r="S69" s="1"/>
      <c r="T69" s="1">
        <f>SUM(OSRRefT22_14x_0)</f>
        <v>3739.83</v>
      </c>
      <c r="U69" s="1"/>
      <c r="V69" s="5">
        <f t="shared" ref="V69:V71" si="45">IF(T$12=0,0,T69/T$12)</f>
        <v>0</v>
      </c>
      <c r="W69" s="1"/>
      <c r="X69" s="1">
        <f t="shared" ref="X69:X71" si="46">+P69-T69</f>
        <v>-2714.87</v>
      </c>
      <c r="Y69" s="1"/>
      <c r="Z69" s="5">
        <f t="shared" ref="Z69:Z71" si="47">IF(T69=0,0,X69/T69)</f>
        <v>-0.72593406652174031</v>
      </c>
    </row>
    <row r="70" spans="1:26" s="24" customFormat="1" hidden="1" outlineLevel="2" x14ac:dyDescent="0.25">
      <c r="A70" s="28"/>
      <c r="B70" s="11" t="str">
        <f>CONCATENATE("          ", "6281", " - ", "STORAGE FEE")</f>
        <v xml:space="preserve">          6281 - STORAGE FEE</v>
      </c>
      <c r="C70" s="11"/>
      <c r="D70" s="7">
        <v>512.48</v>
      </c>
      <c r="E70" s="2"/>
      <c r="F70" s="6">
        <f t="shared" si="40"/>
        <v>0</v>
      </c>
      <c r="G70" s="2"/>
      <c r="H70" s="7">
        <v>856.83</v>
      </c>
      <c r="I70" s="2"/>
      <c r="J70" s="6">
        <f t="shared" si="41"/>
        <v>0</v>
      </c>
      <c r="K70" s="2"/>
      <c r="L70" s="7">
        <f t="shared" si="42"/>
        <v>-344.35</v>
      </c>
      <c r="M70" s="2"/>
      <c r="N70" s="6">
        <f t="shared" si="43"/>
        <v>-0.40188835591657623</v>
      </c>
      <c r="O70" s="11"/>
      <c r="P70" s="7">
        <v>1024.96</v>
      </c>
      <c r="Q70" s="2"/>
      <c r="R70" s="6">
        <f t="shared" si="44"/>
        <v>0</v>
      </c>
      <c r="S70" s="2"/>
      <c r="T70" s="7">
        <v>3713.31</v>
      </c>
      <c r="U70" s="2"/>
      <c r="V70" s="6">
        <f t="shared" si="45"/>
        <v>0</v>
      </c>
      <c r="W70" s="2"/>
      <c r="X70" s="7">
        <f t="shared" si="46"/>
        <v>-2688.35</v>
      </c>
      <c r="Y70" s="2"/>
      <c r="Z70" s="6">
        <f t="shared" si="47"/>
        <v>-0.72397672157724513</v>
      </c>
    </row>
    <row r="71" spans="1:26" s="24" customFormat="1" hidden="1" outlineLevel="2" x14ac:dyDescent="0.25">
      <c r="A71" s="28"/>
      <c r="B71" s="11" t="str">
        <f>CONCATENATE("          ", "6286", " - ", "LAUNDRY EXPENSE")</f>
        <v xml:space="preserve">          6286 - LAUNDRY EXPENSE</v>
      </c>
      <c r="C71" s="11"/>
      <c r="D71" s="7"/>
      <c r="E71" s="2"/>
      <c r="F71" s="6">
        <f t="shared" si="40"/>
        <v>0</v>
      </c>
      <c r="G71" s="2"/>
      <c r="H71" s="7">
        <v>13.26</v>
      </c>
      <c r="I71" s="2"/>
      <c r="J71" s="6">
        <f t="shared" si="41"/>
        <v>0</v>
      </c>
      <c r="K71" s="2"/>
      <c r="L71" s="7">
        <f t="shared" si="42"/>
        <v>-13.26</v>
      </c>
      <c r="M71" s="2"/>
      <c r="N71" s="6">
        <f t="shared" si="43"/>
        <v>-1</v>
      </c>
      <c r="O71" s="11"/>
      <c r="P71" s="7"/>
      <c r="Q71" s="2"/>
      <c r="R71" s="6">
        <f t="shared" si="44"/>
        <v>0</v>
      </c>
      <c r="S71" s="2"/>
      <c r="T71" s="7">
        <v>26.52</v>
      </c>
      <c r="U71" s="2"/>
      <c r="V71" s="6">
        <f t="shared" si="45"/>
        <v>0</v>
      </c>
      <c r="W71" s="2"/>
      <c r="X71" s="7">
        <f t="shared" si="46"/>
        <v>-26.52</v>
      </c>
      <c r="Y71" s="2"/>
      <c r="Z71" s="6">
        <f t="shared" si="47"/>
        <v>-1</v>
      </c>
    </row>
    <row r="72" spans="1:26" s="27" customFormat="1" outlineLevel="1" collapsed="1" x14ac:dyDescent="0.25">
      <c r="A72" s="29"/>
      <c r="B72" s="14" t="str">
        <f>CONCATENATE("     ","Subscriptions &amp; Dues                              ")</f>
        <v xml:space="preserve">     Subscriptions &amp; Dues                              </v>
      </c>
      <c r="C72" s="14"/>
      <c r="D72" s="1">
        <f>SUM(OSRRefD22_15x_0)</f>
        <v>0</v>
      </c>
      <c r="E72" s="1"/>
      <c r="F72" s="5">
        <f t="shared" ref="F72:F79" si="48">IF(D$12=0,0,D72/D$12)</f>
        <v>0</v>
      </c>
      <c r="G72" s="1"/>
      <c r="H72" s="1">
        <f>SUM(OSRRefH22_15x_0)</f>
        <v>39</v>
      </c>
      <c r="I72" s="1"/>
      <c r="J72" s="5">
        <f t="shared" ref="J72:J79" si="49">IF(H$12=0,0,H72/H$12)</f>
        <v>0</v>
      </c>
      <c r="K72" s="1"/>
      <c r="L72" s="1">
        <f t="shared" ref="L72:L79" si="50">+D72-H72</f>
        <v>-39</v>
      </c>
      <c r="M72" s="1"/>
      <c r="N72" s="5">
        <f t="shared" ref="N72:N79" si="51">IF(H72=0,0,L72/H72)</f>
        <v>-1</v>
      </c>
      <c r="O72" s="14"/>
      <c r="P72" s="1">
        <f>SUM(OSRRefP22_15x_0)</f>
        <v>1725</v>
      </c>
      <c r="Q72" s="1"/>
      <c r="R72" s="5">
        <f t="shared" ref="R72:R79" si="52">IF(P$12=0,0,P72/P$12)</f>
        <v>0</v>
      </c>
      <c r="S72" s="1"/>
      <c r="T72" s="1">
        <f>SUM(OSRRefT22_15x_0)</f>
        <v>1626</v>
      </c>
      <c r="U72" s="1"/>
      <c r="V72" s="5">
        <f t="shared" ref="V72:V79" si="53">IF(T$12=0,0,T72/T$12)</f>
        <v>0</v>
      </c>
      <c r="W72" s="1"/>
      <c r="X72" s="1">
        <f t="shared" ref="X72:X79" si="54">+P72-T72</f>
        <v>99</v>
      </c>
      <c r="Y72" s="1"/>
      <c r="Z72" s="5">
        <f t="shared" ref="Z72:Z79" si="55">IF(T72=0,0,X72/T72)</f>
        <v>6.0885608856088562E-2</v>
      </c>
    </row>
    <row r="73" spans="1:26" s="24" customFormat="1" hidden="1" outlineLevel="2" x14ac:dyDescent="0.25">
      <c r="A73" s="28"/>
      <c r="B73" s="11" t="str">
        <f>CONCATENATE("          ", "6258", " - ", "MEMBERSHIP DUES")</f>
        <v xml:space="preserve">          6258 - MEMBERSHIP DUES</v>
      </c>
      <c r="C73" s="11"/>
      <c r="D73" s="7"/>
      <c r="E73" s="2"/>
      <c r="F73" s="6">
        <f t="shared" si="48"/>
        <v>0</v>
      </c>
      <c r="G73" s="2"/>
      <c r="H73" s="7">
        <v>39</v>
      </c>
      <c r="I73" s="2"/>
      <c r="J73" s="6">
        <f t="shared" si="49"/>
        <v>0</v>
      </c>
      <c r="K73" s="2"/>
      <c r="L73" s="7">
        <f t="shared" si="50"/>
        <v>-39</v>
      </c>
      <c r="M73" s="2"/>
      <c r="N73" s="6">
        <f t="shared" si="51"/>
        <v>-1</v>
      </c>
      <c r="O73" s="11"/>
      <c r="P73" s="7">
        <v>1725</v>
      </c>
      <c r="Q73" s="2"/>
      <c r="R73" s="6">
        <f t="shared" si="52"/>
        <v>0</v>
      </c>
      <c r="S73" s="2"/>
      <c r="T73" s="7">
        <v>1626</v>
      </c>
      <c r="U73" s="2"/>
      <c r="V73" s="6">
        <f t="shared" si="53"/>
        <v>0</v>
      </c>
      <c r="W73" s="2"/>
      <c r="X73" s="7">
        <f t="shared" si="54"/>
        <v>99</v>
      </c>
      <c r="Y73" s="2"/>
      <c r="Z73" s="6">
        <f t="shared" si="55"/>
        <v>6.0885608856088562E-2</v>
      </c>
    </row>
    <row r="74" spans="1:26" s="27" customFormat="1" outlineLevel="1" collapsed="1" x14ac:dyDescent="0.25">
      <c r="A74" s="29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SUM(OSRRefD22_16x_0)</f>
        <v>-4127.33</v>
      </c>
      <c r="E74" s="1"/>
      <c r="F74" s="5">
        <f t="shared" si="48"/>
        <v>0</v>
      </c>
      <c r="G74" s="1"/>
      <c r="H74" s="1">
        <f>SUM(OSRRefH22_16x_0)</f>
        <v>8201.86</v>
      </c>
      <c r="I74" s="1"/>
      <c r="J74" s="5">
        <f t="shared" si="49"/>
        <v>0</v>
      </c>
      <c r="K74" s="1"/>
      <c r="L74" s="1">
        <f t="shared" si="50"/>
        <v>-12329.19</v>
      </c>
      <c r="M74" s="1"/>
      <c r="N74" s="5">
        <f t="shared" si="51"/>
        <v>-1.5032187820811376</v>
      </c>
      <c r="O74" s="14"/>
      <c r="P74" s="1">
        <f>SUM(OSRRefP22_16x_0)</f>
        <v>-2444.52</v>
      </c>
      <c r="Q74" s="1"/>
      <c r="R74" s="5">
        <f t="shared" si="52"/>
        <v>0</v>
      </c>
      <c r="S74" s="1"/>
      <c r="T74" s="1">
        <f>SUM(OSRRefT22_16x_0)</f>
        <v>28124.2</v>
      </c>
      <c r="U74" s="1"/>
      <c r="V74" s="5">
        <f t="shared" si="53"/>
        <v>0</v>
      </c>
      <c r="W74" s="1"/>
      <c r="X74" s="1">
        <f t="shared" si="54"/>
        <v>-30568.720000000001</v>
      </c>
      <c r="Y74" s="1"/>
      <c r="Z74" s="5">
        <f t="shared" si="55"/>
        <v>-1.0869187390219099</v>
      </c>
    </row>
    <row r="75" spans="1:26" s="24" customFormat="1" hidden="1" outlineLevel="2" x14ac:dyDescent="0.25">
      <c r="A75" s="28"/>
      <c r="B75" s="11" t="str">
        <f>CONCATENATE("          ", "6234", " - ", "EXPENDABLE SUPPLIES &amp; EQUIPMEN")</f>
        <v xml:space="preserve">          6234 - EXPENDABLE SUPPLIES &amp; EQUIPMEN</v>
      </c>
      <c r="C75" s="11"/>
      <c r="D75" s="7"/>
      <c r="E75" s="2"/>
      <c r="F75" s="6">
        <f t="shared" si="48"/>
        <v>0</v>
      </c>
      <c r="G75" s="2"/>
      <c r="H75" s="7">
        <v>217.02</v>
      </c>
      <c r="I75" s="2"/>
      <c r="J75" s="6">
        <f t="shared" si="49"/>
        <v>0</v>
      </c>
      <c r="K75" s="2"/>
      <c r="L75" s="7">
        <f t="shared" si="50"/>
        <v>-217.02</v>
      </c>
      <c r="M75" s="2"/>
      <c r="N75" s="6">
        <f t="shared" si="51"/>
        <v>-1</v>
      </c>
      <c r="O75" s="11"/>
      <c r="P75" s="7"/>
      <c r="Q75" s="2"/>
      <c r="R75" s="6">
        <f t="shared" si="52"/>
        <v>0</v>
      </c>
      <c r="S75" s="2"/>
      <c r="T75" s="7">
        <v>776.96</v>
      </c>
      <c r="U75" s="2"/>
      <c r="V75" s="6">
        <f t="shared" si="53"/>
        <v>0</v>
      </c>
      <c r="W75" s="2"/>
      <c r="X75" s="7">
        <f t="shared" si="54"/>
        <v>-776.96</v>
      </c>
      <c r="Y75" s="2"/>
      <c r="Z75" s="6">
        <f t="shared" si="55"/>
        <v>-1</v>
      </c>
    </row>
    <row r="76" spans="1:26" s="24" customFormat="1" hidden="1" outlineLevel="2" x14ac:dyDescent="0.25">
      <c r="A76" s="28"/>
      <c r="B76" s="11" t="str">
        <f>CONCATENATE("          ", "6235", " - ", "COVID-19 EXPENSES")</f>
        <v xml:space="preserve">          6235 - COVID-19 EXPENSES</v>
      </c>
      <c r="C76" s="11"/>
      <c r="D76" s="7"/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0</v>
      </c>
      <c r="M76" s="2"/>
      <c r="N76" s="6">
        <f t="shared" si="51"/>
        <v>0</v>
      </c>
      <c r="O76" s="11"/>
      <c r="P76" s="7">
        <v>744.18</v>
      </c>
      <c r="Q76" s="2"/>
      <c r="R76" s="6">
        <f t="shared" si="52"/>
        <v>0</v>
      </c>
      <c r="S76" s="2"/>
      <c r="T76" s="7"/>
      <c r="U76" s="2"/>
      <c r="V76" s="6">
        <f t="shared" si="53"/>
        <v>0</v>
      </c>
      <c r="W76" s="2"/>
      <c r="X76" s="7">
        <f t="shared" si="54"/>
        <v>744.18</v>
      </c>
      <c r="Y76" s="2"/>
      <c r="Z76" s="6">
        <f t="shared" si="55"/>
        <v>0</v>
      </c>
    </row>
    <row r="77" spans="1:26" s="24" customFormat="1" hidden="1" outlineLevel="2" x14ac:dyDescent="0.25">
      <c r="A77" s="28"/>
      <c r="B77" s="11" t="str">
        <f>CONCATENATE("          ", "6241", " - ", "OFFICE EXPENSE")</f>
        <v xml:space="preserve">          6241 - OFFICE EXPENSE</v>
      </c>
      <c r="C77" s="11"/>
      <c r="D77" s="7">
        <v>-4177.33</v>
      </c>
      <c r="E77" s="2"/>
      <c r="F77" s="6">
        <f t="shared" si="48"/>
        <v>0</v>
      </c>
      <c r="G77" s="2"/>
      <c r="H77" s="7">
        <v>7511.36</v>
      </c>
      <c r="I77" s="2"/>
      <c r="J77" s="6">
        <f t="shared" si="49"/>
        <v>0</v>
      </c>
      <c r="K77" s="2"/>
      <c r="L77" s="7">
        <f t="shared" si="50"/>
        <v>-11688.689999999999</v>
      </c>
      <c r="M77" s="2"/>
      <c r="N77" s="6">
        <f t="shared" si="51"/>
        <v>-1.556134974225706</v>
      </c>
      <c r="O77" s="11"/>
      <c r="P77" s="7">
        <v>-3386.41</v>
      </c>
      <c r="Q77" s="2"/>
      <c r="R77" s="6">
        <f t="shared" si="52"/>
        <v>0</v>
      </c>
      <c r="S77" s="2"/>
      <c r="T77" s="7">
        <v>23335.72</v>
      </c>
      <c r="U77" s="2"/>
      <c r="V77" s="6">
        <f t="shared" si="53"/>
        <v>0</v>
      </c>
      <c r="W77" s="2"/>
      <c r="X77" s="7">
        <f t="shared" si="54"/>
        <v>-26722.13</v>
      </c>
      <c r="Y77" s="2"/>
      <c r="Z77" s="6">
        <f t="shared" si="55"/>
        <v>-1.1451170137454512</v>
      </c>
    </row>
    <row r="78" spans="1:26" s="24" customFormat="1" hidden="1" outlineLevel="2" x14ac:dyDescent="0.25">
      <c r="A78" s="28"/>
      <c r="B78" s="11" t="str">
        <f>CONCATENATE("          ", "6244", " - ", "SAFETY SUPPLY EXPENSE")</f>
        <v xml:space="preserve">          6244 - SAFETY SUPPLY EXPENSE</v>
      </c>
      <c r="C78" s="11"/>
      <c r="D78" s="7">
        <v>50</v>
      </c>
      <c r="E78" s="2"/>
      <c r="F78" s="6">
        <f t="shared" si="48"/>
        <v>0</v>
      </c>
      <c r="G78" s="2"/>
      <c r="H78" s="7">
        <v>354.41</v>
      </c>
      <c r="I78" s="2"/>
      <c r="J78" s="6">
        <f t="shared" si="49"/>
        <v>0</v>
      </c>
      <c r="K78" s="2"/>
      <c r="L78" s="7">
        <f t="shared" si="50"/>
        <v>-304.41000000000003</v>
      </c>
      <c r="M78" s="2"/>
      <c r="N78" s="6">
        <f t="shared" si="51"/>
        <v>-0.8589204593549844</v>
      </c>
      <c r="O78" s="11"/>
      <c r="P78" s="7">
        <v>197.71</v>
      </c>
      <c r="Q78" s="2"/>
      <c r="R78" s="6">
        <f t="shared" si="52"/>
        <v>0</v>
      </c>
      <c r="S78" s="2"/>
      <c r="T78" s="7">
        <v>1232.33</v>
      </c>
      <c r="U78" s="2"/>
      <c r="V78" s="6">
        <f t="shared" si="53"/>
        <v>0</v>
      </c>
      <c r="W78" s="2"/>
      <c r="X78" s="7">
        <f t="shared" si="54"/>
        <v>-1034.6199999999999</v>
      </c>
      <c r="Y78" s="2"/>
      <c r="Z78" s="6">
        <f t="shared" si="55"/>
        <v>-0.83956407780383502</v>
      </c>
    </row>
    <row r="79" spans="1:26" s="24" customFormat="1" hidden="1" outlineLevel="2" x14ac:dyDescent="0.25">
      <c r="A79" s="28"/>
      <c r="B79" s="11" t="str">
        <f>CONCATENATE("          ", "6245", " - ", "PRINTING")</f>
        <v xml:space="preserve">          6245 - PRINTING</v>
      </c>
      <c r="C79" s="11"/>
      <c r="D79" s="7"/>
      <c r="E79" s="2"/>
      <c r="F79" s="6">
        <f t="shared" si="48"/>
        <v>0</v>
      </c>
      <c r="G79" s="2"/>
      <c r="H79" s="7">
        <v>119.07</v>
      </c>
      <c r="I79" s="2"/>
      <c r="J79" s="6">
        <f t="shared" si="49"/>
        <v>0</v>
      </c>
      <c r="K79" s="2"/>
      <c r="L79" s="7">
        <f t="shared" si="50"/>
        <v>-119.07</v>
      </c>
      <c r="M79" s="2"/>
      <c r="N79" s="6">
        <f t="shared" si="51"/>
        <v>-1</v>
      </c>
      <c r="O79" s="11"/>
      <c r="P79" s="7"/>
      <c r="Q79" s="2"/>
      <c r="R79" s="6">
        <f t="shared" si="52"/>
        <v>0</v>
      </c>
      <c r="S79" s="2"/>
      <c r="T79" s="7">
        <v>2779.19</v>
      </c>
      <c r="U79" s="2"/>
      <c r="V79" s="6">
        <f t="shared" si="53"/>
        <v>0</v>
      </c>
      <c r="W79" s="2"/>
      <c r="X79" s="7">
        <f t="shared" si="54"/>
        <v>-2779.19</v>
      </c>
      <c r="Y79" s="2"/>
      <c r="Z79" s="6">
        <f t="shared" si="55"/>
        <v>-1</v>
      </c>
    </row>
    <row r="80" spans="1:26" s="27" customFormat="1" outlineLevel="1" collapsed="1" x14ac:dyDescent="0.25">
      <c r="A80" s="29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SUM(OSRRefD22_17x_0)</f>
        <v>2109.0099999999998</v>
      </c>
      <c r="E80" s="1"/>
      <c r="F80" s="5">
        <f t="shared" ref="F80:F82" si="56">IF(D$12=0,0,D80/D$12)</f>
        <v>0</v>
      </c>
      <c r="G80" s="1"/>
      <c r="H80" s="1">
        <f>SUM(OSRRefH22_17x_0)</f>
        <v>2234.73</v>
      </c>
      <c r="I80" s="1"/>
      <c r="J80" s="5">
        <f t="shared" ref="J80:J82" si="57">IF(H$12=0,0,H80/H$12)</f>
        <v>0</v>
      </c>
      <c r="K80" s="1"/>
      <c r="L80" s="1">
        <f t="shared" ref="L80:L82" si="58">+D80-H80</f>
        <v>-125.72000000000025</v>
      </c>
      <c r="M80" s="1"/>
      <c r="N80" s="5">
        <f t="shared" ref="N80:N82" si="59">IF(H80=0,0,L80/H80)</f>
        <v>-5.6257355474710703E-2</v>
      </c>
      <c r="O80" s="14"/>
      <c r="P80" s="1">
        <f>SUM(OSRRefP22_17x_0)</f>
        <v>6280.1</v>
      </c>
      <c r="Q80" s="1"/>
      <c r="R80" s="5">
        <f t="shared" ref="R80:R82" si="60">IF(P$12=0,0,P80/P$12)</f>
        <v>0</v>
      </c>
      <c r="S80" s="1"/>
      <c r="T80" s="1">
        <f>SUM(OSRRefT22_17x_0)</f>
        <v>9277.77</v>
      </c>
      <c r="U80" s="1"/>
      <c r="V80" s="5">
        <f t="shared" ref="V80:V82" si="61">IF(T$12=0,0,T80/T$12)</f>
        <v>0</v>
      </c>
      <c r="W80" s="1"/>
      <c r="X80" s="1">
        <f t="shared" ref="X80:X82" si="62">+P80-T80</f>
        <v>-2997.67</v>
      </c>
      <c r="Y80" s="1"/>
      <c r="Z80" s="5">
        <f t="shared" ref="Z80:Z82" si="63">IF(T80=0,0,X80/T80)</f>
        <v>-0.32310242655293242</v>
      </c>
    </row>
    <row r="81" spans="1:26" s="24" customFormat="1" hidden="1" outlineLevel="2" x14ac:dyDescent="0.25">
      <c r="A81" s="28"/>
      <c r="B81" s="11" t="str">
        <f>CONCATENATE("          ", "6303", " - ", "DATA PHONE LINES")</f>
        <v xml:space="preserve">          6303 - DATA PHONE LINES</v>
      </c>
      <c r="C81" s="11"/>
      <c r="D81" s="7">
        <v>78.989999999999995</v>
      </c>
      <c r="E81" s="2"/>
      <c r="F81" s="6">
        <f t="shared" si="56"/>
        <v>0</v>
      </c>
      <c r="G81" s="2"/>
      <c r="H81" s="7">
        <v>116.55</v>
      </c>
      <c r="I81" s="2"/>
      <c r="J81" s="6">
        <f t="shared" si="57"/>
        <v>0</v>
      </c>
      <c r="K81" s="2"/>
      <c r="L81" s="7">
        <f t="shared" si="58"/>
        <v>-37.56</v>
      </c>
      <c r="M81" s="2"/>
      <c r="N81" s="6">
        <f t="shared" si="59"/>
        <v>-0.32226512226512227</v>
      </c>
      <c r="O81" s="11"/>
      <c r="P81" s="7">
        <v>236.97</v>
      </c>
      <c r="Q81" s="2"/>
      <c r="R81" s="6">
        <f t="shared" si="60"/>
        <v>0</v>
      </c>
      <c r="S81" s="2"/>
      <c r="T81" s="7">
        <v>507.62</v>
      </c>
      <c r="U81" s="2"/>
      <c r="V81" s="6">
        <f t="shared" si="61"/>
        <v>0</v>
      </c>
      <c r="W81" s="2"/>
      <c r="X81" s="7">
        <f t="shared" si="62"/>
        <v>-270.64999999999998</v>
      </c>
      <c r="Y81" s="2"/>
      <c r="Z81" s="6">
        <f t="shared" si="63"/>
        <v>-0.53317442181159125</v>
      </c>
    </row>
    <row r="82" spans="1:26" s="24" customFormat="1" hidden="1" outlineLevel="2" x14ac:dyDescent="0.25">
      <c r="A82" s="28"/>
      <c r="B82" s="11" t="str">
        <f>CONCATENATE("          ", "6309", " - ", "TELEPHONE")</f>
        <v xml:space="preserve">          6309 - TELEPHONE</v>
      </c>
      <c r="C82" s="11"/>
      <c r="D82" s="7">
        <v>2030.02</v>
      </c>
      <c r="E82" s="2"/>
      <c r="F82" s="6">
        <f t="shared" si="56"/>
        <v>0</v>
      </c>
      <c r="G82" s="2"/>
      <c r="H82" s="7">
        <v>2118.1799999999998</v>
      </c>
      <c r="I82" s="2"/>
      <c r="J82" s="6">
        <f t="shared" si="57"/>
        <v>0</v>
      </c>
      <c r="K82" s="2"/>
      <c r="L82" s="7">
        <f t="shared" si="58"/>
        <v>-88.159999999999854</v>
      </c>
      <c r="M82" s="2"/>
      <c r="N82" s="6">
        <f t="shared" si="59"/>
        <v>-4.1620636584237349E-2</v>
      </c>
      <c r="O82" s="11"/>
      <c r="P82" s="7">
        <v>6043.13</v>
      </c>
      <c r="Q82" s="2"/>
      <c r="R82" s="6">
        <f t="shared" si="60"/>
        <v>0</v>
      </c>
      <c r="S82" s="2"/>
      <c r="T82" s="7">
        <v>8770.15</v>
      </c>
      <c r="U82" s="2"/>
      <c r="V82" s="6">
        <f t="shared" si="61"/>
        <v>0</v>
      </c>
      <c r="W82" s="2"/>
      <c r="X82" s="7">
        <f t="shared" si="62"/>
        <v>-2727.0199999999995</v>
      </c>
      <c r="Y82" s="2"/>
      <c r="Z82" s="6">
        <f t="shared" si="63"/>
        <v>-0.31094337040985615</v>
      </c>
    </row>
    <row r="83" spans="1:26" s="27" customFormat="1" outlineLevel="1" collapsed="1" x14ac:dyDescent="0.25">
      <c r="A83" s="29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SUM(OSRRefD22_18x_0)</f>
        <v>102</v>
      </c>
      <c r="E83" s="1"/>
      <c r="F83" s="5">
        <f t="shared" ref="F83:F87" si="64">IF(D$12=0,0,D83/D$12)</f>
        <v>0</v>
      </c>
      <c r="G83" s="1"/>
      <c r="H83" s="1">
        <f>SUM(OSRRefH22_18x_0)</f>
        <v>463</v>
      </c>
      <c r="I83" s="1"/>
      <c r="J83" s="5">
        <f t="shared" ref="J83:J87" si="65">IF(H$12=0,0,H83/H$12)</f>
        <v>0</v>
      </c>
      <c r="K83" s="1"/>
      <c r="L83" s="1">
        <f t="shared" ref="L83:L87" si="66">+D83-H83</f>
        <v>-361</v>
      </c>
      <c r="M83" s="1"/>
      <c r="N83" s="5">
        <f t="shared" ref="N83:N87" si="67">IF(H83=0,0,L83/H83)</f>
        <v>-0.77969762419006483</v>
      </c>
      <c r="O83" s="14"/>
      <c r="P83" s="1">
        <f>SUM(OSRRefP22_18x_0)</f>
        <v>102</v>
      </c>
      <c r="Q83" s="1"/>
      <c r="R83" s="5">
        <f t="shared" ref="R83:R87" si="68">IF(P$12=0,0,P83/P$12)</f>
        <v>0</v>
      </c>
      <c r="S83" s="1"/>
      <c r="T83" s="1">
        <f>SUM(OSRRefT22_18x_0)</f>
        <v>5461.98</v>
      </c>
      <c r="U83" s="1"/>
      <c r="V83" s="5">
        <f t="shared" ref="V83:V87" si="69">IF(T$12=0,0,T83/T$12)</f>
        <v>0</v>
      </c>
      <c r="W83" s="1"/>
      <c r="X83" s="1">
        <f t="shared" ref="X83:X87" si="70">+P83-T83</f>
        <v>-5359.98</v>
      </c>
      <c r="Y83" s="1"/>
      <c r="Z83" s="5">
        <f t="shared" ref="Z83:Z87" si="71">IF(T83=0,0,X83/T83)</f>
        <v>-0.98132545340700628</v>
      </c>
    </row>
    <row r="84" spans="1:26" s="24" customFormat="1" hidden="1" outlineLevel="2" x14ac:dyDescent="0.25">
      <c r="A84" s="28"/>
      <c r="B84" s="11" t="str">
        <f>CONCATENATE("          ", "6376", " - ", "TRAINING")</f>
        <v xml:space="preserve">          6376 - TRAINING</v>
      </c>
      <c r="C84" s="11"/>
      <c r="D84" s="7">
        <v>102</v>
      </c>
      <c r="E84" s="2"/>
      <c r="F84" s="6">
        <f t="shared" si="64"/>
        <v>0</v>
      </c>
      <c r="G84" s="2"/>
      <c r="H84" s="7">
        <v>463</v>
      </c>
      <c r="I84" s="2"/>
      <c r="J84" s="6">
        <f t="shared" si="65"/>
        <v>0</v>
      </c>
      <c r="K84" s="2"/>
      <c r="L84" s="7">
        <f t="shared" si="66"/>
        <v>-361</v>
      </c>
      <c r="M84" s="2"/>
      <c r="N84" s="6">
        <f t="shared" si="67"/>
        <v>-0.77969762419006483</v>
      </c>
      <c r="O84" s="11"/>
      <c r="P84" s="7">
        <v>102</v>
      </c>
      <c r="Q84" s="2"/>
      <c r="R84" s="6">
        <f t="shared" si="68"/>
        <v>0</v>
      </c>
      <c r="S84" s="2"/>
      <c r="T84" s="7">
        <v>5461.98</v>
      </c>
      <c r="U84" s="2"/>
      <c r="V84" s="6">
        <f t="shared" si="69"/>
        <v>0</v>
      </c>
      <c r="W84" s="2"/>
      <c r="X84" s="7">
        <f t="shared" si="70"/>
        <v>-5359.98</v>
      </c>
      <c r="Y84" s="2"/>
      <c r="Z84" s="6">
        <f t="shared" si="71"/>
        <v>-0.98132545340700628</v>
      </c>
    </row>
    <row r="85" spans="1:26" s="27" customFormat="1" outlineLevel="1" collapsed="1" x14ac:dyDescent="0.25">
      <c r="A85" s="29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SUM(OSRRefD22_19x_0)</f>
        <v>0</v>
      </c>
      <c r="E85" s="1"/>
      <c r="F85" s="5">
        <f t="shared" si="64"/>
        <v>0</v>
      </c>
      <c r="G85" s="1"/>
      <c r="H85" s="1">
        <f>SUM(OSRRefH22_19x_0)</f>
        <v>856.9</v>
      </c>
      <c r="I85" s="1"/>
      <c r="J85" s="5">
        <f t="shared" si="65"/>
        <v>0</v>
      </c>
      <c r="K85" s="1"/>
      <c r="L85" s="1">
        <f t="shared" si="66"/>
        <v>-856.9</v>
      </c>
      <c r="M85" s="1"/>
      <c r="N85" s="5">
        <f t="shared" si="67"/>
        <v>-1</v>
      </c>
      <c r="O85" s="14"/>
      <c r="P85" s="1">
        <f>SUM(OSRRefP22_19x_0)</f>
        <v>17.55</v>
      </c>
      <c r="Q85" s="1"/>
      <c r="R85" s="5">
        <f t="shared" si="68"/>
        <v>0</v>
      </c>
      <c r="S85" s="1"/>
      <c r="T85" s="1">
        <f>SUM(OSRRefT22_19x_0)</f>
        <v>5170.32</v>
      </c>
      <c r="U85" s="1"/>
      <c r="V85" s="5">
        <f t="shared" si="69"/>
        <v>0</v>
      </c>
      <c r="W85" s="1"/>
      <c r="X85" s="1">
        <f t="shared" si="70"/>
        <v>-5152.7699999999995</v>
      </c>
      <c r="Y85" s="1"/>
      <c r="Z85" s="5">
        <f t="shared" si="71"/>
        <v>-0.99660562595738755</v>
      </c>
    </row>
    <row r="86" spans="1:26" s="24" customFormat="1" hidden="1" outlineLevel="2" x14ac:dyDescent="0.25">
      <c r="A86" s="28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64"/>
        <v>0</v>
      </c>
      <c r="G86" s="2"/>
      <c r="H86" s="7">
        <v>856.9</v>
      </c>
      <c r="I86" s="2"/>
      <c r="J86" s="6">
        <f t="shared" si="65"/>
        <v>0</v>
      </c>
      <c r="K86" s="2"/>
      <c r="L86" s="7">
        <f t="shared" si="66"/>
        <v>-856.9</v>
      </c>
      <c r="M86" s="2"/>
      <c r="N86" s="6">
        <f t="shared" si="67"/>
        <v>-1</v>
      </c>
      <c r="O86" s="11"/>
      <c r="P86" s="7"/>
      <c r="Q86" s="2"/>
      <c r="R86" s="6">
        <f t="shared" si="68"/>
        <v>0</v>
      </c>
      <c r="S86" s="2"/>
      <c r="T86" s="7">
        <v>5146.42</v>
      </c>
      <c r="U86" s="2"/>
      <c r="V86" s="6">
        <f t="shared" si="69"/>
        <v>0</v>
      </c>
      <c r="W86" s="2"/>
      <c r="X86" s="7">
        <f t="shared" si="70"/>
        <v>-5146.42</v>
      </c>
      <c r="Y86" s="2"/>
      <c r="Z86" s="6">
        <f t="shared" si="71"/>
        <v>-1</v>
      </c>
    </row>
    <row r="87" spans="1:26" s="24" customFormat="1" hidden="1" outlineLevel="2" x14ac:dyDescent="0.25">
      <c r="A87" s="28"/>
      <c r="B87" s="11" t="str">
        <f>CONCATENATE("          ", "6294", " - ", "TRAVEL OPERATIONAL")</f>
        <v xml:space="preserve">          6294 - TRAVEL OPERATIONAL</v>
      </c>
      <c r="C87" s="11"/>
      <c r="D87" s="7"/>
      <c r="E87" s="2"/>
      <c r="F87" s="6">
        <f t="shared" si="64"/>
        <v>0</v>
      </c>
      <c r="G87" s="2"/>
      <c r="H87" s="7"/>
      <c r="I87" s="2"/>
      <c r="J87" s="6">
        <f t="shared" si="65"/>
        <v>0</v>
      </c>
      <c r="K87" s="2"/>
      <c r="L87" s="7">
        <f t="shared" si="66"/>
        <v>0</v>
      </c>
      <c r="M87" s="2"/>
      <c r="N87" s="6">
        <f t="shared" si="67"/>
        <v>0</v>
      </c>
      <c r="O87" s="11"/>
      <c r="P87" s="7">
        <v>17.55</v>
      </c>
      <c r="Q87" s="2"/>
      <c r="R87" s="6">
        <f t="shared" si="68"/>
        <v>0</v>
      </c>
      <c r="S87" s="2"/>
      <c r="T87" s="7">
        <v>23.9</v>
      </c>
      <c r="U87" s="2"/>
      <c r="V87" s="6">
        <f t="shared" si="69"/>
        <v>0</v>
      </c>
      <c r="W87" s="2"/>
      <c r="X87" s="7">
        <f t="shared" si="70"/>
        <v>-6.3499999999999979</v>
      </c>
      <c r="Y87" s="2"/>
      <c r="Z87" s="6">
        <f t="shared" si="71"/>
        <v>-0.2656903765690376</v>
      </c>
    </row>
    <row r="88" spans="1:26" s="60" customFormat="1" x14ac:dyDescent="0.25">
      <c r="A88" s="37"/>
      <c r="B88" s="37"/>
      <c r="C88" s="37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7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6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5" t="s">
        <v>3</v>
      </c>
      <c r="C91" s="25"/>
      <c r="D91" s="22">
        <f>+D16-D18+D89</f>
        <v>-210081.48</v>
      </c>
      <c r="E91" s="13"/>
      <c r="F91" s="21">
        <f>IF(D$12=0,0,D91/D$12)</f>
        <v>0</v>
      </c>
      <c r="G91" s="13"/>
      <c r="H91" s="22">
        <f>+H16-H18+H89</f>
        <v>-331728.94</v>
      </c>
      <c r="I91" s="13"/>
      <c r="J91" s="21">
        <f>IF(H$12=0,0,H91/H$12)</f>
        <v>0</v>
      </c>
      <c r="K91" s="15"/>
      <c r="L91" s="22">
        <f>+D91-H91</f>
        <v>121647.45999999999</v>
      </c>
      <c r="M91" s="15"/>
      <c r="N91" s="21">
        <f>IF(H91=0,0,L91/H91)</f>
        <v>-0.366707408765723</v>
      </c>
      <c r="O91" s="26"/>
      <c r="P91" s="22">
        <f>+P16-P18+P89</f>
        <v>-663897.74</v>
      </c>
      <c r="Q91" s="13"/>
      <c r="R91" s="21">
        <f>IF(P$12=0,0,P91/P$12)</f>
        <v>0</v>
      </c>
      <c r="S91" s="13"/>
      <c r="T91" s="22">
        <f>+T16-T18+T89</f>
        <v>-1045557.8000000003</v>
      </c>
      <c r="U91" s="13"/>
      <c r="V91" s="21">
        <f>IF(T$12=0,0,T91/T$12)</f>
        <v>0</v>
      </c>
      <c r="W91" s="15"/>
      <c r="X91" s="22">
        <f>+P91-T91</f>
        <v>381660.06000000029</v>
      </c>
      <c r="Y91" s="15"/>
      <c r="Z91" s="21">
        <f>IF(T91=0,0,X91/T91)</f>
        <v>-0.36503009207142845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1"/>
      <c r="B93" s="10" t="s">
        <v>13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5" t="s">
        <v>4</v>
      </c>
      <c r="C95" s="25"/>
      <c r="D95" s="33">
        <f>+D91-D93</f>
        <v>-210081.48</v>
      </c>
      <c r="E95" s="13"/>
      <c r="F95" s="32">
        <f>IF(D$12=0,0,D95/D$12)</f>
        <v>0</v>
      </c>
      <c r="G95" s="13"/>
      <c r="H95" s="33">
        <f>+H91-H93</f>
        <v>-331728.94</v>
      </c>
      <c r="I95" s="13"/>
      <c r="J95" s="32">
        <f>IF(H$12=0,0,H95/H$12)</f>
        <v>0</v>
      </c>
      <c r="K95" s="15"/>
      <c r="L95" s="33">
        <f>D95-H95</f>
        <v>121647.45999999999</v>
      </c>
      <c r="M95" s="15"/>
      <c r="N95" s="32">
        <f>IF(H95=0,0,L95/H95)</f>
        <v>-0.366707408765723</v>
      </c>
      <c r="O95" s="26"/>
      <c r="P95" s="33">
        <f>+P91-P93</f>
        <v>-663897.74</v>
      </c>
      <c r="Q95" s="13"/>
      <c r="R95" s="32">
        <f>IF(P$12=0,0,P95/P$12)</f>
        <v>0</v>
      </c>
      <c r="S95" s="13"/>
      <c r="T95" s="33">
        <f>+T91-T93</f>
        <v>-1045557.8000000003</v>
      </c>
      <c r="U95" s="13"/>
      <c r="V95" s="32">
        <f>IF(T$12=0,0,T95/T$12)</f>
        <v>0</v>
      </c>
      <c r="W95" s="15"/>
      <c r="X95" s="33">
        <f>P95-T95</f>
        <v>381660.06000000029</v>
      </c>
      <c r="Y95" s="15"/>
      <c r="Z95" s="32">
        <f>IF(T95=0,0,X95/T95)</f>
        <v>-0.36503009207142845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5" t="s">
        <v>5</v>
      </c>
      <c r="C98" s="25"/>
      <c r="D98" s="34">
        <f>SUM(D95:D97)</f>
        <v>-210081.48</v>
      </c>
      <c r="E98" s="13"/>
      <c r="F98" s="31">
        <f>IF(D$12=0,0,D98/D$12)</f>
        <v>0</v>
      </c>
      <c r="G98" s="13"/>
      <c r="H98" s="34">
        <f>SUM(H95:H97)</f>
        <v>-331728.94</v>
      </c>
      <c r="I98" s="13"/>
      <c r="J98" s="31">
        <f>IF(H$12=0,0,H98/H$12)</f>
        <v>0</v>
      </c>
      <c r="K98" s="15"/>
      <c r="L98" s="34">
        <f>+D98-H98</f>
        <v>121647.45999999999</v>
      </c>
      <c r="M98" s="15"/>
      <c r="N98" s="31">
        <f>IF(H98=0,0,L98/H98)</f>
        <v>-0.366707408765723</v>
      </c>
      <c r="O98" s="26"/>
      <c r="P98" s="34">
        <f>SUM(P95:P97)</f>
        <v>-663897.74</v>
      </c>
      <c r="Q98" s="13"/>
      <c r="R98" s="31">
        <f>IF(P$12=0,0,P98/P$12)</f>
        <v>0</v>
      </c>
      <c r="S98" s="13"/>
      <c r="T98" s="34">
        <f>SUM(T95:T97)</f>
        <v>-1045557.8000000003</v>
      </c>
      <c r="U98" s="13"/>
      <c r="V98" s="31">
        <f>IF(T$12=0,0,T98/T$12)</f>
        <v>0</v>
      </c>
      <c r="W98" s="15"/>
      <c r="X98" s="34">
        <f>+P98-T98</f>
        <v>381660.06000000029</v>
      </c>
      <c r="Y98" s="15"/>
      <c r="Z98" s="31">
        <f>IF(T98=0,0,X98/T98)</f>
        <v>-0.36503009207142845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4">
        <v>44123.564586145832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9" t="s">
        <v>313</v>
      </c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8"/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31927.710000000003</v>
      </c>
      <c r="E18" s="20"/>
      <c r="F18" s="36">
        <f t="shared" ref="F18:F27" si="0">IF(D$12=0,0,D18/D$12)</f>
        <v>0</v>
      </c>
      <c r="G18" s="20"/>
      <c r="H18" s="20">
        <f>SUM(OSRRefH22x_0)</f>
        <v>52222.929999999993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-20295.21999999999</v>
      </c>
      <c r="M18" s="4"/>
      <c r="N18" s="36">
        <f t="shared" ref="N18:N27" si="3">IF(H18=0,0,L18/H18)</f>
        <v>-0.38862660520962711</v>
      </c>
      <c r="O18" s="10"/>
      <c r="P18" s="20">
        <f>SUM(OSRRefP22x_0)</f>
        <v>110257.58</v>
      </c>
      <c r="Q18" s="20"/>
      <c r="R18" s="36">
        <f t="shared" ref="R18:R27" si="4">IF(P$12=0,0,P18/P$12)</f>
        <v>0</v>
      </c>
      <c r="S18" s="20"/>
      <c r="T18" s="20">
        <f>SUM(OSRRefT22x_0)</f>
        <v>129890.79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-19633.209999999992</v>
      </c>
      <c r="Y18" s="4"/>
      <c r="Z18" s="36">
        <f t="shared" ref="Z18:Z27" si="7">IF(T18=0,0,X18/T18)</f>
        <v>-0.15115167133866839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31087.670000000002</v>
      </c>
      <c r="E19" s="1"/>
      <c r="F19" s="5">
        <f t="shared" si="0"/>
        <v>0</v>
      </c>
      <c r="G19" s="1"/>
      <c r="H19" s="1">
        <f>SUM(OSRRefH22_0x_0)</f>
        <v>30468.499999999996</v>
      </c>
      <c r="I19" s="1"/>
      <c r="J19" s="5">
        <f t="shared" si="1"/>
        <v>0</v>
      </c>
      <c r="K19" s="1"/>
      <c r="L19" s="1">
        <f t="shared" si="2"/>
        <v>619.17000000000553</v>
      </c>
      <c r="M19" s="1"/>
      <c r="N19" s="5">
        <f t="shared" si="3"/>
        <v>2.0321643664768716E-2</v>
      </c>
      <c r="O19" s="14"/>
      <c r="P19" s="1">
        <f>SUM(OSRRefP22_0x_0)</f>
        <v>91763.010000000009</v>
      </c>
      <c r="Q19" s="1"/>
      <c r="R19" s="5">
        <f t="shared" si="4"/>
        <v>0</v>
      </c>
      <c r="S19" s="1"/>
      <c r="T19" s="1">
        <f>SUM(OSRRefT22_0x_0)</f>
        <v>88296.639999999999</v>
      </c>
      <c r="U19" s="1"/>
      <c r="V19" s="5">
        <f t="shared" si="5"/>
        <v>0</v>
      </c>
      <c r="W19" s="1"/>
      <c r="X19" s="1">
        <f t="shared" si="6"/>
        <v>3466.3700000000099</v>
      </c>
      <c r="Y19" s="1"/>
      <c r="Z19" s="5">
        <f t="shared" si="7"/>
        <v>3.925823224983431E-2</v>
      </c>
    </row>
    <row r="20" spans="1:26" s="24" customFormat="1" hidden="1" outlineLevel="2" x14ac:dyDescent="0.25">
      <c r="A20" s="28"/>
      <c r="B20" s="11" t="str">
        <f>CONCATENATE("          ", "6120", " - ", "RETIREES HEALTH INSURANCE")</f>
        <v xml:space="preserve">          6120 - RETIREES HEALTH INSURANCE</v>
      </c>
      <c r="C20" s="11"/>
      <c r="D20" s="7">
        <v>31087.670000000002</v>
      </c>
      <c r="E20" s="2"/>
      <c r="F20" s="6">
        <f t="shared" si="0"/>
        <v>0</v>
      </c>
      <c r="G20" s="2"/>
      <c r="H20" s="7">
        <v>30468.499999999996</v>
      </c>
      <c r="I20" s="2"/>
      <c r="J20" s="6">
        <f t="shared" si="1"/>
        <v>0</v>
      </c>
      <c r="K20" s="2"/>
      <c r="L20" s="7">
        <f t="shared" si="2"/>
        <v>619.17000000000553</v>
      </c>
      <c r="M20" s="2"/>
      <c r="N20" s="6">
        <f t="shared" si="3"/>
        <v>2.0321643664768716E-2</v>
      </c>
      <c r="O20" s="11"/>
      <c r="P20" s="7">
        <v>91763.010000000009</v>
      </c>
      <c r="Q20" s="2"/>
      <c r="R20" s="6">
        <f t="shared" si="4"/>
        <v>0</v>
      </c>
      <c r="S20" s="2"/>
      <c r="T20" s="7">
        <v>88296.639999999999</v>
      </c>
      <c r="U20" s="2"/>
      <c r="V20" s="6">
        <f t="shared" si="5"/>
        <v>0</v>
      </c>
      <c r="W20" s="2"/>
      <c r="X20" s="7">
        <f t="shared" si="6"/>
        <v>3466.3700000000099</v>
      </c>
      <c r="Y20" s="2"/>
      <c r="Z20" s="6">
        <f t="shared" si="7"/>
        <v>3.925823224983431E-2</v>
      </c>
    </row>
    <row r="21" spans="1:26" s="27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3165.08</v>
      </c>
      <c r="I21" s="1"/>
      <c r="J21" s="5">
        <f t="shared" si="1"/>
        <v>0</v>
      </c>
      <c r="K21" s="1"/>
      <c r="L21" s="1">
        <f t="shared" si="2"/>
        <v>-3158.08</v>
      </c>
      <c r="M21" s="1"/>
      <c r="N21" s="5">
        <f t="shared" si="3"/>
        <v>-0.99778836553894368</v>
      </c>
      <c r="O21" s="14"/>
      <c r="P21" s="1">
        <f>SUM(OSRRefP22_1x_0)</f>
        <v>937.98</v>
      </c>
      <c r="Q21" s="1"/>
      <c r="R21" s="5">
        <f t="shared" si="4"/>
        <v>0</v>
      </c>
      <c r="S21" s="1"/>
      <c r="T21" s="1">
        <f>SUM(OSRRefT22_1x_0)</f>
        <v>6603.12</v>
      </c>
      <c r="U21" s="1"/>
      <c r="V21" s="5">
        <f t="shared" si="5"/>
        <v>0</v>
      </c>
      <c r="W21" s="1"/>
      <c r="X21" s="1">
        <f t="shared" si="6"/>
        <v>-5665.1399999999994</v>
      </c>
      <c r="Y21" s="1"/>
      <c r="Z21" s="5">
        <f t="shared" si="7"/>
        <v>-0.85794896957801758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3165.08</v>
      </c>
      <c r="I22" s="2"/>
      <c r="J22" s="6">
        <f t="shared" si="1"/>
        <v>0</v>
      </c>
      <c r="K22" s="2"/>
      <c r="L22" s="7">
        <f t="shared" si="2"/>
        <v>-3158.08</v>
      </c>
      <c r="M22" s="2"/>
      <c r="N22" s="6">
        <f t="shared" si="3"/>
        <v>-0.99778836553894368</v>
      </c>
      <c r="O22" s="11"/>
      <c r="P22" s="7">
        <v>937.98</v>
      </c>
      <c r="Q22" s="2"/>
      <c r="R22" s="6">
        <f t="shared" si="4"/>
        <v>0</v>
      </c>
      <c r="S22" s="2"/>
      <c r="T22" s="7">
        <v>6603.12</v>
      </c>
      <c r="U22" s="2"/>
      <c r="V22" s="6">
        <f t="shared" si="5"/>
        <v>0</v>
      </c>
      <c r="W22" s="2"/>
      <c r="X22" s="7">
        <f t="shared" si="6"/>
        <v>-5665.1399999999994</v>
      </c>
      <c r="Y22" s="2"/>
      <c r="Z22" s="6">
        <f t="shared" si="7"/>
        <v>-0.85794896957801758</v>
      </c>
    </row>
    <row r="23" spans="1:26" s="27" customFormat="1" outlineLevel="1" collapsed="1" x14ac:dyDescent="0.25">
      <c r="A23" s="29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833.04</v>
      </c>
      <c r="E23" s="1"/>
      <c r="F23" s="5">
        <f t="shared" si="0"/>
        <v>0</v>
      </c>
      <c r="G23" s="1"/>
      <c r="H23" s="1">
        <f>SUM(OSRRefH22_2x_0)</f>
        <v>3527.11</v>
      </c>
      <c r="I23" s="1"/>
      <c r="J23" s="5">
        <f t="shared" si="1"/>
        <v>0</v>
      </c>
      <c r="K23" s="1"/>
      <c r="L23" s="1">
        <f t="shared" si="2"/>
        <v>-2694.07</v>
      </c>
      <c r="M23" s="1"/>
      <c r="N23" s="5">
        <f t="shared" si="3"/>
        <v>-0.76381796995273754</v>
      </c>
      <c r="O23" s="14"/>
      <c r="P23" s="1">
        <f>SUM(OSRRefP22_2x_0)</f>
        <v>5970.84</v>
      </c>
      <c r="Q23" s="1"/>
      <c r="R23" s="5">
        <f t="shared" si="4"/>
        <v>0</v>
      </c>
      <c r="S23" s="1"/>
      <c r="T23" s="1">
        <f>SUM(OSRRefT22_2x_0)</f>
        <v>8441.7900000000009</v>
      </c>
      <c r="U23" s="1"/>
      <c r="V23" s="5">
        <f t="shared" si="5"/>
        <v>0</v>
      </c>
      <c r="W23" s="1"/>
      <c r="X23" s="1">
        <f t="shared" si="6"/>
        <v>-2470.9500000000007</v>
      </c>
      <c r="Y23" s="1"/>
      <c r="Z23" s="5">
        <f t="shared" si="7"/>
        <v>-0.29270450935168968</v>
      </c>
    </row>
    <row r="24" spans="1:26" s="24" customFormat="1" hidden="1" outlineLevel="2" x14ac:dyDescent="0.25">
      <c r="A24" s="28"/>
      <c r="B24" s="11" t="str">
        <f>CONCATENATE("          ", "6397", " - ", "BOARD EXPENSES")</f>
        <v xml:space="preserve">          6397 - BOARD EXPENSES</v>
      </c>
      <c r="C24" s="11"/>
      <c r="D24" s="7">
        <v>833.04</v>
      </c>
      <c r="E24" s="2"/>
      <c r="F24" s="6">
        <f t="shared" si="0"/>
        <v>0</v>
      </c>
      <c r="G24" s="2"/>
      <c r="H24" s="7">
        <v>3527.11</v>
      </c>
      <c r="I24" s="2"/>
      <c r="J24" s="6">
        <f t="shared" si="1"/>
        <v>0</v>
      </c>
      <c r="K24" s="2"/>
      <c r="L24" s="7">
        <f t="shared" si="2"/>
        <v>-2694.07</v>
      </c>
      <c r="M24" s="2"/>
      <c r="N24" s="6">
        <f t="shared" si="3"/>
        <v>-0.76381796995273754</v>
      </c>
      <c r="O24" s="11"/>
      <c r="P24" s="7">
        <v>5970.84</v>
      </c>
      <c r="Q24" s="2"/>
      <c r="R24" s="6">
        <f t="shared" si="4"/>
        <v>0</v>
      </c>
      <c r="S24" s="2"/>
      <c r="T24" s="7">
        <v>8441.7900000000009</v>
      </c>
      <c r="U24" s="2"/>
      <c r="V24" s="6">
        <f t="shared" si="5"/>
        <v>0</v>
      </c>
      <c r="W24" s="2"/>
      <c r="X24" s="7">
        <f t="shared" si="6"/>
        <v>-2470.9500000000007</v>
      </c>
      <c r="Y24" s="2"/>
      <c r="Z24" s="6">
        <f t="shared" si="7"/>
        <v>-0.29270450935168968</v>
      </c>
    </row>
    <row r="25" spans="1:26" s="27" customFormat="1" outlineLevel="1" collapsed="1" x14ac:dyDescent="0.25">
      <c r="A25" s="29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15062.24</v>
      </c>
      <c r="I25" s="1"/>
      <c r="J25" s="5">
        <f t="shared" si="1"/>
        <v>0</v>
      </c>
      <c r="K25" s="1"/>
      <c r="L25" s="1">
        <f t="shared" si="2"/>
        <v>-15062.24</v>
      </c>
      <c r="M25" s="1"/>
      <c r="N25" s="5">
        <f t="shared" si="3"/>
        <v>-1</v>
      </c>
      <c r="O25" s="14"/>
      <c r="P25" s="1">
        <f>SUM(OSRRefP22_3x_0)</f>
        <v>11585.75</v>
      </c>
      <c r="Q25" s="1"/>
      <c r="R25" s="5">
        <f t="shared" si="4"/>
        <v>0</v>
      </c>
      <c r="S25" s="1"/>
      <c r="T25" s="1">
        <f>SUM(OSRRefT22_3x_0)</f>
        <v>26549.239999999998</v>
      </c>
      <c r="U25" s="1"/>
      <c r="V25" s="5">
        <f t="shared" si="5"/>
        <v>0</v>
      </c>
      <c r="W25" s="1"/>
      <c r="X25" s="1">
        <f t="shared" si="6"/>
        <v>-14963.489999999998</v>
      </c>
      <c r="Y25" s="1"/>
      <c r="Z25" s="5">
        <f t="shared" si="7"/>
        <v>-0.56361274371695758</v>
      </c>
    </row>
    <row r="26" spans="1:26" s="24" customFormat="1" hidden="1" outlineLevel="2" x14ac:dyDescent="0.25">
      <c r="A26" s="28"/>
      <c r="B26" s="11" t="str">
        <f>CONCATENATE("          ", "6331", " - ", "INDIRECT COSTS-AUXILIARY ORGAN")</f>
        <v xml:space="preserve">          6331 - INDIRECT COSTS-AUXILIARY ORGAN</v>
      </c>
      <c r="C26" s="11"/>
      <c r="D26" s="7"/>
      <c r="E26" s="2"/>
      <c r="F26" s="6">
        <f t="shared" si="0"/>
        <v>0</v>
      </c>
      <c r="G26" s="2"/>
      <c r="H26" s="7"/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11585.75</v>
      </c>
      <c r="Q26" s="2"/>
      <c r="R26" s="6">
        <f t="shared" si="4"/>
        <v>0</v>
      </c>
      <c r="S26" s="2"/>
      <c r="T26" s="7">
        <v>11487</v>
      </c>
      <c r="U26" s="2"/>
      <c r="V26" s="6">
        <f t="shared" si="5"/>
        <v>0</v>
      </c>
      <c r="W26" s="2"/>
      <c r="X26" s="7">
        <f t="shared" si="6"/>
        <v>98.75</v>
      </c>
      <c r="Y26" s="2"/>
      <c r="Z26" s="6">
        <f t="shared" si="7"/>
        <v>8.5966745016105156E-3</v>
      </c>
    </row>
    <row r="27" spans="1:26" s="24" customFormat="1" hidden="1" outlineLevel="2" x14ac:dyDescent="0.25">
      <c r="A27" s="28"/>
      <c r="B27" s="11" t="str">
        <f>CONCATENATE("          ", "6332", " - ", "CONSULTANT FEES")</f>
        <v xml:space="preserve">          6332 - CONSULTANT FEES</v>
      </c>
      <c r="C27" s="11"/>
      <c r="D27" s="7"/>
      <c r="E27" s="2"/>
      <c r="F27" s="6">
        <f t="shared" si="0"/>
        <v>0</v>
      </c>
      <c r="G27" s="2"/>
      <c r="H27" s="7">
        <v>15062.24</v>
      </c>
      <c r="I27" s="2"/>
      <c r="J27" s="6">
        <f t="shared" si="1"/>
        <v>0</v>
      </c>
      <c r="K27" s="2"/>
      <c r="L27" s="7">
        <f t="shared" si="2"/>
        <v>-15062.24</v>
      </c>
      <c r="M27" s="2"/>
      <c r="N27" s="6">
        <f t="shared" si="3"/>
        <v>-1</v>
      </c>
      <c r="O27" s="11"/>
      <c r="P27" s="7"/>
      <c r="Q27" s="2"/>
      <c r="R27" s="6">
        <f t="shared" si="4"/>
        <v>0</v>
      </c>
      <c r="S27" s="2"/>
      <c r="T27" s="7">
        <v>15062.24</v>
      </c>
      <c r="U27" s="2"/>
      <c r="V27" s="6">
        <f t="shared" si="5"/>
        <v>0</v>
      </c>
      <c r="W27" s="2"/>
      <c r="X27" s="7">
        <f t="shared" si="6"/>
        <v>-15062.24</v>
      </c>
      <c r="Y27" s="2"/>
      <c r="Z27" s="6">
        <f t="shared" si="7"/>
        <v>-1</v>
      </c>
    </row>
    <row r="28" spans="1:26" s="60" customFormat="1" x14ac:dyDescent="0.25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5" t="s">
        <v>3</v>
      </c>
      <c r="C31" s="25"/>
      <c r="D31" s="22">
        <f>+D16-D18+D29</f>
        <v>-31927.710000000003</v>
      </c>
      <c r="E31" s="13"/>
      <c r="F31" s="21">
        <f>IF(D$12=0,0,D31/D$12)</f>
        <v>0</v>
      </c>
      <c r="G31" s="13"/>
      <c r="H31" s="22">
        <f>+H16-H18+H29</f>
        <v>-52222.929999999993</v>
      </c>
      <c r="I31" s="13"/>
      <c r="J31" s="21">
        <f>IF(H$12=0,0,H31/H$12)</f>
        <v>0</v>
      </c>
      <c r="K31" s="15"/>
      <c r="L31" s="22">
        <f>+D31-H31</f>
        <v>20295.21999999999</v>
      </c>
      <c r="M31" s="15"/>
      <c r="N31" s="21">
        <f>IF(H31=0,0,L31/H31)</f>
        <v>-0.38862660520962711</v>
      </c>
      <c r="O31" s="26"/>
      <c r="P31" s="22">
        <f>+P16-P18+P29</f>
        <v>-110257.58</v>
      </c>
      <c r="Q31" s="13"/>
      <c r="R31" s="21">
        <f>IF(P$12=0,0,P31/P$12)</f>
        <v>0</v>
      </c>
      <c r="S31" s="13"/>
      <c r="T31" s="22">
        <f>+T16-T18+T29</f>
        <v>-129890.79</v>
      </c>
      <c r="U31" s="13"/>
      <c r="V31" s="21">
        <f>IF(T$12=0,0,T31/T$12)</f>
        <v>0</v>
      </c>
      <c r="W31" s="15"/>
      <c r="X31" s="22">
        <f>+P31-T31</f>
        <v>19633.209999999992</v>
      </c>
      <c r="Y31" s="15"/>
      <c r="Z31" s="21">
        <f>IF(T31=0,0,X31/T31)</f>
        <v>-0.15115167133866839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13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5" t="s">
        <v>4</v>
      </c>
      <c r="C35" s="25"/>
      <c r="D35" s="33">
        <f>+D31-D33</f>
        <v>-31927.710000000003</v>
      </c>
      <c r="E35" s="13"/>
      <c r="F35" s="32">
        <f>IF(D$12=0,0,D35/D$12)</f>
        <v>0</v>
      </c>
      <c r="G35" s="13"/>
      <c r="H35" s="33">
        <f>+H31-H33</f>
        <v>-52222.929999999993</v>
      </c>
      <c r="I35" s="13"/>
      <c r="J35" s="32">
        <f>IF(H$12=0,0,H35/H$12)</f>
        <v>0</v>
      </c>
      <c r="K35" s="15"/>
      <c r="L35" s="33">
        <f>D35-H35</f>
        <v>20295.21999999999</v>
      </c>
      <c r="M35" s="15"/>
      <c r="N35" s="32">
        <f>IF(H35=0,0,L35/H35)</f>
        <v>-0.38862660520962711</v>
      </c>
      <c r="O35" s="26"/>
      <c r="P35" s="33">
        <f>+P31-P33</f>
        <v>-110257.58</v>
      </c>
      <c r="Q35" s="13"/>
      <c r="R35" s="32">
        <f>IF(P$12=0,0,P35/P$12)</f>
        <v>0</v>
      </c>
      <c r="S35" s="13"/>
      <c r="T35" s="33">
        <f>+T31-T33</f>
        <v>-129890.79</v>
      </c>
      <c r="U35" s="13"/>
      <c r="V35" s="32">
        <f>IF(T$12=0,0,T35/T$12)</f>
        <v>0</v>
      </c>
      <c r="W35" s="15"/>
      <c r="X35" s="33">
        <f>P35-T35</f>
        <v>19633.209999999992</v>
      </c>
      <c r="Y35" s="15"/>
      <c r="Z35" s="32">
        <f>IF(T35=0,0,X35/T35)</f>
        <v>-0.15115167133866839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5" t="s">
        <v>5</v>
      </c>
      <c r="C38" s="25"/>
      <c r="D38" s="34">
        <f>SUM(D35:D37)</f>
        <v>-31927.710000000003</v>
      </c>
      <c r="E38" s="13"/>
      <c r="F38" s="31">
        <f>IF(D$12=0,0,D38/D$12)</f>
        <v>0</v>
      </c>
      <c r="G38" s="13"/>
      <c r="H38" s="34">
        <f>SUM(H35:H37)</f>
        <v>-52222.929999999993</v>
      </c>
      <c r="I38" s="13"/>
      <c r="J38" s="31">
        <f>IF(H$12=0,0,H38/H$12)</f>
        <v>0</v>
      </c>
      <c r="K38" s="15"/>
      <c r="L38" s="34">
        <f>+D38-H38</f>
        <v>20295.21999999999</v>
      </c>
      <c r="M38" s="15"/>
      <c r="N38" s="31">
        <f>IF(H38=0,0,L38/H38)</f>
        <v>-0.38862660520962711</v>
      </c>
      <c r="O38" s="26"/>
      <c r="P38" s="34">
        <f>SUM(P35:P37)</f>
        <v>-110257.58</v>
      </c>
      <c r="Q38" s="13"/>
      <c r="R38" s="31">
        <f>IF(P$12=0,0,P38/P$12)</f>
        <v>0</v>
      </c>
      <c r="S38" s="13"/>
      <c r="T38" s="34">
        <f>SUM(T35:T37)</f>
        <v>-129890.79</v>
      </c>
      <c r="U38" s="13"/>
      <c r="V38" s="31">
        <f>IF(T$12=0,0,T38/T$12)</f>
        <v>0</v>
      </c>
      <c r="W38" s="15"/>
      <c r="X38" s="34">
        <f>+P38-T38</f>
        <v>19633.209999999992</v>
      </c>
      <c r="Y38" s="15"/>
      <c r="Z38" s="31">
        <f>IF(T38=0,0,X38/T38)</f>
        <v>-0.15115167133866839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4">
        <v>44123.56496693287</v>
      </c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A41" s="9"/>
      <c r="B41" s="59" t="s">
        <v>313</v>
      </c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  <row r="42" spans="1:26" x14ac:dyDescent="0.25">
      <c r="A42" s="9"/>
      <c r="B42" s="58"/>
      <c r="D42" s="18"/>
      <c r="E42" s="18"/>
      <c r="G42" s="18"/>
      <c r="H42" s="18"/>
      <c r="I42" s="18"/>
      <c r="J42" s="42"/>
      <c r="K42" s="18"/>
      <c r="L42" s="18"/>
      <c r="M42" s="18"/>
      <c r="P42" s="18"/>
      <c r="Q42" s="18"/>
      <c r="R42" s="42"/>
      <c r="S42" s="18"/>
      <c r="T42" s="18"/>
      <c r="U42" s="18"/>
      <c r="V42" s="42"/>
      <c r="W42" s="18"/>
      <c r="X42" s="18"/>
    </row>
    <row r="43" spans="1:26" x14ac:dyDescent="0.25"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40329.99</v>
      </c>
      <c r="E18" s="20"/>
      <c r="F18" s="36">
        <f t="shared" ref="F18:F27" si="0">IF(D$12=0,0,D18/D$12)</f>
        <v>0</v>
      </c>
      <c r="G18" s="20"/>
      <c r="H18" s="20">
        <f>SUM(OSRRefH22x_0)</f>
        <v>86715.000000000029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-46385.010000000031</v>
      </c>
      <c r="M18" s="4"/>
      <c r="N18" s="36">
        <f t="shared" ref="N18:N27" si="3">IF(H18=0,0,L18/H18)</f>
        <v>-0.53491333679294262</v>
      </c>
      <c r="O18" s="10"/>
      <c r="P18" s="20">
        <f>SUM(OSRRefP22x_0)</f>
        <v>107256.26000000002</v>
      </c>
      <c r="Q18" s="20"/>
      <c r="R18" s="36">
        <f t="shared" ref="R18:R27" si="4">IF(P$12=0,0,P18/P$12)</f>
        <v>0</v>
      </c>
      <c r="S18" s="20"/>
      <c r="T18" s="20">
        <f>SUM(OSRRefT22x_0)</f>
        <v>331588.10000000003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-224331.84000000003</v>
      </c>
      <c r="Y18" s="4"/>
      <c r="Z18" s="36">
        <f t="shared" ref="Z18:Z27" si="7">IF(T18=0,0,X18/T18)</f>
        <v>-0.67653766826976003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10116.07</v>
      </c>
      <c r="E19" s="1"/>
      <c r="F19" s="5">
        <f t="shared" si="0"/>
        <v>0</v>
      </c>
      <c r="G19" s="1"/>
      <c r="H19" s="1">
        <f>SUM(OSRRefH22_0x_0)</f>
        <v>23077.8</v>
      </c>
      <c r="I19" s="1"/>
      <c r="J19" s="5">
        <f t="shared" si="1"/>
        <v>0</v>
      </c>
      <c r="K19" s="1"/>
      <c r="L19" s="1">
        <f t="shared" si="2"/>
        <v>-12961.73</v>
      </c>
      <c r="M19" s="1"/>
      <c r="N19" s="5">
        <f t="shared" si="3"/>
        <v>-0.56165362382896111</v>
      </c>
      <c r="O19" s="14"/>
      <c r="P19" s="1">
        <f>SUM(OSRRefP22_0x_0)</f>
        <v>31492.45</v>
      </c>
      <c r="Q19" s="1"/>
      <c r="R19" s="5">
        <f t="shared" si="4"/>
        <v>0</v>
      </c>
      <c r="S19" s="1"/>
      <c r="T19" s="1">
        <f>SUM(OSRRefT22_0x_0)</f>
        <v>60383.810000000005</v>
      </c>
      <c r="U19" s="1"/>
      <c r="V19" s="5">
        <f t="shared" si="5"/>
        <v>0</v>
      </c>
      <c r="W19" s="1"/>
      <c r="X19" s="1">
        <f t="shared" si="6"/>
        <v>-28891.360000000004</v>
      </c>
      <c r="Y19" s="1"/>
      <c r="Z19" s="5">
        <f t="shared" si="7"/>
        <v>-0.47846202483745232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1279.5999999999999</v>
      </c>
      <c r="E20" s="2"/>
      <c r="F20" s="6">
        <f t="shared" si="0"/>
        <v>0</v>
      </c>
      <c r="G20" s="2"/>
      <c r="H20" s="7">
        <v>1644.4</v>
      </c>
      <c r="I20" s="2"/>
      <c r="J20" s="6">
        <f t="shared" si="1"/>
        <v>0</v>
      </c>
      <c r="K20" s="2"/>
      <c r="L20" s="7">
        <f t="shared" si="2"/>
        <v>-364.80000000000018</v>
      </c>
      <c r="M20" s="2"/>
      <c r="N20" s="6">
        <f t="shared" si="3"/>
        <v>-0.2218438336171249</v>
      </c>
      <c r="O20" s="11"/>
      <c r="P20" s="7">
        <v>4174.7</v>
      </c>
      <c r="Q20" s="2"/>
      <c r="R20" s="6">
        <f t="shared" si="4"/>
        <v>0</v>
      </c>
      <c r="S20" s="2"/>
      <c r="T20" s="7">
        <v>7060.6</v>
      </c>
      <c r="U20" s="2"/>
      <c r="V20" s="6">
        <f t="shared" si="5"/>
        <v>0</v>
      </c>
      <c r="W20" s="2"/>
      <c r="X20" s="7">
        <f t="shared" si="6"/>
        <v>-2885.9000000000005</v>
      </c>
      <c r="Y20" s="2"/>
      <c r="Z20" s="6">
        <f t="shared" si="7"/>
        <v>-0.40873296886950122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62.43</v>
      </c>
      <c r="E21" s="2"/>
      <c r="F21" s="6">
        <f t="shared" si="0"/>
        <v>0</v>
      </c>
      <c r="G21" s="2"/>
      <c r="H21" s="7">
        <v>121.29</v>
      </c>
      <c r="I21" s="2"/>
      <c r="J21" s="6">
        <f t="shared" si="1"/>
        <v>0</v>
      </c>
      <c r="K21" s="2"/>
      <c r="L21" s="7">
        <f t="shared" si="2"/>
        <v>-58.860000000000007</v>
      </c>
      <c r="M21" s="2"/>
      <c r="N21" s="6">
        <f t="shared" si="3"/>
        <v>-0.4852832055404403</v>
      </c>
      <c r="O21" s="11"/>
      <c r="P21" s="7">
        <v>187.32</v>
      </c>
      <c r="Q21" s="2"/>
      <c r="R21" s="6">
        <f t="shared" si="4"/>
        <v>0</v>
      </c>
      <c r="S21" s="2"/>
      <c r="T21" s="7">
        <v>347.8</v>
      </c>
      <c r="U21" s="2"/>
      <c r="V21" s="6">
        <f t="shared" si="5"/>
        <v>0</v>
      </c>
      <c r="W21" s="2"/>
      <c r="X21" s="7">
        <f t="shared" si="6"/>
        <v>-160.48000000000002</v>
      </c>
      <c r="Y21" s="2"/>
      <c r="Z21" s="6">
        <f t="shared" si="7"/>
        <v>-0.4614146060954572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4070.76</v>
      </c>
      <c r="E22" s="2"/>
      <c r="F22" s="6">
        <f t="shared" si="0"/>
        <v>0</v>
      </c>
      <c r="G22" s="2"/>
      <c r="H22" s="7">
        <v>3849.84</v>
      </c>
      <c r="I22" s="2"/>
      <c r="J22" s="6">
        <f t="shared" si="1"/>
        <v>0</v>
      </c>
      <c r="K22" s="2"/>
      <c r="L22" s="7">
        <f t="shared" si="2"/>
        <v>220.92000000000007</v>
      </c>
      <c r="M22" s="2"/>
      <c r="N22" s="6">
        <f t="shared" si="3"/>
        <v>5.7384202979864116E-2</v>
      </c>
      <c r="O22" s="11"/>
      <c r="P22" s="7">
        <v>12106.96</v>
      </c>
      <c r="Q22" s="2"/>
      <c r="R22" s="6">
        <f t="shared" si="4"/>
        <v>0</v>
      </c>
      <c r="S22" s="2"/>
      <c r="T22" s="7">
        <v>13590.34</v>
      </c>
      <c r="U22" s="2"/>
      <c r="V22" s="6">
        <f t="shared" si="5"/>
        <v>0</v>
      </c>
      <c r="W22" s="2"/>
      <c r="X22" s="7">
        <f t="shared" si="6"/>
        <v>-1483.380000000001</v>
      </c>
      <c r="Y22" s="2"/>
      <c r="Z22" s="6">
        <f t="shared" si="7"/>
        <v>-0.10914958713321381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49.19</v>
      </c>
      <c r="E23" s="2"/>
      <c r="F23" s="6">
        <f t="shared" si="0"/>
        <v>0</v>
      </c>
      <c r="G23" s="2"/>
      <c r="H23" s="7">
        <v>92.75</v>
      </c>
      <c r="I23" s="2"/>
      <c r="J23" s="6">
        <f t="shared" si="1"/>
        <v>0</v>
      </c>
      <c r="K23" s="2"/>
      <c r="L23" s="7">
        <f t="shared" si="2"/>
        <v>-43.56</v>
      </c>
      <c r="M23" s="2"/>
      <c r="N23" s="6">
        <f t="shared" si="3"/>
        <v>-0.46964959568733156</v>
      </c>
      <c r="O23" s="11"/>
      <c r="P23" s="7">
        <v>147.59</v>
      </c>
      <c r="Q23" s="2"/>
      <c r="R23" s="6">
        <f t="shared" si="4"/>
        <v>0</v>
      </c>
      <c r="S23" s="2"/>
      <c r="T23" s="7">
        <v>265.95999999999998</v>
      </c>
      <c r="U23" s="2"/>
      <c r="V23" s="6">
        <f t="shared" si="5"/>
        <v>0</v>
      </c>
      <c r="W23" s="2"/>
      <c r="X23" s="7">
        <f t="shared" si="6"/>
        <v>-118.36999999999998</v>
      </c>
      <c r="Y23" s="2"/>
      <c r="Z23" s="6">
        <f t="shared" si="7"/>
        <v>-0.44506692735749731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2049.0300000000002</v>
      </c>
      <c r="E24" s="2"/>
      <c r="F24" s="6">
        <f t="shared" si="0"/>
        <v>0</v>
      </c>
      <c r="G24" s="2"/>
      <c r="H24" s="7">
        <v>3460.81</v>
      </c>
      <c r="I24" s="2"/>
      <c r="J24" s="6">
        <f t="shared" si="1"/>
        <v>0</v>
      </c>
      <c r="K24" s="2"/>
      <c r="L24" s="7">
        <f t="shared" si="2"/>
        <v>-1411.7799999999997</v>
      </c>
      <c r="M24" s="2"/>
      <c r="N24" s="6">
        <f t="shared" si="3"/>
        <v>-0.40793340287389362</v>
      </c>
      <c r="O24" s="11"/>
      <c r="P24" s="7">
        <v>7171.61</v>
      </c>
      <c r="Q24" s="2"/>
      <c r="R24" s="6">
        <f t="shared" si="4"/>
        <v>0</v>
      </c>
      <c r="S24" s="2"/>
      <c r="T24" s="7">
        <v>9824.77</v>
      </c>
      <c r="U24" s="2"/>
      <c r="V24" s="6">
        <f t="shared" si="5"/>
        <v>0</v>
      </c>
      <c r="W24" s="2"/>
      <c r="X24" s="7">
        <f t="shared" si="6"/>
        <v>-2653.1600000000008</v>
      </c>
      <c r="Y24" s="2"/>
      <c r="Z24" s="6">
        <f t="shared" si="7"/>
        <v>-0.27004805201546711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1658.98</v>
      </c>
      <c r="E25" s="2"/>
      <c r="F25" s="6">
        <f t="shared" si="0"/>
        <v>0</v>
      </c>
      <c r="G25" s="2"/>
      <c r="H25" s="7">
        <v>3842.94</v>
      </c>
      <c r="I25" s="2"/>
      <c r="J25" s="6">
        <f t="shared" si="1"/>
        <v>0</v>
      </c>
      <c r="K25" s="2"/>
      <c r="L25" s="7">
        <f t="shared" si="2"/>
        <v>-2183.96</v>
      </c>
      <c r="M25" s="2"/>
      <c r="N25" s="6">
        <f t="shared" si="3"/>
        <v>-0.56830447521949345</v>
      </c>
      <c r="O25" s="11"/>
      <c r="P25" s="7">
        <v>4976.9399999999996</v>
      </c>
      <c r="Q25" s="2"/>
      <c r="R25" s="6">
        <f t="shared" si="4"/>
        <v>0</v>
      </c>
      <c r="S25" s="2"/>
      <c r="T25" s="7">
        <v>10833.44</v>
      </c>
      <c r="U25" s="2"/>
      <c r="V25" s="6">
        <f t="shared" si="5"/>
        <v>0</v>
      </c>
      <c r="W25" s="2"/>
      <c r="X25" s="7">
        <f t="shared" si="6"/>
        <v>-5856.5000000000009</v>
      </c>
      <c r="Y25" s="2"/>
      <c r="Z25" s="6">
        <f t="shared" si="7"/>
        <v>-0.54059467722163967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856.8</v>
      </c>
      <c r="E26" s="2"/>
      <c r="F26" s="6">
        <f t="shared" si="0"/>
        <v>0</v>
      </c>
      <c r="G26" s="2"/>
      <c r="H26" s="7">
        <v>9845.61</v>
      </c>
      <c r="I26" s="2"/>
      <c r="J26" s="6">
        <f t="shared" si="1"/>
        <v>0</v>
      </c>
      <c r="K26" s="2"/>
      <c r="L26" s="7">
        <f t="shared" si="2"/>
        <v>-8988.8100000000013</v>
      </c>
      <c r="M26" s="2"/>
      <c r="N26" s="6">
        <f t="shared" si="3"/>
        <v>-0.91297644330823591</v>
      </c>
      <c r="O26" s="11"/>
      <c r="P26" s="7">
        <v>2570.4</v>
      </c>
      <c r="Q26" s="2"/>
      <c r="R26" s="6">
        <f t="shared" si="4"/>
        <v>0</v>
      </c>
      <c r="S26" s="2"/>
      <c r="T26" s="7">
        <v>17400.8</v>
      </c>
      <c r="U26" s="2"/>
      <c r="V26" s="6">
        <f t="shared" si="5"/>
        <v>0</v>
      </c>
      <c r="W26" s="2"/>
      <c r="X26" s="7">
        <f t="shared" si="6"/>
        <v>-14830.4</v>
      </c>
      <c r="Y26" s="2"/>
      <c r="Z26" s="6">
        <f t="shared" si="7"/>
        <v>-0.85228265367109557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89.28</v>
      </c>
      <c r="E27" s="2"/>
      <c r="F27" s="6">
        <f t="shared" si="0"/>
        <v>0</v>
      </c>
      <c r="G27" s="2"/>
      <c r="H27" s="7">
        <v>220.16</v>
      </c>
      <c r="I27" s="2"/>
      <c r="J27" s="6">
        <f t="shared" si="1"/>
        <v>0</v>
      </c>
      <c r="K27" s="2"/>
      <c r="L27" s="7">
        <f t="shared" si="2"/>
        <v>-130.88</v>
      </c>
      <c r="M27" s="2"/>
      <c r="N27" s="6">
        <f t="shared" si="3"/>
        <v>-0.59447674418604646</v>
      </c>
      <c r="O27" s="11"/>
      <c r="P27" s="7">
        <v>156.93</v>
      </c>
      <c r="Q27" s="2"/>
      <c r="R27" s="6">
        <f t="shared" si="4"/>
        <v>0</v>
      </c>
      <c r="S27" s="2"/>
      <c r="T27" s="7">
        <v>1060.0999999999999</v>
      </c>
      <c r="U27" s="2"/>
      <c r="V27" s="6">
        <f t="shared" si="5"/>
        <v>0</v>
      </c>
      <c r="W27" s="2"/>
      <c r="X27" s="7">
        <f t="shared" si="6"/>
        <v>-903.16999999999985</v>
      </c>
      <c r="Y27" s="2"/>
      <c r="Z27" s="6">
        <f t="shared" si="7"/>
        <v>-0.85196679558532207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19036.760000000002</v>
      </c>
      <c r="E28" s="1"/>
      <c r="F28" s="5">
        <f t="shared" ref="F28:F31" si="8">IF(D$12=0,0,D28/D$12)</f>
        <v>0</v>
      </c>
      <c r="G28" s="1"/>
      <c r="H28" s="1">
        <f>SUM(OSRRefH22_1x_0)</f>
        <v>13894.240000000002</v>
      </c>
      <c r="I28" s="1"/>
      <c r="J28" s="5">
        <f t="shared" ref="J28:J31" si="9">IF(H$12=0,0,H28/H$12)</f>
        <v>0</v>
      </c>
      <c r="K28" s="1"/>
      <c r="L28" s="1">
        <f t="shared" ref="L28:L31" si="10">+D28-H28</f>
        <v>5142.5200000000004</v>
      </c>
      <c r="M28" s="1"/>
      <c r="N28" s="5">
        <f t="shared" ref="N28:N31" si="11">IF(H28=0,0,L28/H28)</f>
        <v>0.37011884061308858</v>
      </c>
      <c r="O28" s="14"/>
      <c r="P28" s="1">
        <f>SUM(OSRRefP22_1x_0)</f>
        <v>54662.22</v>
      </c>
      <c r="Q28" s="1"/>
      <c r="R28" s="5">
        <f t="shared" ref="R28:R31" si="12">IF(P$12=0,0,P28/P$12)</f>
        <v>0</v>
      </c>
      <c r="S28" s="1"/>
      <c r="T28" s="1">
        <f>SUM(OSRRefT22_1x_0)</f>
        <v>77881.320000000007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-23219.100000000006</v>
      </c>
      <c r="Y28" s="1"/>
      <c r="Z28" s="5">
        <f t="shared" ref="Z28:Z31" si="15">IF(T28=0,0,X28/T28)</f>
        <v>-0.29813439217517118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7">
        <v>14140.28</v>
      </c>
      <c r="E29" s="2"/>
      <c r="F29" s="6">
        <f t="shared" si="8"/>
        <v>0</v>
      </c>
      <c r="G29" s="2"/>
      <c r="H29" s="7">
        <v>7383.95</v>
      </c>
      <c r="I29" s="2"/>
      <c r="J29" s="6">
        <f t="shared" si="9"/>
        <v>0</v>
      </c>
      <c r="K29" s="2"/>
      <c r="L29" s="7">
        <f t="shared" si="10"/>
        <v>6756.3300000000008</v>
      </c>
      <c r="M29" s="2"/>
      <c r="N29" s="6">
        <f t="shared" si="11"/>
        <v>0.9150021330046928</v>
      </c>
      <c r="O29" s="11"/>
      <c r="P29" s="7">
        <v>42421.15</v>
      </c>
      <c r="Q29" s="2"/>
      <c r="R29" s="6">
        <f t="shared" si="12"/>
        <v>0</v>
      </c>
      <c r="S29" s="2"/>
      <c r="T29" s="7">
        <v>57437.310000000005</v>
      </c>
      <c r="U29" s="2"/>
      <c r="V29" s="6">
        <f t="shared" si="13"/>
        <v>0</v>
      </c>
      <c r="W29" s="2"/>
      <c r="X29" s="7">
        <f t="shared" si="14"/>
        <v>-15016.160000000003</v>
      </c>
      <c r="Y29" s="2"/>
      <c r="Z29" s="6">
        <f t="shared" si="15"/>
        <v>-0.26143564174575729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>
        <v>4896.4799999999996</v>
      </c>
      <c r="E30" s="2"/>
      <c r="F30" s="6">
        <f t="shared" si="8"/>
        <v>0</v>
      </c>
      <c r="G30" s="2"/>
      <c r="H30" s="7">
        <v>4651.66</v>
      </c>
      <c r="I30" s="2"/>
      <c r="J30" s="6">
        <f t="shared" si="9"/>
        <v>0</v>
      </c>
      <c r="K30" s="2"/>
      <c r="L30" s="7">
        <f t="shared" si="10"/>
        <v>244.81999999999971</v>
      </c>
      <c r="M30" s="2"/>
      <c r="N30" s="6">
        <f t="shared" si="11"/>
        <v>5.2630673780972755E-2</v>
      </c>
      <c r="O30" s="11"/>
      <c r="P30" s="7">
        <v>12241.07</v>
      </c>
      <c r="Q30" s="2"/>
      <c r="R30" s="6">
        <f t="shared" si="12"/>
        <v>0</v>
      </c>
      <c r="S30" s="2"/>
      <c r="T30" s="7">
        <v>14199.68</v>
      </c>
      <c r="U30" s="2"/>
      <c r="V30" s="6">
        <f t="shared" si="13"/>
        <v>0</v>
      </c>
      <c r="W30" s="2"/>
      <c r="X30" s="7">
        <f t="shared" si="14"/>
        <v>-1958.6100000000006</v>
      </c>
      <c r="Y30" s="2"/>
      <c r="Z30" s="6">
        <f t="shared" si="15"/>
        <v>-0.13793339004822647</v>
      </c>
    </row>
    <row r="31" spans="1:26" s="24" customFormat="1" hidden="1" outlineLevel="2" x14ac:dyDescent="0.25">
      <c r="A31" s="28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8"/>
        <v>0</v>
      </c>
      <c r="G31" s="2"/>
      <c r="H31" s="7">
        <v>1858.63</v>
      </c>
      <c r="I31" s="2"/>
      <c r="J31" s="6">
        <f t="shared" si="9"/>
        <v>0</v>
      </c>
      <c r="K31" s="2"/>
      <c r="L31" s="7">
        <f t="shared" si="10"/>
        <v>-1858.63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6244.33</v>
      </c>
      <c r="U31" s="2"/>
      <c r="V31" s="6">
        <f t="shared" si="13"/>
        <v>0</v>
      </c>
      <c r="W31" s="2"/>
      <c r="X31" s="7">
        <f t="shared" si="14"/>
        <v>-6244.33</v>
      </c>
      <c r="Y31" s="2"/>
      <c r="Z31" s="6">
        <f t="shared" si="15"/>
        <v>-1</v>
      </c>
    </row>
    <row r="32" spans="1:26" s="27" customFormat="1" outlineLevel="1" collapsed="1" x14ac:dyDescent="0.25">
      <c r="A32" s="29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4.95</v>
      </c>
      <c r="E32" s="1"/>
      <c r="F32" s="5">
        <f t="shared" ref="F32:F49" si="16">IF(D$12=0,0,D32/D$12)</f>
        <v>0</v>
      </c>
      <c r="G32" s="1"/>
      <c r="H32" s="1">
        <f>SUM(OSRRefH22_2x_0)</f>
        <v>16.98</v>
      </c>
      <c r="I32" s="1"/>
      <c r="J32" s="5">
        <f t="shared" ref="J32:J49" si="17">IF(H$12=0,0,H32/H$12)</f>
        <v>0</v>
      </c>
      <c r="K32" s="1"/>
      <c r="L32" s="1">
        <f t="shared" ref="L32:L49" si="18">+D32-H32</f>
        <v>-12.030000000000001</v>
      </c>
      <c r="M32" s="1"/>
      <c r="N32" s="5">
        <f t="shared" ref="N32:N49" si="19">IF(H32=0,0,L32/H32)</f>
        <v>-0.70848056537102477</v>
      </c>
      <c r="O32" s="14"/>
      <c r="P32" s="1">
        <f>SUM(OSRRefP22_2x_0)</f>
        <v>66.8</v>
      </c>
      <c r="Q32" s="1"/>
      <c r="R32" s="5">
        <f t="shared" ref="R32:R49" si="20">IF(P$12=0,0,P32/P$12)</f>
        <v>0</v>
      </c>
      <c r="S32" s="1"/>
      <c r="T32" s="1">
        <f>SUM(OSRRefT22_2x_0)</f>
        <v>11193.89</v>
      </c>
      <c r="U32" s="1"/>
      <c r="V32" s="5">
        <f t="shared" ref="V32:V49" si="21">IF(T$12=0,0,T32/T$12)</f>
        <v>0</v>
      </c>
      <c r="W32" s="1"/>
      <c r="X32" s="1">
        <f t="shared" ref="X32:X49" si="22">+P32-T32</f>
        <v>-11127.09</v>
      </c>
      <c r="Y32" s="1"/>
      <c r="Z32" s="5">
        <f t="shared" ref="Z32:Z49" si="23">IF(T32=0,0,X32/T32)</f>
        <v>-0.99403245877885171</v>
      </c>
    </row>
    <row r="33" spans="1:26" s="24" customFormat="1" hidden="1" outlineLevel="2" x14ac:dyDescent="0.25">
      <c r="A33" s="28"/>
      <c r="B33" s="11" t="str">
        <f>CONCATENATE("          ", "6362", " - ", "ADVERTISING EXPENSE")</f>
        <v xml:space="preserve">          6362 - ADVERTISING EXPENSE</v>
      </c>
      <c r="C33" s="11"/>
      <c r="D33" s="7">
        <v>4.95</v>
      </c>
      <c r="E33" s="2"/>
      <c r="F33" s="6">
        <f t="shared" si="16"/>
        <v>0</v>
      </c>
      <c r="G33" s="2"/>
      <c r="H33" s="7">
        <v>16.98</v>
      </c>
      <c r="I33" s="2"/>
      <c r="J33" s="6">
        <f t="shared" si="17"/>
        <v>0</v>
      </c>
      <c r="K33" s="2"/>
      <c r="L33" s="7">
        <f t="shared" si="18"/>
        <v>-12.030000000000001</v>
      </c>
      <c r="M33" s="2"/>
      <c r="N33" s="6">
        <f t="shared" si="19"/>
        <v>-0.70848056537102477</v>
      </c>
      <c r="O33" s="11"/>
      <c r="P33" s="7">
        <v>66.8</v>
      </c>
      <c r="Q33" s="2"/>
      <c r="R33" s="6">
        <f t="shared" si="20"/>
        <v>0</v>
      </c>
      <c r="S33" s="2"/>
      <c r="T33" s="7">
        <v>11193.89</v>
      </c>
      <c r="U33" s="2"/>
      <c r="V33" s="6">
        <f t="shared" si="21"/>
        <v>0</v>
      </c>
      <c r="W33" s="2"/>
      <c r="X33" s="7">
        <f t="shared" si="22"/>
        <v>-11127.09</v>
      </c>
      <c r="Y33" s="2"/>
      <c r="Z33" s="6">
        <f t="shared" si="23"/>
        <v>-0.99403245877885171</v>
      </c>
    </row>
    <row r="34" spans="1:26" s="27" customFormat="1" outlineLevel="1" collapsed="1" x14ac:dyDescent="0.25">
      <c r="A34" s="29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4"/>
      <c r="P34" s="1">
        <f>SUM(OSRRefP22_3x_0)</f>
        <v>944.61</v>
      </c>
      <c r="Q34" s="1"/>
      <c r="R34" s="5">
        <f t="shared" si="20"/>
        <v>0</v>
      </c>
      <c r="S34" s="1"/>
      <c r="T34" s="1">
        <f>SUM(OSRRefT22_3x_0)</f>
        <v>1035.69</v>
      </c>
      <c r="U34" s="1"/>
      <c r="V34" s="5">
        <f t="shared" si="21"/>
        <v>0</v>
      </c>
      <c r="W34" s="1"/>
      <c r="X34" s="1">
        <f t="shared" si="22"/>
        <v>-91.080000000000041</v>
      </c>
      <c r="Y34" s="1"/>
      <c r="Z34" s="5">
        <f t="shared" si="23"/>
        <v>-8.7941372418387773E-2</v>
      </c>
    </row>
    <row r="35" spans="1:26" s="24" customFormat="1" hidden="1" outlineLevel="2" x14ac:dyDescent="0.25">
      <c r="A35" s="28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314.87</v>
      </c>
      <c r="E35" s="2"/>
      <c r="F35" s="6">
        <f t="shared" si="16"/>
        <v>0</v>
      </c>
      <c r="G35" s="2"/>
      <c r="H35" s="7">
        <v>345.23</v>
      </c>
      <c r="I35" s="2"/>
      <c r="J35" s="6">
        <f t="shared" si="17"/>
        <v>0</v>
      </c>
      <c r="K35" s="2"/>
      <c r="L35" s="7">
        <f t="shared" si="18"/>
        <v>-30.360000000000014</v>
      </c>
      <c r="M35" s="2"/>
      <c r="N35" s="6">
        <f t="shared" si="19"/>
        <v>-8.7941372418387773E-2</v>
      </c>
      <c r="O35" s="11"/>
      <c r="P35" s="7">
        <v>944.61</v>
      </c>
      <c r="Q35" s="2"/>
      <c r="R35" s="6">
        <f t="shared" si="20"/>
        <v>0</v>
      </c>
      <c r="S35" s="2"/>
      <c r="T35" s="7">
        <v>1035.69</v>
      </c>
      <c r="U35" s="2"/>
      <c r="V35" s="6">
        <f t="shared" si="21"/>
        <v>0</v>
      </c>
      <c r="W35" s="2"/>
      <c r="X35" s="7">
        <f t="shared" si="22"/>
        <v>-91.080000000000041</v>
      </c>
      <c r="Y35" s="2"/>
      <c r="Z35" s="6">
        <f t="shared" si="23"/>
        <v>-8.7941372418387773E-2</v>
      </c>
    </row>
    <row r="36" spans="1:26" s="27" customFormat="1" outlineLevel="1" collapsed="1" x14ac:dyDescent="0.25">
      <c r="A36" s="29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27575</v>
      </c>
      <c r="I36" s="1"/>
      <c r="J36" s="5">
        <f t="shared" si="17"/>
        <v>0</v>
      </c>
      <c r="K36" s="1"/>
      <c r="L36" s="1">
        <f t="shared" si="18"/>
        <v>-27575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139243.59999999998</v>
      </c>
      <c r="U36" s="1"/>
      <c r="V36" s="5">
        <f t="shared" si="21"/>
        <v>0</v>
      </c>
      <c r="W36" s="1"/>
      <c r="X36" s="1">
        <f t="shared" si="22"/>
        <v>-139243.59999999998</v>
      </c>
      <c r="Y36" s="1"/>
      <c r="Z36" s="5">
        <f t="shared" si="23"/>
        <v>-1</v>
      </c>
    </row>
    <row r="37" spans="1:26" s="24" customFormat="1" hidden="1" outlineLevel="2" x14ac:dyDescent="0.25">
      <c r="A37" s="28"/>
      <c r="B37" s="11" t="str">
        <f>CONCATENATE("          ", "6399", " - ", "DONATION-ON CAMPUS")</f>
        <v xml:space="preserve">          6399 - DONATION-ON CAMPUS</v>
      </c>
      <c r="C37" s="11"/>
      <c r="D37" s="7"/>
      <c r="E37" s="2"/>
      <c r="F37" s="6">
        <f t="shared" si="16"/>
        <v>0</v>
      </c>
      <c r="G37" s="2"/>
      <c r="H37" s="7">
        <v>27575</v>
      </c>
      <c r="I37" s="2"/>
      <c r="J37" s="6">
        <f t="shared" si="17"/>
        <v>0</v>
      </c>
      <c r="K37" s="2"/>
      <c r="L37" s="7">
        <f t="shared" si="18"/>
        <v>-27575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139243.59999999998</v>
      </c>
      <c r="U37" s="2"/>
      <c r="V37" s="6">
        <f t="shared" si="21"/>
        <v>0</v>
      </c>
      <c r="W37" s="2"/>
      <c r="X37" s="7">
        <f t="shared" si="22"/>
        <v>-139243.59999999998</v>
      </c>
      <c r="Y37" s="2"/>
      <c r="Z37" s="6">
        <f t="shared" si="23"/>
        <v>-1</v>
      </c>
    </row>
    <row r="38" spans="1:26" s="27" customFormat="1" outlineLevel="1" collapsed="1" x14ac:dyDescent="0.25">
      <c r="A38" s="29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4"/>
      <c r="P38" s="1">
        <f>SUM(OSRRefP22_5x_0)</f>
        <v>353.13</v>
      </c>
      <c r="Q38" s="1"/>
      <c r="R38" s="5">
        <f t="shared" si="20"/>
        <v>0</v>
      </c>
      <c r="S38" s="1"/>
      <c r="T38" s="1">
        <f>SUM(OSRRefT22_5x_0)</f>
        <v>353.16</v>
      </c>
      <c r="U38" s="1"/>
      <c r="V38" s="5">
        <f t="shared" si="21"/>
        <v>0</v>
      </c>
      <c r="W38" s="1"/>
      <c r="X38" s="1">
        <f t="shared" si="22"/>
        <v>-3.0000000000029559E-2</v>
      </c>
      <c r="Y38" s="1"/>
      <c r="Z38" s="5">
        <f t="shared" si="23"/>
        <v>-8.4947332653838366E-5</v>
      </c>
    </row>
    <row r="39" spans="1:26" s="24" customFormat="1" hidden="1" outlineLevel="2" x14ac:dyDescent="0.25">
      <c r="A39" s="28"/>
      <c r="B39" s="11" t="str">
        <f>CONCATENATE("          ", "6351", " - ", "EQUIPMENT RENTAL")</f>
        <v xml:space="preserve">          6351 - EQUIPMENT RENTAL</v>
      </c>
      <c r="C39" s="11"/>
      <c r="D39" s="7">
        <v>117.71</v>
      </c>
      <c r="E39" s="2"/>
      <c r="F39" s="6">
        <f t="shared" si="16"/>
        <v>0</v>
      </c>
      <c r="G39" s="2"/>
      <c r="H39" s="7">
        <v>117.72</v>
      </c>
      <c r="I39" s="2"/>
      <c r="J39" s="6">
        <f t="shared" si="17"/>
        <v>0</v>
      </c>
      <c r="K39" s="2"/>
      <c r="L39" s="7">
        <f t="shared" si="18"/>
        <v>-1.0000000000005116E-2</v>
      </c>
      <c r="M39" s="2"/>
      <c r="N39" s="6">
        <f t="shared" si="19"/>
        <v>-8.4947332653798128E-5</v>
      </c>
      <c r="O39" s="11"/>
      <c r="P39" s="7">
        <v>353.13</v>
      </c>
      <c r="Q39" s="2"/>
      <c r="R39" s="6">
        <f t="shared" si="20"/>
        <v>0</v>
      </c>
      <c r="S39" s="2"/>
      <c r="T39" s="7">
        <v>353.16</v>
      </c>
      <c r="U39" s="2"/>
      <c r="V39" s="6">
        <f t="shared" si="21"/>
        <v>0</v>
      </c>
      <c r="W39" s="2"/>
      <c r="X39" s="7">
        <f t="shared" si="22"/>
        <v>-3.0000000000029559E-2</v>
      </c>
      <c r="Y39" s="2"/>
      <c r="Z39" s="6">
        <f t="shared" si="23"/>
        <v>-8.4947332653838366E-5</v>
      </c>
    </row>
    <row r="40" spans="1:26" s="27" customFormat="1" outlineLevel="1" collapsed="1" x14ac:dyDescent="0.25">
      <c r="A40" s="29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SUM(OSRRefD22_6x_0)</f>
        <v>24.78</v>
      </c>
      <c r="E40" s="1"/>
      <c r="F40" s="5">
        <f t="shared" si="16"/>
        <v>0</v>
      </c>
      <c r="G40" s="1"/>
      <c r="H40" s="1">
        <f>SUM(OSRRefH22_6x_0)</f>
        <v>0.65</v>
      </c>
      <c r="I40" s="1"/>
      <c r="J40" s="5">
        <f t="shared" si="17"/>
        <v>0</v>
      </c>
      <c r="K40" s="1"/>
      <c r="L40" s="1">
        <f t="shared" si="18"/>
        <v>24.130000000000003</v>
      </c>
      <c r="M40" s="1"/>
      <c r="N40" s="5">
        <f t="shared" si="19"/>
        <v>37.123076923076923</v>
      </c>
      <c r="O40" s="14"/>
      <c r="P40" s="1">
        <f>SUM(OSRRefP22_6x_0)</f>
        <v>24.78</v>
      </c>
      <c r="Q40" s="1"/>
      <c r="R40" s="5">
        <f t="shared" si="20"/>
        <v>0</v>
      </c>
      <c r="S40" s="1"/>
      <c r="T40" s="1">
        <f>SUM(OSRRefT22_6x_0)</f>
        <v>0.65</v>
      </c>
      <c r="U40" s="1"/>
      <c r="V40" s="5">
        <f t="shared" si="21"/>
        <v>0</v>
      </c>
      <c r="W40" s="1"/>
      <c r="X40" s="1">
        <f t="shared" si="22"/>
        <v>24.130000000000003</v>
      </c>
      <c r="Y40" s="1"/>
      <c r="Z40" s="5">
        <f t="shared" si="23"/>
        <v>37.123076923076923</v>
      </c>
    </row>
    <row r="41" spans="1:26" s="24" customFormat="1" hidden="1" outlineLevel="2" x14ac:dyDescent="0.25">
      <c r="A41" s="28"/>
      <c r="B41" s="11" t="str">
        <f>CONCATENATE("          ", "6307", " - ", "POSTAGE")</f>
        <v xml:space="preserve">          6307 - POSTAGE</v>
      </c>
      <c r="C41" s="11"/>
      <c r="D41" s="7">
        <v>24.78</v>
      </c>
      <c r="E41" s="2"/>
      <c r="F41" s="6">
        <f t="shared" si="16"/>
        <v>0</v>
      </c>
      <c r="G41" s="2"/>
      <c r="H41" s="7">
        <v>0.65</v>
      </c>
      <c r="I41" s="2"/>
      <c r="J41" s="6">
        <f t="shared" si="17"/>
        <v>0</v>
      </c>
      <c r="K41" s="2"/>
      <c r="L41" s="7">
        <f t="shared" si="18"/>
        <v>24.130000000000003</v>
      </c>
      <c r="M41" s="2"/>
      <c r="N41" s="6">
        <f t="shared" si="19"/>
        <v>37.123076923076923</v>
      </c>
      <c r="O41" s="11"/>
      <c r="P41" s="7">
        <v>24.78</v>
      </c>
      <c r="Q41" s="2"/>
      <c r="R41" s="6">
        <f t="shared" si="20"/>
        <v>0</v>
      </c>
      <c r="S41" s="2"/>
      <c r="T41" s="7">
        <v>0.65</v>
      </c>
      <c r="U41" s="2"/>
      <c r="V41" s="6">
        <f t="shared" si="21"/>
        <v>0</v>
      </c>
      <c r="W41" s="2"/>
      <c r="X41" s="7">
        <f t="shared" si="22"/>
        <v>24.130000000000003</v>
      </c>
      <c r="Y41" s="2"/>
      <c r="Z41" s="6">
        <f t="shared" si="23"/>
        <v>37.123076923076923</v>
      </c>
    </row>
    <row r="42" spans="1:26" s="27" customFormat="1" outlineLevel="1" collapsed="1" x14ac:dyDescent="0.25">
      <c r="A42" s="29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SUM(OSRRefD22_7x_0)</f>
        <v>0</v>
      </c>
      <c r="E42" s="1"/>
      <c r="F42" s="5">
        <f t="shared" si="16"/>
        <v>0</v>
      </c>
      <c r="G42" s="1"/>
      <c r="H42" s="1">
        <f>SUM(OSRRefH22_7x_0)</f>
        <v>3300</v>
      </c>
      <c r="I42" s="1"/>
      <c r="J42" s="5">
        <f t="shared" si="17"/>
        <v>0</v>
      </c>
      <c r="K42" s="1"/>
      <c r="L42" s="1">
        <f t="shared" si="18"/>
        <v>-3300</v>
      </c>
      <c r="M42" s="1"/>
      <c r="N42" s="5">
        <f t="shared" si="19"/>
        <v>-1</v>
      </c>
      <c r="O42" s="14"/>
      <c r="P42" s="1">
        <f>SUM(OSRRefP22_7x_0)</f>
        <v>0</v>
      </c>
      <c r="Q42" s="1"/>
      <c r="R42" s="5">
        <f t="shared" si="20"/>
        <v>0</v>
      </c>
      <c r="S42" s="1"/>
      <c r="T42" s="1">
        <f>SUM(OSRRefT22_7x_0)</f>
        <v>5580.62</v>
      </c>
      <c r="U42" s="1"/>
      <c r="V42" s="5">
        <f t="shared" si="21"/>
        <v>0</v>
      </c>
      <c r="W42" s="1"/>
      <c r="X42" s="1">
        <f t="shared" si="22"/>
        <v>-5580.62</v>
      </c>
      <c r="Y42" s="1"/>
      <c r="Z42" s="5">
        <f t="shared" si="23"/>
        <v>-1</v>
      </c>
    </row>
    <row r="43" spans="1:26" s="24" customFormat="1" hidden="1" outlineLevel="2" x14ac:dyDescent="0.25">
      <c r="A43" s="28"/>
      <c r="B43" s="11" t="str">
        <f>CONCATENATE("          ", "6279", " - ", "GENERAL EXPENSE")</f>
        <v xml:space="preserve">          6279 - GENERAL EXPENSE</v>
      </c>
      <c r="C43" s="11"/>
      <c r="D43" s="7"/>
      <c r="E43" s="2"/>
      <c r="F43" s="6">
        <f t="shared" si="16"/>
        <v>0</v>
      </c>
      <c r="G43" s="2"/>
      <c r="H43" s="7">
        <v>3300</v>
      </c>
      <c r="I43" s="2"/>
      <c r="J43" s="6">
        <f t="shared" si="17"/>
        <v>0</v>
      </c>
      <c r="K43" s="2"/>
      <c r="L43" s="7">
        <f t="shared" si="18"/>
        <v>-3300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5580.62</v>
      </c>
      <c r="U43" s="2"/>
      <c r="V43" s="6">
        <f t="shared" si="21"/>
        <v>0</v>
      </c>
      <c r="W43" s="2"/>
      <c r="X43" s="7">
        <f t="shared" si="22"/>
        <v>-5580.62</v>
      </c>
      <c r="Y43" s="2"/>
      <c r="Z43" s="6">
        <f t="shared" si="23"/>
        <v>-1</v>
      </c>
    </row>
    <row r="44" spans="1:26" s="27" customFormat="1" outlineLevel="1" collapsed="1" x14ac:dyDescent="0.25">
      <c r="A44" s="29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SUM(OSRRefD22_8x_0)</f>
        <v>115.13</v>
      </c>
      <c r="E44" s="1"/>
      <c r="F44" s="5">
        <f t="shared" si="16"/>
        <v>0</v>
      </c>
      <c r="G44" s="1"/>
      <c r="H44" s="1">
        <f>SUM(OSRRefH22_8x_0)</f>
        <v>115.13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SUM(OSRRefP22_8x_0)</f>
        <v>345.39</v>
      </c>
      <c r="Q44" s="1"/>
      <c r="R44" s="5">
        <f t="shared" si="20"/>
        <v>0</v>
      </c>
      <c r="S44" s="1"/>
      <c r="T44" s="1">
        <f>SUM(OSRRefT22_8x_0)</f>
        <v>345.39</v>
      </c>
      <c r="U44" s="1"/>
      <c r="V44" s="5">
        <f t="shared" si="21"/>
        <v>0</v>
      </c>
      <c r="W44" s="1"/>
      <c r="X44" s="1">
        <f t="shared" si="22"/>
        <v>0</v>
      </c>
      <c r="Y44" s="1"/>
      <c r="Z44" s="5">
        <f t="shared" si="23"/>
        <v>0</v>
      </c>
    </row>
    <row r="45" spans="1:26" s="24" customFormat="1" hidden="1" outlineLevel="2" x14ac:dyDescent="0.25">
      <c r="A45" s="28"/>
      <c r="B45" s="11" t="str">
        <f>CONCATENATE("          ", "6314", " - ", "LIABILITY INSURANCE")</f>
        <v xml:space="preserve">          6314 - LIABILITY INSURANCE</v>
      </c>
      <c r="C45" s="11"/>
      <c r="D45" s="7">
        <v>115.13</v>
      </c>
      <c r="E45" s="2"/>
      <c r="F45" s="6">
        <f t="shared" si="16"/>
        <v>0</v>
      </c>
      <c r="G45" s="2"/>
      <c r="H45" s="7">
        <v>115.13</v>
      </c>
      <c r="I45" s="2"/>
      <c r="J45" s="6">
        <f t="shared" si="17"/>
        <v>0</v>
      </c>
      <c r="K45" s="2"/>
      <c r="L45" s="7">
        <f t="shared" si="18"/>
        <v>0</v>
      </c>
      <c r="M45" s="2"/>
      <c r="N45" s="6">
        <f t="shared" si="19"/>
        <v>0</v>
      </c>
      <c r="O45" s="11"/>
      <c r="P45" s="7">
        <v>345.39</v>
      </c>
      <c r="Q45" s="2"/>
      <c r="R45" s="6">
        <f t="shared" si="20"/>
        <v>0</v>
      </c>
      <c r="S45" s="2"/>
      <c r="T45" s="7">
        <v>345.39</v>
      </c>
      <c r="U45" s="2"/>
      <c r="V45" s="6">
        <f t="shared" si="21"/>
        <v>0</v>
      </c>
      <c r="W45" s="2"/>
      <c r="X45" s="7">
        <f t="shared" si="22"/>
        <v>0</v>
      </c>
      <c r="Y45" s="2"/>
      <c r="Z45" s="6">
        <f t="shared" si="23"/>
        <v>0</v>
      </c>
    </row>
    <row r="46" spans="1:26" s="27" customFormat="1" outlineLevel="1" collapsed="1" x14ac:dyDescent="0.25">
      <c r="A46" s="29"/>
      <c r="B46" s="14" t="str">
        <f>CONCATENATE("     ","Professional Services                             ")</f>
        <v xml:space="preserve">     Professional Services                             </v>
      </c>
      <c r="C46" s="14"/>
      <c r="D46" s="1">
        <f>SUM(OSRRefD22_9x_0)</f>
        <v>8500</v>
      </c>
      <c r="E46" s="1"/>
      <c r="F46" s="5">
        <f t="shared" si="16"/>
        <v>0</v>
      </c>
      <c r="G46" s="1"/>
      <c r="H46" s="1">
        <f>SUM(OSRRefH22_9x_0)</f>
        <v>12000</v>
      </c>
      <c r="I46" s="1"/>
      <c r="J46" s="5">
        <f t="shared" si="17"/>
        <v>0</v>
      </c>
      <c r="K46" s="1"/>
      <c r="L46" s="1">
        <f t="shared" si="18"/>
        <v>-3500</v>
      </c>
      <c r="M46" s="1"/>
      <c r="N46" s="5">
        <f t="shared" si="19"/>
        <v>-0.29166666666666669</v>
      </c>
      <c r="O46" s="14"/>
      <c r="P46" s="1">
        <f>SUM(OSRRefP22_9x_0)</f>
        <v>9650</v>
      </c>
      <c r="Q46" s="1"/>
      <c r="R46" s="5">
        <f t="shared" si="20"/>
        <v>0</v>
      </c>
      <c r="S46" s="1"/>
      <c r="T46" s="1">
        <f>SUM(OSRRefT22_9x_0)</f>
        <v>17015</v>
      </c>
      <c r="U46" s="1"/>
      <c r="V46" s="5">
        <f t="shared" si="21"/>
        <v>0</v>
      </c>
      <c r="W46" s="1"/>
      <c r="X46" s="1">
        <f t="shared" si="22"/>
        <v>-7365</v>
      </c>
      <c r="Y46" s="1"/>
      <c r="Z46" s="5">
        <f t="shared" si="23"/>
        <v>-0.43285336467822511</v>
      </c>
    </row>
    <row r="47" spans="1:26" s="24" customFormat="1" hidden="1" outlineLevel="2" x14ac:dyDescent="0.25">
      <c r="A47" s="28"/>
      <c r="B47" s="11" t="str">
        <f>CONCATENATE("          ", "6331", " - ", "INDIRECT COSTS-AUXILIARY ORGAN")</f>
        <v xml:space="preserve">          6331 - INDIRECT COSTS-AUXILIARY ORGAN</v>
      </c>
      <c r="C47" s="11"/>
      <c r="D47" s="7">
        <v>8500</v>
      </c>
      <c r="E47" s="2"/>
      <c r="F47" s="6">
        <f t="shared" si="16"/>
        <v>0</v>
      </c>
      <c r="G47" s="2"/>
      <c r="H47" s="7">
        <v>12000</v>
      </c>
      <c r="I47" s="2"/>
      <c r="J47" s="6">
        <f t="shared" si="17"/>
        <v>0</v>
      </c>
      <c r="K47" s="2"/>
      <c r="L47" s="7">
        <f t="shared" si="18"/>
        <v>-3500</v>
      </c>
      <c r="M47" s="2"/>
      <c r="N47" s="6">
        <f t="shared" si="19"/>
        <v>-0.29166666666666669</v>
      </c>
      <c r="O47" s="11"/>
      <c r="P47" s="7">
        <v>8500</v>
      </c>
      <c r="Q47" s="2"/>
      <c r="R47" s="6">
        <f t="shared" si="20"/>
        <v>0</v>
      </c>
      <c r="S47" s="2"/>
      <c r="T47" s="7">
        <v>12000</v>
      </c>
      <c r="U47" s="2"/>
      <c r="V47" s="6">
        <f t="shared" si="21"/>
        <v>0</v>
      </c>
      <c r="W47" s="2"/>
      <c r="X47" s="7">
        <f t="shared" si="22"/>
        <v>-3500</v>
      </c>
      <c r="Y47" s="2"/>
      <c r="Z47" s="6">
        <f t="shared" si="23"/>
        <v>-0.29166666666666669</v>
      </c>
    </row>
    <row r="48" spans="1:26" s="24" customFormat="1" hidden="1" outlineLevel="2" x14ac:dyDescent="0.25">
      <c r="A48" s="28"/>
      <c r="B48" s="11" t="str">
        <f>CONCATENATE("          ", "6334", " - ", "LEGAL COUNCIL EXPENSE")</f>
        <v xml:space="preserve">          6334 - LEGAL COUNCIL EXPENSE</v>
      </c>
      <c r="C48" s="11"/>
      <c r="D48" s="7"/>
      <c r="E48" s="2"/>
      <c r="F48" s="6">
        <f t="shared" si="16"/>
        <v>0</v>
      </c>
      <c r="G48" s="2"/>
      <c r="H48" s="7"/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1150</v>
      </c>
      <c r="Q48" s="2"/>
      <c r="R48" s="6">
        <f t="shared" si="20"/>
        <v>0</v>
      </c>
      <c r="S48" s="2"/>
      <c r="T48" s="7">
        <v>15</v>
      </c>
      <c r="U48" s="2"/>
      <c r="V48" s="6">
        <f t="shared" si="21"/>
        <v>0</v>
      </c>
      <c r="W48" s="2"/>
      <c r="X48" s="7">
        <f t="shared" si="22"/>
        <v>1135</v>
      </c>
      <c r="Y48" s="2"/>
      <c r="Z48" s="6">
        <f t="shared" si="23"/>
        <v>75.666666666666671</v>
      </c>
    </row>
    <row r="49" spans="1:26" s="24" customFormat="1" hidden="1" outlineLevel="2" x14ac:dyDescent="0.25">
      <c r="A49" s="28"/>
      <c r="B49" s="11" t="str">
        <f>CONCATENATE("          ", "6336", " - ", "PROFESSIONAL SERVICES")</f>
        <v xml:space="preserve">          6336 - PROFESSIONAL SERVICES</v>
      </c>
      <c r="C49" s="11"/>
      <c r="D49" s="7"/>
      <c r="E49" s="2"/>
      <c r="F49" s="6">
        <f t="shared" si="16"/>
        <v>0</v>
      </c>
      <c r="G49" s="2"/>
      <c r="H49" s="7"/>
      <c r="I49" s="2"/>
      <c r="J49" s="6">
        <f t="shared" si="17"/>
        <v>0</v>
      </c>
      <c r="K49" s="2"/>
      <c r="L49" s="7">
        <f t="shared" si="18"/>
        <v>0</v>
      </c>
      <c r="M49" s="2"/>
      <c r="N49" s="6">
        <f t="shared" si="19"/>
        <v>0</v>
      </c>
      <c r="O49" s="11"/>
      <c r="P49" s="7"/>
      <c r="Q49" s="2"/>
      <c r="R49" s="6">
        <f t="shared" si="20"/>
        <v>0</v>
      </c>
      <c r="S49" s="2"/>
      <c r="T49" s="7">
        <v>5000</v>
      </c>
      <c r="U49" s="2"/>
      <c r="V49" s="6">
        <f t="shared" si="21"/>
        <v>0</v>
      </c>
      <c r="W49" s="2"/>
      <c r="X49" s="7">
        <f t="shared" si="22"/>
        <v>-5000</v>
      </c>
      <c r="Y49" s="2"/>
      <c r="Z49" s="6">
        <f t="shared" si="23"/>
        <v>-1</v>
      </c>
    </row>
    <row r="50" spans="1:26" s="27" customFormat="1" outlineLevel="1" collapsed="1" x14ac:dyDescent="0.25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SUM(OSRRefD22_10x_0)</f>
        <v>1484.15</v>
      </c>
      <c r="E50" s="1"/>
      <c r="F50" s="5">
        <f t="shared" ref="F50:F53" si="24">IF(D$12=0,0,D50/D$12)</f>
        <v>0</v>
      </c>
      <c r="G50" s="1"/>
      <c r="H50" s="1">
        <f>SUM(OSRRefH22_10x_0)</f>
        <v>4142.49</v>
      </c>
      <c r="I50" s="1"/>
      <c r="J50" s="5">
        <f t="shared" ref="J50:J53" si="25">IF(H$12=0,0,H50/H$12)</f>
        <v>0</v>
      </c>
      <c r="K50" s="1"/>
      <c r="L50" s="1">
        <f t="shared" ref="L50:L53" si="26">+D50-H50</f>
        <v>-2658.3399999999997</v>
      </c>
      <c r="M50" s="1"/>
      <c r="N50" s="5">
        <f t="shared" ref="N50:N53" si="27">IF(H50=0,0,L50/H50)</f>
        <v>-0.64172514598707542</v>
      </c>
      <c r="O50" s="14"/>
      <c r="P50" s="1">
        <f>SUM(OSRRefP22_10x_0)</f>
        <v>6636.88</v>
      </c>
      <c r="Q50" s="1"/>
      <c r="R50" s="5">
        <f t="shared" ref="R50:R53" si="28">IF(P$12=0,0,P50/P$12)</f>
        <v>0</v>
      </c>
      <c r="S50" s="1"/>
      <c r="T50" s="1">
        <f>SUM(OSRRefT22_10x_0)</f>
        <v>11860.57</v>
      </c>
      <c r="U50" s="1"/>
      <c r="V50" s="5">
        <f t="shared" ref="V50:V53" si="29">IF(T$12=0,0,T50/T$12)</f>
        <v>0</v>
      </c>
      <c r="W50" s="1"/>
      <c r="X50" s="1">
        <f t="shared" ref="X50:X53" si="30">+P50-T50</f>
        <v>-5223.6899999999996</v>
      </c>
      <c r="Y50" s="1"/>
      <c r="Z50" s="5">
        <f t="shared" ref="Z50:Z53" si="31">IF(T50=0,0,X50/T50)</f>
        <v>-0.44042486996830671</v>
      </c>
    </row>
    <row r="51" spans="1:26" s="24" customFormat="1" hidden="1" outlineLevel="2" x14ac:dyDescent="0.25">
      <c r="A51" s="28"/>
      <c r="B51" s="11" t="str">
        <f>CONCATENATE("          ", "6371", " - ", "COMPUTER SOFTWARE MAINTENANCE")</f>
        <v xml:space="preserve">          6371 - COMPUTER SOFTWARE MAINTENANCE</v>
      </c>
      <c r="C51" s="11"/>
      <c r="D51" s="7"/>
      <c r="E51" s="2"/>
      <c r="F51" s="6">
        <f t="shared" si="24"/>
        <v>0</v>
      </c>
      <c r="G51" s="2"/>
      <c r="H51" s="7">
        <v>31.58</v>
      </c>
      <c r="I51" s="2"/>
      <c r="J51" s="6">
        <f t="shared" si="25"/>
        <v>0</v>
      </c>
      <c r="K51" s="2"/>
      <c r="L51" s="7">
        <f t="shared" si="26"/>
        <v>-31.58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31.58</v>
      </c>
      <c r="U51" s="2"/>
      <c r="V51" s="6">
        <f t="shared" si="29"/>
        <v>0</v>
      </c>
      <c r="W51" s="2"/>
      <c r="X51" s="7">
        <f t="shared" si="30"/>
        <v>-31.58</v>
      </c>
      <c r="Y51" s="2"/>
      <c r="Z51" s="6">
        <f t="shared" si="31"/>
        <v>-1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7">
        <v>1484.15</v>
      </c>
      <c r="E52" s="2"/>
      <c r="F52" s="6">
        <f t="shared" si="24"/>
        <v>0</v>
      </c>
      <c r="G52" s="2"/>
      <c r="H52" s="7">
        <v>4110.91</v>
      </c>
      <c r="I52" s="2"/>
      <c r="J52" s="6">
        <f t="shared" si="25"/>
        <v>0</v>
      </c>
      <c r="K52" s="2"/>
      <c r="L52" s="7">
        <f t="shared" si="26"/>
        <v>-2626.7599999999998</v>
      </c>
      <c r="M52" s="2"/>
      <c r="N52" s="6">
        <f t="shared" si="27"/>
        <v>-0.63897287948410442</v>
      </c>
      <c r="O52" s="11"/>
      <c r="P52" s="7">
        <v>6636.88</v>
      </c>
      <c r="Q52" s="2"/>
      <c r="R52" s="6">
        <f t="shared" si="28"/>
        <v>0</v>
      </c>
      <c r="S52" s="2"/>
      <c r="T52" s="7">
        <v>11741.24</v>
      </c>
      <c r="U52" s="2"/>
      <c r="V52" s="6">
        <f t="shared" si="29"/>
        <v>0</v>
      </c>
      <c r="W52" s="2"/>
      <c r="X52" s="7">
        <f t="shared" si="30"/>
        <v>-5104.3599999999997</v>
      </c>
      <c r="Y52" s="2"/>
      <c r="Z52" s="6">
        <f t="shared" si="31"/>
        <v>-0.43473772787201348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87.75</v>
      </c>
      <c r="U53" s="2"/>
      <c r="V53" s="6">
        <f t="shared" si="29"/>
        <v>0</v>
      </c>
      <c r="W53" s="2"/>
      <c r="X53" s="7">
        <f t="shared" si="30"/>
        <v>-87.75</v>
      </c>
      <c r="Y53" s="2"/>
      <c r="Z53" s="6">
        <f t="shared" si="31"/>
        <v>-1</v>
      </c>
    </row>
    <row r="54" spans="1:26" s="27" customFormat="1" outlineLevel="1" collapsed="1" x14ac:dyDescent="0.25">
      <c r="A54" s="29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0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0</v>
      </c>
      <c r="M54" s="1"/>
      <c r="N54" s="5">
        <f t="shared" ref="N54:N60" si="35">IF(H54=0,0,L54/H54)</f>
        <v>0</v>
      </c>
      <c r="O54" s="14"/>
      <c r="P54" s="1">
        <f>SUM(OSRRefP22_11x_0)</f>
        <v>1725</v>
      </c>
      <c r="Q54" s="1"/>
      <c r="R54" s="5">
        <f t="shared" ref="R54:R60" si="36">IF(P$12=0,0,P54/P$12)</f>
        <v>0</v>
      </c>
      <c r="S54" s="1"/>
      <c r="T54" s="1">
        <f>SUM(OSRRefT22_11x_0)</f>
        <v>1000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725</v>
      </c>
      <c r="Y54" s="1"/>
      <c r="Z54" s="5">
        <f t="shared" ref="Z54:Z60" si="39">IF(T54=0,0,X54/T54)</f>
        <v>0.72499999999999998</v>
      </c>
    </row>
    <row r="55" spans="1:26" s="24" customFormat="1" hidden="1" outlineLevel="2" x14ac:dyDescent="0.25">
      <c r="A55" s="28"/>
      <c r="B55" s="11" t="str">
        <f>CONCATENATE("          ", "6258", " - ", "MEMBERSHIP DUES")</f>
        <v xml:space="preserve">          6258 - MEMBERSHIP DUES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>
        <v>1725</v>
      </c>
      <c r="Q55" s="2"/>
      <c r="R55" s="6">
        <f t="shared" si="36"/>
        <v>0</v>
      </c>
      <c r="S55" s="2"/>
      <c r="T55" s="7">
        <v>1000</v>
      </c>
      <c r="U55" s="2"/>
      <c r="V55" s="6">
        <f t="shared" si="37"/>
        <v>0</v>
      </c>
      <c r="W55" s="2"/>
      <c r="X55" s="7">
        <f t="shared" si="38"/>
        <v>725</v>
      </c>
      <c r="Y55" s="2"/>
      <c r="Z55" s="6">
        <f t="shared" si="39"/>
        <v>0.72499999999999998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SUM(OSRRefD22_12x_0)</f>
        <v>154.93</v>
      </c>
      <c r="E56" s="1"/>
      <c r="F56" s="5">
        <f t="shared" si="32"/>
        <v>0</v>
      </c>
      <c r="G56" s="1"/>
      <c r="H56" s="1">
        <f>SUM(OSRRefH22_12x_0)</f>
        <v>1505.9</v>
      </c>
      <c r="I56" s="1"/>
      <c r="J56" s="5">
        <f t="shared" si="33"/>
        <v>0</v>
      </c>
      <c r="K56" s="1"/>
      <c r="L56" s="1">
        <f t="shared" si="34"/>
        <v>-1350.97</v>
      </c>
      <c r="M56" s="1"/>
      <c r="N56" s="5">
        <f t="shared" si="35"/>
        <v>-0.8971180025234079</v>
      </c>
      <c r="O56" s="14"/>
      <c r="P56" s="1">
        <f>SUM(OSRRefP22_12x_0)</f>
        <v>286.94</v>
      </c>
      <c r="Q56" s="1"/>
      <c r="R56" s="5">
        <f t="shared" si="36"/>
        <v>0</v>
      </c>
      <c r="S56" s="1"/>
      <c r="T56" s="1">
        <f>SUM(OSRRefT22_12x_0)</f>
        <v>1803.6499999999999</v>
      </c>
      <c r="U56" s="1"/>
      <c r="V56" s="5">
        <f t="shared" si="37"/>
        <v>0</v>
      </c>
      <c r="W56" s="1"/>
      <c r="X56" s="1">
        <f t="shared" si="38"/>
        <v>-1516.7099999999998</v>
      </c>
      <c r="Y56" s="1"/>
      <c r="Z56" s="5">
        <f t="shared" si="39"/>
        <v>-0.84091148504421587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32"/>
        <v>0</v>
      </c>
      <c r="G57" s="2"/>
      <c r="H57" s="7">
        <v>217.02</v>
      </c>
      <c r="I57" s="2"/>
      <c r="J57" s="6">
        <f t="shared" si="33"/>
        <v>0</v>
      </c>
      <c r="K57" s="2"/>
      <c r="L57" s="7">
        <f t="shared" si="34"/>
        <v>-217.02</v>
      </c>
      <c r="M57" s="2"/>
      <c r="N57" s="6">
        <f t="shared" si="35"/>
        <v>-1</v>
      </c>
      <c r="O57" s="11"/>
      <c r="P57" s="7"/>
      <c r="Q57" s="2"/>
      <c r="R57" s="6">
        <f t="shared" si="36"/>
        <v>0</v>
      </c>
      <c r="S57" s="2"/>
      <c r="T57" s="7">
        <v>217.02</v>
      </c>
      <c r="U57" s="2"/>
      <c r="V57" s="6">
        <f t="shared" si="37"/>
        <v>0</v>
      </c>
      <c r="W57" s="2"/>
      <c r="X57" s="7">
        <f t="shared" si="38"/>
        <v>-217.02</v>
      </c>
      <c r="Y57" s="2"/>
      <c r="Z57" s="6">
        <f t="shared" si="39"/>
        <v>-1</v>
      </c>
    </row>
    <row r="58" spans="1:26" s="24" customFormat="1" hidden="1" outlineLevel="2" x14ac:dyDescent="0.25">
      <c r="A58" s="28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106.94</v>
      </c>
      <c r="Q58" s="2"/>
      <c r="R58" s="6">
        <f t="shared" si="36"/>
        <v>0</v>
      </c>
      <c r="S58" s="2"/>
      <c r="T58" s="7"/>
      <c r="U58" s="2"/>
      <c r="V58" s="6">
        <f t="shared" si="37"/>
        <v>0</v>
      </c>
      <c r="W58" s="2"/>
      <c r="X58" s="7">
        <f t="shared" si="38"/>
        <v>106.94</v>
      </c>
      <c r="Y58" s="2"/>
      <c r="Z58" s="6">
        <f t="shared" si="39"/>
        <v>0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7">
        <v>154.93</v>
      </c>
      <c r="E59" s="2"/>
      <c r="F59" s="6">
        <f t="shared" si="32"/>
        <v>0</v>
      </c>
      <c r="G59" s="2"/>
      <c r="H59" s="7">
        <v>1288.8800000000001</v>
      </c>
      <c r="I59" s="2"/>
      <c r="J59" s="6">
        <f t="shared" si="33"/>
        <v>0</v>
      </c>
      <c r="K59" s="2"/>
      <c r="L59" s="7">
        <f t="shared" si="34"/>
        <v>-1133.95</v>
      </c>
      <c r="M59" s="2"/>
      <c r="N59" s="6">
        <f t="shared" si="35"/>
        <v>-0.87979486065421142</v>
      </c>
      <c r="O59" s="11"/>
      <c r="P59" s="7">
        <v>180</v>
      </c>
      <c r="Q59" s="2"/>
      <c r="R59" s="6">
        <f t="shared" si="36"/>
        <v>0</v>
      </c>
      <c r="S59" s="2"/>
      <c r="T59" s="7">
        <v>1554.77</v>
      </c>
      <c r="U59" s="2"/>
      <c r="V59" s="6">
        <f t="shared" si="37"/>
        <v>0</v>
      </c>
      <c r="W59" s="2"/>
      <c r="X59" s="7">
        <f t="shared" si="38"/>
        <v>-1374.77</v>
      </c>
      <c r="Y59" s="2"/>
      <c r="Z59" s="6">
        <f t="shared" si="39"/>
        <v>-0.88422724904648276</v>
      </c>
    </row>
    <row r="60" spans="1:26" s="24" customFormat="1" hidden="1" outlineLevel="2" x14ac:dyDescent="0.25">
      <c r="A60" s="28"/>
      <c r="B60" s="11" t="str">
        <f>CONCATENATE("          ", "6245", " - ", "PRINTING")</f>
        <v xml:space="preserve">          6245 - PRINTING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31.86</v>
      </c>
      <c r="U60" s="2"/>
      <c r="V60" s="6">
        <f t="shared" si="37"/>
        <v>0</v>
      </c>
      <c r="W60" s="2"/>
      <c r="X60" s="7">
        <f t="shared" si="38"/>
        <v>-31.86</v>
      </c>
      <c r="Y60" s="2"/>
      <c r="Z60" s="6">
        <f t="shared" si="39"/>
        <v>-1</v>
      </c>
    </row>
    <row r="61" spans="1:26" s="27" customFormat="1" outlineLevel="1" collapsed="1" x14ac:dyDescent="0.25">
      <c r="A61" s="29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SUM(OSRRefD22_13x_0)</f>
        <v>460.64</v>
      </c>
      <c r="E61" s="1"/>
      <c r="F61" s="5">
        <f t="shared" ref="F61:F64" si="40">IF(D$12=0,0,D61/D$12)</f>
        <v>0</v>
      </c>
      <c r="G61" s="1"/>
      <c r="H61" s="1">
        <f>SUM(OSRRefH22_13x_0)</f>
        <v>450</v>
      </c>
      <c r="I61" s="1"/>
      <c r="J61" s="5">
        <f t="shared" ref="J61:J64" si="41">IF(H$12=0,0,H61/H$12)</f>
        <v>0</v>
      </c>
      <c r="K61" s="1"/>
      <c r="L61" s="1">
        <f t="shared" ref="L61:L64" si="42">+D61-H61</f>
        <v>10.639999999999986</v>
      </c>
      <c r="M61" s="1"/>
      <c r="N61" s="5">
        <f t="shared" ref="N61:N64" si="43">IF(H61=0,0,L61/H61)</f>
        <v>2.3644444444444412E-2</v>
      </c>
      <c r="O61" s="14"/>
      <c r="P61" s="1">
        <f>SUM(OSRRefP22_13x_0)</f>
        <v>1068.06</v>
      </c>
      <c r="Q61" s="1"/>
      <c r="R61" s="5">
        <f t="shared" ref="R61:R64" si="44">IF(P$12=0,0,P61/P$12)</f>
        <v>0</v>
      </c>
      <c r="S61" s="1"/>
      <c r="T61" s="1">
        <f>SUM(OSRRefT22_13x_0)</f>
        <v>909.63</v>
      </c>
      <c r="U61" s="1"/>
      <c r="V61" s="5">
        <f t="shared" ref="V61:V64" si="45">IF(T$12=0,0,T61/T$12)</f>
        <v>0</v>
      </c>
      <c r="W61" s="1"/>
      <c r="X61" s="1">
        <f t="shared" ref="X61:X64" si="46">+P61-T61</f>
        <v>158.42999999999995</v>
      </c>
      <c r="Y61" s="1"/>
      <c r="Z61" s="5">
        <f t="shared" ref="Z61:Z64" si="47">IF(T61=0,0,X61/T61)</f>
        <v>0.17416971735760689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7">
        <v>460.64</v>
      </c>
      <c r="E62" s="2"/>
      <c r="F62" s="6">
        <f t="shared" si="40"/>
        <v>0</v>
      </c>
      <c r="G62" s="2"/>
      <c r="H62" s="7">
        <v>450</v>
      </c>
      <c r="I62" s="2"/>
      <c r="J62" s="6">
        <f t="shared" si="41"/>
        <v>0</v>
      </c>
      <c r="K62" s="2"/>
      <c r="L62" s="7">
        <f t="shared" si="42"/>
        <v>10.639999999999986</v>
      </c>
      <c r="M62" s="2"/>
      <c r="N62" s="6">
        <f t="shared" si="43"/>
        <v>2.3644444444444412E-2</v>
      </c>
      <c r="O62" s="11"/>
      <c r="P62" s="7">
        <v>1068.06</v>
      </c>
      <c r="Q62" s="2"/>
      <c r="R62" s="6">
        <f t="shared" si="44"/>
        <v>0</v>
      </c>
      <c r="S62" s="2"/>
      <c r="T62" s="7">
        <v>909.63</v>
      </c>
      <c r="U62" s="2"/>
      <c r="V62" s="6">
        <f t="shared" si="45"/>
        <v>0</v>
      </c>
      <c r="W62" s="2"/>
      <c r="X62" s="7">
        <f t="shared" si="46"/>
        <v>158.42999999999995</v>
      </c>
      <c r="Y62" s="2"/>
      <c r="Z62" s="6">
        <f t="shared" si="47"/>
        <v>0.17416971735760689</v>
      </c>
    </row>
    <row r="63" spans="1:26" s="27" customFormat="1" outlineLevel="1" collapsed="1" x14ac:dyDescent="0.25">
      <c r="A63" s="29"/>
      <c r="B63" s="14" t="str">
        <f>CONCATENATE("     ","Travel                                            ")</f>
        <v xml:space="preserve">     Travel                                            </v>
      </c>
      <c r="C63" s="14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173.86</v>
      </c>
      <c r="I63" s="1"/>
      <c r="J63" s="5">
        <f t="shared" si="41"/>
        <v>0</v>
      </c>
      <c r="K63" s="1"/>
      <c r="L63" s="1">
        <f t="shared" si="42"/>
        <v>-173.86</v>
      </c>
      <c r="M63" s="1"/>
      <c r="N63" s="5">
        <f t="shared" si="43"/>
        <v>-1</v>
      </c>
      <c r="O63" s="14"/>
      <c r="P63" s="1">
        <f>SUM(OSRRefP22_14x_0)</f>
        <v>0</v>
      </c>
      <c r="Q63" s="1"/>
      <c r="R63" s="5">
        <f t="shared" si="44"/>
        <v>0</v>
      </c>
      <c r="S63" s="1"/>
      <c r="T63" s="1">
        <f>SUM(OSRRefT22_14x_0)</f>
        <v>2981.12</v>
      </c>
      <c r="U63" s="1"/>
      <c r="V63" s="5">
        <f t="shared" si="45"/>
        <v>0</v>
      </c>
      <c r="W63" s="1"/>
      <c r="X63" s="1">
        <f t="shared" si="46"/>
        <v>-2981.12</v>
      </c>
      <c r="Y63" s="1"/>
      <c r="Z63" s="5">
        <f t="shared" si="47"/>
        <v>-1</v>
      </c>
    </row>
    <row r="64" spans="1:26" s="24" customFormat="1" hidden="1" outlineLevel="2" x14ac:dyDescent="0.25">
      <c r="A64" s="28"/>
      <c r="B64" s="11" t="str">
        <f>CONCATENATE("          ", "6292", " - ", "TRAVEL/CONFERENCE")</f>
        <v xml:space="preserve">          6292 - TRAVEL/CONFERENCE</v>
      </c>
      <c r="C64" s="11"/>
      <c r="D64" s="7"/>
      <c r="E64" s="2"/>
      <c r="F64" s="6">
        <f t="shared" si="40"/>
        <v>0</v>
      </c>
      <c r="G64" s="2"/>
      <c r="H64" s="7">
        <v>173.86</v>
      </c>
      <c r="I64" s="2"/>
      <c r="J64" s="6">
        <f t="shared" si="41"/>
        <v>0</v>
      </c>
      <c r="K64" s="2"/>
      <c r="L64" s="7">
        <f t="shared" si="42"/>
        <v>-173.86</v>
      </c>
      <c r="M64" s="2"/>
      <c r="N64" s="6">
        <f t="shared" si="43"/>
        <v>-1</v>
      </c>
      <c r="O64" s="11"/>
      <c r="P64" s="7"/>
      <c r="Q64" s="2"/>
      <c r="R64" s="6">
        <f t="shared" si="44"/>
        <v>0</v>
      </c>
      <c r="S64" s="2"/>
      <c r="T64" s="7">
        <v>2981.12</v>
      </c>
      <c r="U64" s="2"/>
      <c r="V64" s="6">
        <f t="shared" si="45"/>
        <v>0</v>
      </c>
      <c r="W64" s="2"/>
      <c r="X64" s="7">
        <f t="shared" si="46"/>
        <v>-2981.12</v>
      </c>
      <c r="Y64" s="2"/>
      <c r="Z64" s="6">
        <f t="shared" si="47"/>
        <v>-1</v>
      </c>
    </row>
    <row r="65" spans="1:26" s="60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5" t="s">
        <v>3</v>
      </c>
      <c r="C68" s="25"/>
      <c r="D68" s="22">
        <f>+D16-D18+D66</f>
        <v>-40329.99</v>
      </c>
      <c r="E68" s="13"/>
      <c r="F68" s="21">
        <f>IF(D$12=0,0,D68/D$12)</f>
        <v>0</v>
      </c>
      <c r="G68" s="13"/>
      <c r="H68" s="22">
        <f>+H16-H18+H66</f>
        <v>-86715.000000000029</v>
      </c>
      <c r="I68" s="13"/>
      <c r="J68" s="21">
        <f>IF(H$12=0,0,H68/H$12)</f>
        <v>0</v>
      </c>
      <c r="K68" s="15"/>
      <c r="L68" s="22">
        <f>+D68-H68</f>
        <v>46385.010000000031</v>
      </c>
      <c r="M68" s="15"/>
      <c r="N68" s="21">
        <f>IF(H68=0,0,L68/H68)</f>
        <v>-0.53491333679294262</v>
      </c>
      <c r="O68" s="26"/>
      <c r="P68" s="22">
        <f>+P16-P18+P66</f>
        <v>-107256.26000000002</v>
      </c>
      <c r="Q68" s="13"/>
      <c r="R68" s="21">
        <f>IF(P$12=0,0,P68/P$12)</f>
        <v>0</v>
      </c>
      <c r="S68" s="13"/>
      <c r="T68" s="22">
        <f>+T16-T18+T66</f>
        <v>-331588.10000000003</v>
      </c>
      <c r="U68" s="13"/>
      <c r="V68" s="21">
        <f>IF(T$12=0,0,T68/T$12)</f>
        <v>0</v>
      </c>
      <c r="W68" s="15"/>
      <c r="X68" s="22">
        <f>+P68-T68</f>
        <v>224331.84000000003</v>
      </c>
      <c r="Y68" s="15"/>
      <c r="Z68" s="21">
        <f>IF(T68=0,0,X68/T68)</f>
        <v>-0.67653766826976003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4</v>
      </c>
      <c r="C72" s="25"/>
      <c r="D72" s="33">
        <f>+D68-D70</f>
        <v>-40329.99</v>
      </c>
      <c r="E72" s="13"/>
      <c r="F72" s="32">
        <f>IF(D$12=0,0,D72/D$12)</f>
        <v>0</v>
      </c>
      <c r="G72" s="13"/>
      <c r="H72" s="33">
        <f>+H68-H70</f>
        <v>-86715.000000000029</v>
      </c>
      <c r="I72" s="13"/>
      <c r="J72" s="32">
        <f>IF(H$12=0,0,H72/H$12)</f>
        <v>0</v>
      </c>
      <c r="K72" s="15"/>
      <c r="L72" s="33">
        <f>D72-H72</f>
        <v>46385.010000000031</v>
      </c>
      <c r="M72" s="15"/>
      <c r="N72" s="32">
        <f>IF(H72=0,0,L72/H72)</f>
        <v>-0.53491333679294262</v>
      </c>
      <c r="O72" s="26"/>
      <c r="P72" s="33">
        <f>+P68-P70</f>
        <v>-107256.26000000002</v>
      </c>
      <c r="Q72" s="13"/>
      <c r="R72" s="32">
        <f>IF(P$12=0,0,P72/P$12)</f>
        <v>0</v>
      </c>
      <c r="S72" s="13"/>
      <c r="T72" s="33">
        <f>+T68-T70</f>
        <v>-331588.10000000003</v>
      </c>
      <c r="U72" s="13"/>
      <c r="V72" s="32">
        <f>IF(T$12=0,0,T72/T$12)</f>
        <v>0</v>
      </c>
      <c r="W72" s="15"/>
      <c r="X72" s="33">
        <f>P72-T72</f>
        <v>224331.84000000003</v>
      </c>
      <c r="Y72" s="15"/>
      <c r="Z72" s="32">
        <f>IF(T72=0,0,X72/T72)</f>
        <v>-0.67653766826976003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5</v>
      </c>
      <c r="C75" s="25"/>
      <c r="D75" s="34">
        <f>SUM(D72:D74)</f>
        <v>-40329.99</v>
      </c>
      <c r="E75" s="13"/>
      <c r="F75" s="31">
        <f>IF(D$12=0,0,D75/D$12)</f>
        <v>0</v>
      </c>
      <c r="G75" s="13"/>
      <c r="H75" s="34">
        <f>SUM(H72:H74)</f>
        <v>-86715.000000000029</v>
      </c>
      <c r="I75" s="13"/>
      <c r="J75" s="31">
        <f>IF(H$12=0,0,H75/H$12)</f>
        <v>0</v>
      </c>
      <c r="K75" s="15"/>
      <c r="L75" s="34">
        <f>+D75-H75</f>
        <v>46385.010000000031</v>
      </c>
      <c r="M75" s="15"/>
      <c r="N75" s="31">
        <f>IF(H75=0,0,L75/H75)</f>
        <v>-0.53491333679294262</v>
      </c>
      <c r="O75" s="26"/>
      <c r="P75" s="34">
        <f>SUM(P72:P74)</f>
        <v>-107256.26000000002</v>
      </c>
      <c r="Q75" s="13"/>
      <c r="R75" s="31">
        <f>IF(P$12=0,0,P75/P$12)</f>
        <v>0</v>
      </c>
      <c r="S75" s="13"/>
      <c r="T75" s="34">
        <f>SUM(T72:T74)</f>
        <v>-331588.10000000003</v>
      </c>
      <c r="U75" s="13"/>
      <c r="V75" s="31">
        <f>IF(T$12=0,0,T75/T$12)</f>
        <v>0</v>
      </c>
      <c r="W75" s="15"/>
      <c r="X75" s="34">
        <f>+P75-T75</f>
        <v>224331.84000000003</v>
      </c>
      <c r="Y75" s="15"/>
      <c r="Z75" s="31">
        <f>IF(T75=0,0,X75/T75)</f>
        <v>-0.67653766826976003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4">
        <v>44123.564982870368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8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36054.399999999994</v>
      </c>
      <c r="E18" s="20"/>
      <c r="F18" s="36">
        <f t="shared" ref="F18:F27" si="0">IF(D$12=0,0,D18/D$12)</f>
        <v>0</v>
      </c>
      <c r="G18" s="20"/>
      <c r="H18" s="20">
        <f>SUM(OSRRefH22x_0)</f>
        <v>48851.63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-12797.230000000003</v>
      </c>
      <c r="M18" s="4"/>
      <c r="N18" s="36">
        <f t="shared" ref="N18:N27" si="3">IF(H18=0,0,L18/H18)</f>
        <v>-0.26196116690476867</v>
      </c>
      <c r="O18" s="10"/>
      <c r="P18" s="20">
        <f>SUM(OSRRefP22x_0)</f>
        <v>110046.29000000002</v>
      </c>
      <c r="Q18" s="20"/>
      <c r="R18" s="36">
        <f t="shared" ref="R18:R27" si="4">IF(P$12=0,0,P18/P$12)</f>
        <v>0</v>
      </c>
      <c r="S18" s="20"/>
      <c r="T18" s="20">
        <f>SUM(OSRRefT22x_0)</f>
        <v>150268.91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-40222.619999999981</v>
      </c>
      <c r="Y18" s="4"/>
      <c r="Z18" s="36">
        <f t="shared" ref="Z18:Z27" si="7">IF(T18=0,0,X18/T18)</f>
        <v>-0.26767093738817949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12249.43</v>
      </c>
      <c r="E19" s="1"/>
      <c r="F19" s="5">
        <f t="shared" si="0"/>
        <v>0</v>
      </c>
      <c r="G19" s="1"/>
      <c r="H19" s="1">
        <f>SUM(OSRRefH22_0x_0)</f>
        <v>14293.33</v>
      </c>
      <c r="I19" s="1"/>
      <c r="J19" s="5">
        <f t="shared" si="1"/>
        <v>0</v>
      </c>
      <c r="K19" s="1"/>
      <c r="L19" s="1">
        <f t="shared" si="2"/>
        <v>-2043.8999999999996</v>
      </c>
      <c r="M19" s="1"/>
      <c r="N19" s="5">
        <f t="shared" si="3"/>
        <v>-0.1429967684227538</v>
      </c>
      <c r="O19" s="14"/>
      <c r="P19" s="1">
        <f>SUM(OSRRefP22_0x_0)</f>
        <v>37497.020000000004</v>
      </c>
      <c r="Q19" s="1"/>
      <c r="R19" s="5">
        <f t="shared" si="4"/>
        <v>0</v>
      </c>
      <c r="S19" s="1"/>
      <c r="T19" s="1">
        <f>SUM(OSRRefT22_0x_0)</f>
        <v>46141.429999999993</v>
      </c>
      <c r="U19" s="1"/>
      <c r="V19" s="5">
        <f t="shared" si="5"/>
        <v>0</v>
      </c>
      <c r="W19" s="1"/>
      <c r="X19" s="1">
        <f t="shared" si="6"/>
        <v>-8644.4099999999889</v>
      </c>
      <c r="Y19" s="1"/>
      <c r="Z19" s="5">
        <f t="shared" si="7"/>
        <v>-0.18734594918276243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1635.95</v>
      </c>
      <c r="E20" s="2"/>
      <c r="F20" s="6">
        <f t="shared" si="0"/>
        <v>0</v>
      </c>
      <c r="G20" s="2"/>
      <c r="H20" s="7">
        <v>2097.94</v>
      </c>
      <c r="I20" s="2"/>
      <c r="J20" s="6">
        <f t="shared" si="1"/>
        <v>0</v>
      </c>
      <c r="K20" s="2"/>
      <c r="L20" s="7">
        <f t="shared" si="2"/>
        <v>-461.99</v>
      </c>
      <c r="M20" s="2"/>
      <c r="N20" s="6">
        <f t="shared" si="3"/>
        <v>-0.22021125484999571</v>
      </c>
      <c r="O20" s="11"/>
      <c r="P20" s="7">
        <v>4883.07</v>
      </c>
      <c r="Q20" s="2"/>
      <c r="R20" s="6">
        <f t="shared" si="4"/>
        <v>0</v>
      </c>
      <c r="S20" s="2"/>
      <c r="T20" s="7">
        <v>6191.83</v>
      </c>
      <c r="U20" s="2"/>
      <c r="V20" s="6">
        <f t="shared" si="5"/>
        <v>0</v>
      </c>
      <c r="W20" s="2"/>
      <c r="X20" s="7">
        <f t="shared" si="6"/>
        <v>-1308.7600000000002</v>
      </c>
      <c r="Y20" s="2"/>
      <c r="Z20" s="6">
        <f t="shared" si="7"/>
        <v>-0.21136885218101922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70.040000000000006</v>
      </c>
      <c r="E21" s="2"/>
      <c r="F21" s="6">
        <f t="shared" si="0"/>
        <v>0</v>
      </c>
      <c r="G21" s="2"/>
      <c r="H21" s="7">
        <v>103.78</v>
      </c>
      <c r="I21" s="2"/>
      <c r="J21" s="6">
        <f t="shared" si="1"/>
        <v>0</v>
      </c>
      <c r="K21" s="2"/>
      <c r="L21" s="7">
        <f t="shared" si="2"/>
        <v>-33.739999999999995</v>
      </c>
      <c r="M21" s="2"/>
      <c r="N21" s="6">
        <f t="shared" si="3"/>
        <v>-0.32511081133166309</v>
      </c>
      <c r="O21" s="11"/>
      <c r="P21" s="7">
        <v>210.06</v>
      </c>
      <c r="Q21" s="2"/>
      <c r="R21" s="6">
        <f t="shared" si="4"/>
        <v>0</v>
      </c>
      <c r="S21" s="2"/>
      <c r="T21" s="7">
        <v>302.31</v>
      </c>
      <c r="U21" s="2"/>
      <c r="V21" s="6">
        <f t="shared" si="5"/>
        <v>0</v>
      </c>
      <c r="W21" s="2"/>
      <c r="X21" s="7">
        <f t="shared" si="6"/>
        <v>-92.25</v>
      </c>
      <c r="Y21" s="2"/>
      <c r="Z21" s="6">
        <f t="shared" si="7"/>
        <v>-0.30515034236379873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5567.04</v>
      </c>
      <c r="E22" s="2"/>
      <c r="F22" s="6">
        <f t="shared" si="0"/>
        <v>0</v>
      </c>
      <c r="G22" s="2"/>
      <c r="H22" s="7">
        <v>5942.02</v>
      </c>
      <c r="I22" s="2"/>
      <c r="J22" s="6">
        <f t="shared" si="1"/>
        <v>0</v>
      </c>
      <c r="K22" s="2"/>
      <c r="L22" s="7">
        <f t="shared" si="2"/>
        <v>-374.98000000000047</v>
      </c>
      <c r="M22" s="2"/>
      <c r="N22" s="6">
        <f t="shared" si="3"/>
        <v>-6.3106485673222315E-2</v>
      </c>
      <c r="O22" s="11"/>
      <c r="P22" s="7">
        <v>16701.12</v>
      </c>
      <c r="Q22" s="2"/>
      <c r="R22" s="6">
        <f t="shared" si="4"/>
        <v>0</v>
      </c>
      <c r="S22" s="2"/>
      <c r="T22" s="7">
        <v>17826.060000000001</v>
      </c>
      <c r="U22" s="2"/>
      <c r="V22" s="6">
        <f t="shared" si="5"/>
        <v>0</v>
      </c>
      <c r="W22" s="2"/>
      <c r="X22" s="7">
        <f t="shared" si="6"/>
        <v>-1124.9400000000023</v>
      </c>
      <c r="Y22" s="2"/>
      <c r="Z22" s="6">
        <f t="shared" si="7"/>
        <v>-6.3106485673222357E-2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55.18</v>
      </c>
      <c r="E23" s="2"/>
      <c r="F23" s="6">
        <f t="shared" si="0"/>
        <v>0</v>
      </c>
      <c r="G23" s="2"/>
      <c r="H23" s="7">
        <v>79.36</v>
      </c>
      <c r="I23" s="2"/>
      <c r="J23" s="6">
        <f t="shared" si="1"/>
        <v>0</v>
      </c>
      <c r="K23" s="2"/>
      <c r="L23" s="7">
        <f t="shared" si="2"/>
        <v>-24.18</v>
      </c>
      <c r="M23" s="2"/>
      <c r="N23" s="6">
        <f t="shared" si="3"/>
        <v>-0.3046875</v>
      </c>
      <c r="O23" s="11"/>
      <c r="P23" s="7">
        <v>165.49</v>
      </c>
      <c r="Q23" s="2"/>
      <c r="R23" s="6">
        <f t="shared" si="4"/>
        <v>0</v>
      </c>
      <c r="S23" s="2"/>
      <c r="T23" s="7">
        <v>231.17</v>
      </c>
      <c r="U23" s="2"/>
      <c r="V23" s="6">
        <f t="shared" si="5"/>
        <v>0</v>
      </c>
      <c r="W23" s="2"/>
      <c r="X23" s="7">
        <f t="shared" si="6"/>
        <v>-65.679999999999978</v>
      </c>
      <c r="Y23" s="2"/>
      <c r="Z23" s="6">
        <f t="shared" si="7"/>
        <v>-0.28411991175325513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1978.76</v>
      </c>
      <c r="E24" s="2"/>
      <c r="F24" s="6">
        <f t="shared" si="0"/>
        <v>0</v>
      </c>
      <c r="G24" s="2"/>
      <c r="H24" s="7">
        <v>2196.79</v>
      </c>
      <c r="I24" s="2"/>
      <c r="J24" s="6">
        <f t="shared" si="1"/>
        <v>0</v>
      </c>
      <c r="K24" s="2"/>
      <c r="L24" s="7">
        <f t="shared" si="2"/>
        <v>-218.02999999999997</v>
      </c>
      <c r="M24" s="2"/>
      <c r="N24" s="6">
        <f t="shared" si="3"/>
        <v>-9.924935929242211E-2</v>
      </c>
      <c r="O24" s="11"/>
      <c r="P24" s="7">
        <v>6925.67</v>
      </c>
      <c r="Q24" s="2"/>
      <c r="R24" s="6">
        <f t="shared" si="4"/>
        <v>0</v>
      </c>
      <c r="S24" s="2"/>
      <c r="T24" s="7">
        <v>6590.37</v>
      </c>
      <c r="U24" s="2"/>
      <c r="V24" s="6">
        <f t="shared" si="5"/>
        <v>0</v>
      </c>
      <c r="W24" s="2"/>
      <c r="X24" s="7">
        <f t="shared" si="6"/>
        <v>335.30000000000018</v>
      </c>
      <c r="Y24" s="2"/>
      <c r="Z24" s="6">
        <f t="shared" si="7"/>
        <v>5.0877264857663557E-2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1559.44</v>
      </c>
      <c r="E25" s="2"/>
      <c r="F25" s="6">
        <f t="shared" si="0"/>
        <v>0</v>
      </c>
      <c r="G25" s="2"/>
      <c r="H25" s="7">
        <v>1866.76</v>
      </c>
      <c r="I25" s="2"/>
      <c r="J25" s="6">
        <f t="shared" si="1"/>
        <v>0</v>
      </c>
      <c r="K25" s="2"/>
      <c r="L25" s="7">
        <f t="shared" si="2"/>
        <v>-307.31999999999994</v>
      </c>
      <c r="M25" s="2"/>
      <c r="N25" s="6">
        <f t="shared" si="3"/>
        <v>-0.16462748291156867</v>
      </c>
      <c r="O25" s="11"/>
      <c r="P25" s="7">
        <v>4678.32</v>
      </c>
      <c r="Q25" s="2"/>
      <c r="R25" s="6">
        <f t="shared" si="4"/>
        <v>0</v>
      </c>
      <c r="S25" s="2"/>
      <c r="T25" s="7">
        <v>6474.7</v>
      </c>
      <c r="U25" s="2"/>
      <c r="V25" s="6">
        <f t="shared" si="5"/>
        <v>0</v>
      </c>
      <c r="W25" s="2"/>
      <c r="X25" s="7">
        <f t="shared" si="6"/>
        <v>-1796.38</v>
      </c>
      <c r="Y25" s="2"/>
      <c r="Z25" s="6">
        <f t="shared" si="7"/>
        <v>-0.27744605927687771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979.42</v>
      </c>
      <c r="E26" s="2"/>
      <c r="F26" s="6">
        <f t="shared" si="0"/>
        <v>0</v>
      </c>
      <c r="G26" s="2"/>
      <c r="H26" s="7">
        <v>1152.2</v>
      </c>
      <c r="I26" s="2"/>
      <c r="J26" s="6">
        <f t="shared" si="1"/>
        <v>0</v>
      </c>
      <c r="K26" s="2"/>
      <c r="L26" s="7">
        <f t="shared" si="2"/>
        <v>-172.78000000000009</v>
      </c>
      <c r="M26" s="2"/>
      <c r="N26" s="6">
        <f t="shared" si="3"/>
        <v>-0.1499566047561188</v>
      </c>
      <c r="O26" s="11"/>
      <c r="P26" s="7">
        <v>2938.26</v>
      </c>
      <c r="Q26" s="2"/>
      <c r="R26" s="6">
        <f t="shared" si="4"/>
        <v>0</v>
      </c>
      <c r="S26" s="2"/>
      <c r="T26" s="7">
        <v>6239.31</v>
      </c>
      <c r="U26" s="2"/>
      <c r="V26" s="6">
        <f t="shared" si="5"/>
        <v>0</v>
      </c>
      <c r="W26" s="2"/>
      <c r="X26" s="7">
        <f t="shared" si="6"/>
        <v>-3301.05</v>
      </c>
      <c r="Y26" s="2"/>
      <c r="Z26" s="6">
        <f t="shared" si="7"/>
        <v>-0.52907292633320036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403.6</v>
      </c>
      <c r="E27" s="2"/>
      <c r="F27" s="6">
        <f t="shared" si="0"/>
        <v>0</v>
      </c>
      <c r="G27" s="2"/>
      <c r="H27" s="7">
        <v>854.48</v>
      </c>
      <c r="I27" s="2"/>
      <c r="J27" s="6">
        <f t="shared" si="1"/>
        <v>0</v>
      </c>
      <c r="K27" s="2"/>
      <c r="L27" s="7">
        <f t="shared" si="2"/>
        <v>-450.88</v>
      </c>
      <c r="M27" s="2"/>
      <c r="N27" s="6">
        <f t="shared" si="3"/>
        <v>-0.52766594888119089</v>
      </c>
      <c r="O27" s="11"/>
      <c r="P27" s="7">
        <v>995.03</v>
      </c>
      <c r="Q27" s="2"/>
      <c r="R27" s="6">
        <f t="shared" si="4"/>
        <v>0</v>
      </c>
      <c r="S27" s="2"/>
      <c r="T27" s="7">
        <v>2285.6799999999998</v>
      </c>
      <c r="U27" s="2"/>
      <c r="V27" s="6">
        <f t="shared" si="5"/>
        <v>0</v>
      </c>
      <c r="W27" s="2"/>
      <c r="X27" s="7">
        <f t="shared" si="6"/>
        <v>-1290.6499999999999</v>
      </c>
      <c r="Y27" s="2"/>
      <c r="Z27" s="6">
        <f t="shared" si="7"/>
        <v>-0.5646678450176752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20611.34</v>
      </c>
      <c r="E28" s="1"/>
      <c r="F28" s="5">
        <f t="shared" ref="F28:F32" si="8">IF(D$12=0,0,D28/D$12)</f>
        <v>0</v>
      </c>
      <c r="G28" s="1"/>
      <c r="H28" s="1">
        <f>SUM(OSRRefH22_1x_0)</f>
        <v>30166.480000000003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-9555.1400000000031</v>
      </c>
      <c r="M28" s="1"/>
      <c r="N28" s="5">
        <f t="shared" ref="N28:N32" si="11">IF(H28=0,0,L28/H28)</f>
        <v>-0.31674693235670859</v>
      </c>
      <c r="O28" s="14"/>
      <c r="P28" s="1">
        <f>SUM(OSRRefP22_1x_0)</f>
        <v>63307.079999999994</v>
      </c>
      <c r="Q28" s="1"/>
      <c r="R28" s="5">
        <f t="shared" ref="R28:R32" si="12">IF(P$12=0,0,P28/P$12)</f>
        <v>0</v>
      </c>
      <c r="S28" s="1"/>
      <c r="T28" s="1">
        <f>SUM(OSRRefT22_1x_0)</f>
        <v>91142.31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-27835.230000000003</v>
      </c>
      <c r="Y28" s="1"/>
      <c r="Z28" s="5">
        <f t="shared" ref="Z28:Z32" si="15">IF(T28=0,0,X28/T28)</f>
        <v>-0.30540404341298794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7">
        <v>20449.46</v>
      </c>
      <c r="E29" s="2"/>
      <c r="F29" s="6">
        <f t="shared" si="8"/>
        <v>0</v>
      </c>
      <c r="G29" s="2"/>
      <c r="H29" s="7">
        <v>24195.360000000001</v>
      </c>
      <c r="I29" s="2"/>
      <c r="J29" s="6">
        <f t="shared" si="9"/>
        <v>0</v>
      </c>
      <c r="K29" s="2"/>
      <c r="L29" s="7">
        <f t="shared" si="10"/>
        <v>-3745.9000000000015</v>
      </c>
      <c r="M29" s="2"/>
      <c r="N29" s="6">
        <f t="shared" si="11"/>
        <v>-0.15481894049106942</v>
      </c>
      <c r="O29" s="11"/>
      <c r="P29" s="7">
        <v>63059.31</v>
      </c>
      <c r="Q29" s="2"/>
      <c r="R29" s="6">
        <f t="shared" si="12"/>
        <v>0</v>
      </c>
      <c r="S29" s="2"/>
      <c r="T29" s="7">
        <v>75058.099999999991</v>
      </c>
      <c r="U29" s="2"/>
      <c r="V29" s="6">
        <f t="shared" si="13"/>
        <v>0</v>
      </c>
      <c r="W29" s="2"/>
      <c r="X29" s="7">
        <f t="shared" si="14"/>
        <v>-11998.789999999994</v>
      </c>
      <c r="Y29" s="2"/>
      <c r="Z29" s="6">
        <f t="shared" si="15"/>
        <v>-0.15986002843130848</v>
      </c>
    </row>
    <row r="30" spans="1:26" s="24" customFormat="1" hidden="1" outlineLevel="2" x14ac:dyDescent="0.25">
      <c r="A30" s="28"/>
      <c r="B30" s="11" t="str">
        <f>CONCATENATE("          ", "6005", " - ", "TEMPORARY WAGES-HOURLY")</f>
        <v xml:space="preserve">          6005 - TEMPORARY WAGES-HOURLY</v>
      </c>
      <c r="C30" s="11"/>
      <c r="D30" s="7">
        <v>89.49</v>
      </c>
      <c r="E30" s="2"/>
      <c r="F30" s="6">
        <f t="shared" si="8"/>
        <v>0</v>
      </c>
      <c r="G30" s="2"/>
      <c r="H30" s="7">
        <v>2488.06</v>
      </c>
      <c r="I30" s="2"/>
      <c r="J30" s="6">
        <f t="shared" si="9"/>
        <v>0</v>
      </c>
      <c r="K30" s="2"/>
      <c r="L30" s="7">
        <f t="shared" si="10"/>
        <v>-2398.5700000000002</v>
      </c>
      <c r="M30" s="2"/>
      <c r="N30" s="6">
        <f t="shared" si="11"/>
        <v>-0.96403221787255944</v>
      </c>
      <c r="O30" s="11"/>
      <c r="P30" s="7">
        <v>89.49</v>
      </c>
      <c r="Q30" s="2"/>
      <c r="R30" s="6">
        <f t="shared" si="12"/>
        <v>0</v>
      </c>
      <c r="S30" s="2"/>
      <c r="T30" s="7">
        <v>6673.71</v>
      </c>
      <c r="U30" s="2"/>
      <c r="V30" s="6">
        <f t="shared" si="13"/>
        <v>0</v>
      </c>
      <c r="W30" s="2"/>
      <c r="X30" s="7">
        <f t="shared" si="14"/>
        <v>-6584.22</v>
      </c>
      <c r="Y30" s="2"/>
      <c r="Z30" s="6">
        <f t="shared" si="15"/>
        <v>-0.98659066696035647</v>
      </c>
    </row>
    <row r="31" spans="1:26" s="24" customFormat="1" hidden="1" outlineLevel="2" x14ac:dyDescent="0.25">
      <c r="A31" s="28"/>
      <c r="B31" s="11" t="str">
        <f>CONCATENATE("          ", "6007", " - ", "STUDENT HOURLY")</f>
        <v xml:space="preserve">          6007 - STUDENT HOURLY</v>
      </c>
      <c r="C31" s="11"/>
      <c r="D31" s="7">
        <v>72.39</v>
      </c>
      <c r="E31" s="2"/>
      <c r="F31" s="6">
        <f t="shared" si="8"/>
        <v>0</v>
      </c>
      <c r="G31" s="2"/>
      <c r="H31" s="7">
        <v>2937.06</v>
      </c>
      <c r="I31" s="2"/>
      <c r="J31" s="6">
        <f t="shared" si="9"/>
        <v>0</v>
      </c>
      <c r="K31" s="2"/>
      <c r="L31" s="7">
        <f t="shared" si="10"/>
        <v>-2864.67</v>
      </c>
      <c r="M31" s="2"/>
      <c r="N31" s="6">
        <f t="shared" si="11"/>
        <v>-0.97535290392433249</v>
      </c>
      <c r="O31" s="11"/>
      <c r="P31" s="7">
        <v>158.28</v>
      </c>
      <c r="Q31" s="2"/>
      <c r="R31" s="6">
        <f t="shared" si="12"/>
        <v>0</v>
      </c>
      <c r="S31" s="2"/>
      <c r="T31" s="7">
        <v>8210.5</v>
      </c>
      <c r="U31" s="2"/>
      <c r="V31" s="6">
        <f t="shared" si="13"/>
        <v>0</v>
      </c>
      <c r="W31" s="2"/>
      <c r="X31" s="7">
        <f t="shared" si="14"/>
        <v>-8052.22</v>
      </c>
      <c r="Y31" s="2"/>
      <c r="Z31" s="6">
        <f t="shared" si="15"/>
        <v>-0.9807222459046343</v>
      </c>
    </row>
    <row r="32" spans="1:26" s="24" customFormat="1" hidden="1" outlineLevel="2" x14ac:dyDescent="0.25">
      <c r="A32" s="28"/>
      <c r="B32" s="11" t="str">
        <f>CONCATENATE("          ", "6008", " - ", "STUDENT HOURLY-FICA EXEMPT")</f>
        <v xml:space="preserve">          6008 - STUDENT HOURLY-FICA EXEMPT</v>
      </c>
      <c r="C32" s="11"/>
      <c r="D32" s="7"/>
      <c r="E32" s="2"/>
      <c r="F32" s="6">
        <f t="shared" si="8"/>
        <v>0</v>
      </c>
      <c r="G32" s="2"/>
      <c r="H32" s="7">
        <v>546</v>
      </c>
      <c r="I32" s="2"/>
      <c r="J32" s="6">
        <f t="shared" si="9"/>
        <v>0</v>
      </c>
      <c r="K32" s="2"/>
      <c r="L32" s="7">
        <f t="shared" si="10"/>
        <v>-546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1200</v>
      </c>
      <c r="U32" s="2"/>
      <c r="V32" s="6">
        <f t="shared" si="13"/>
        <v>0</v>
      </c>
      <c r="W32" s="2"/>
      <c r="X32" s="7">
        <f t="shared" si="14"/>
        <v>-1200</v>
      </c>
      <c r="Y32" s="2"/>
      <c r="Z32" s="6">
        <f t="shared" si="15"/>
        <v>-1</v>
      </c>
    </row>
    <row r="33" spans="1:26" s="27" customFormat="1" outlineLevel="1" collapsed="1" x14ac:dyDescent="0.25">
      <c r="A33" s="29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1558.88</v>
      </c>
      <c r="E33" s="1"/>
      <c r="F33" s="5">
        <f t="shared" ref="F33:F39" si="16">IF(D$12=0,0,D33/D$12)</f>
        <v>0</v>
      </c>
      <c r="G33" s="1"/>
      <c r="H33" s="1">
        <f>SUM(OSRRefH22_2x_0)</f>
        <v>1558.88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0</v>
      </c>
      <c r="M33" s="1"/>
      <c r="N33" s="5">
        <f t="shared" ref="N33:N39" si="19">IF(H33=0,0,L33/H33)</f>
        <v>0</v>
      </c>
      <c r="O33" s="14"/>
      <c r="P33" s="1">
        <f>SUM(OSRRefP22_2x_0)</f>
        <v>4676.6400000000003</v>
      </c>
      <c r="Q33" s="1"/>
      <c r="R33" s="5">
        <f t="shared" ref="R33:R39" si="20">IF(P$12=0,0,P33/P$12)</f>
        <v>0</v>
      </c>
      <c r="S33" s="1"/>
      <c r="T33" s="1">
        <f>SUM(OSRRefT22_2x_0)</f>
        <v>4676.6400000000003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0</v>
      </c>
      <c r="Y33" s="1"/>
      <c r="Z33" s="5">
        <f t="shared" ref="Z33:Z39" si="23">IF(T33=0,0,X33/T33)</f>
        <v>0</v>
      </c>
    </row>
    <row r="34" spans="1:26" s="24" customFormat="1" hidden="1" outlineLevel="2" x14ac:dyDescent="0.25">
      <c r="A34" s="28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1558.88</v>
      </c>
      <c r="E34" s="2"/>
      <c r="F34" s="6">
        <f t="shared" si="16"/>
        <v>0</v>
      </c>
      <c r="G34" s="2"/>
      <c r="H34" s="7">
        <v>1558.88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4676.6400000000003</v>
      </c>
      <c r="Q34" s="2"/>
      <c r="R34" s="6">
        <f t="shared" si="20"/>
        <v>0</v>
      </c>
      <c r="S34" s="2"/>
      <c r="T34" s="7">
        <v>4676.6400000000003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7" customFormat="1" outlineLevel="1" collapsed="1" x14ac:dyDescent="0.25">
      <c r="A35" s="29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91.26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273.77999999999997</v>
      </c>
      <c r="Q35" s="1"/>
      <c r="R35" s="5">
        <f t="shared" si="20"/>
        <v>0</v>
      </c>
      <c r="S35" s="1"/>
      <c r="T35" s="1">
        <f>SUM(OSRRefT22_3x_0)</f>
        <v>273.77999999999997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8"/>
      <c r="B36" s="11" t="str">
        <f>CONCATENATE("          ", "6351", " - ", "EQUIPMENT RENTAL")</f>
        <v xml:space="preserve">          6351 - EQUIPMENT RENTAL</v>
      </c>
      <c r="C36" s="11"/>
      <c r="D36" s="7">
        <v>91.26</v>
      </c>
      <c r="E36" s="2"/>
      <c r="F36" s="6">
        <f t="shared" si="16"/>
        <v>0</v>
      </c>
      <c r="G36" s="2"/>
      <c r="H36" s="7">
        <v>91.26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273.77999999999997</v>
      </c>
      <c r="Q36" s="2"/>
      <c r="R36" s="6">
        <f t="shared" si="20"/>
        <v>0</v>
      </c>
      <c r="S36" s="2"/>
      <c r="T36" s="7">
        <v>273.77999999999997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7" customFormat="1" outlineLevel="1" collapsed="1" x14ac:dyDescent="0.25">
      <c r="A37" s="29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SUM(OSRRefD22_4x_0)</f>
        <v>104</v>
      </c>
      <c r="E37" s="1"/>
      <c r="F37" s="5">
        <f t="shared" si="16"/>
        <v>0</v>
      </c>
      <c r="G37" s="1"/>
      <c r="H37" s="1">
        <f>SUM(OSRRefH22_4x_0)</f>
        <v>205.2</v>
      </c>
      <c r="I37" s="1"/>
      <c r="J37" s="5">
        <f t="shared" si="17"/>
        <v>0</v>
      </c>
      <c r="K37" s="1"/>
      <c r="L37" s="1">
        <f t="shared" si="18"/>
        <v>-101.19999999999999</v>
      </c>
      <c r="M37" s="1"/>
      <c r="N37" s="5">
        <f t="shared" si="19"/>
        <v>-0.49317738791422999</v>
      </c>
      <c r="O37" s="14"/>
      <c r="P37" s="1">
        <f>SUM(OSRRefP22_4x_0)</f>
        <v>322.36</v>
      </c>
      <c r="Q37" s="1"/>
      <c r="R37" s="5">
        <f t="shared" si="20"/>
        <v>0</v>
      </c>
      <c r="S37" s="1"/>
      <c r="T37" s="1">
        <f>SUM(OSRRefT22_4x_0)</f>
        <v>398</v>
      </c>
      <c r="U37" s="1"/>
      <c r="V37" s="5">
        <f t="shared" si="21"/>
        <v>0</v>
      </c>
      <c r="W37" s="1"/>
      <c r="X37" s="1">
        <f t="shared" si="22"/>
        <v>-75.639999999999986</v>
      </c>
      <c r="Y37" s="1"/>
      <c r="Z37" s="5">
        <f t="shared" si="23"/>
        <v>-0.19005025125628136</v>
      </c>
    </row>
    <row r="38" spans="1:26" s="24" customFormat="1" hidden="1" outlineLevel="2" x14ac:dyDescent="0.25">
      <c r="A38" s="28"/>
      <c r="B38" s="11" t="str">
        <f>CONCATENATE("          ", "6305", " - ", "FREIGHT OUT")</f>
        <v xml:space="preserve">          6305 - FREIGHT OUT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5.41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5.41</v>
      </c>
      <c r="Y38" s="2"/>
      <c r="Z38" s="6">
        <f t="shared" si="23"/>
        <v>0</v>
      </c>
    </row>
    <row r="39" spans="1:26" s="24" customFormat="1" hidden="1" outlineLevel="2" x14ac:dyDescent="0.25">
      <c r="A39" s="28"/>
      <c r="B39" s="11" t="str">
        <f>CONCATENATE("          ", "6307", " - ", "POSTAGE")</f>
        <v xml:space="preserve">          6307 - POSTAGE</v>
      </c>
      <c r="C39" s="11"/>
      <c r="D39" s="7">
        <v>104</v>
      </c>
      <c r="E39" s="2"/>
      <c r="F39" s="6">
        <f t="shared" si="16"/>
        <v>0</v>
      </c>
      <c r="G39" s="2"/>
      <c r="H39" s="7">
        <v>205.2</v>
      </c>
      <c r="I39" s="2"/>
      <c r="J39" s="6">
        <f t="shared" si="17"/>
        <v>0</v>
      </c>
      <c r="K39" s="2"/>
      <c r="L39" s="7">
        <f t="shared" si="18"/>
        <v>-101.19999999999999</v>
      </c>
      <c r="M39" s="2"/>
      <c r="N39" s="6">
        <f t="shared" si="19"/>
        <v>-0.49317738791422999</v>
      </c>
      <c r="O39" s="11"/>
      <c r="P39" s="7">
        <v>316.95</v>
      </c>
      <c r="Q39" s="2"/>
      <c r="R39" s="6">
        <f t="shared" si="20"/>
        <v>0</v>
      </c>
      <c r="S39" s="2"/>
      <c r="T39" s="7">
        <v>398</v>
      </c>
      <c r="U39" s="2"/>
      <c r="V39" s="6">
        <f t="shared" si="21"/>
        <v>0</v>
      </c>
      <c r="W39" s="2"/>
      <c r="X39" s="7">
        <f t="shared" si="22"/>
        <v>-81.050000000000011</v>
      </c>
      <c r="Y39" s="2"/>
      <c r="Z39" s="6">
        <f t="shared" si="23"/>
        <v>-0.20364321608040203</v>
      </c>
    </row>
    <row r="40" spans="1:26" s="27" customFormat="1" outlineLevel="1" collapsed="1" x14ac:dyDescent="0.25">
      <c r="A40" s="29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SUM(OSRRefD22_5x_0)</f>
        <v>132.16999999999999</v>
      </c>
      <c r="E40" s="1"/>
      <c r="F40" s="5">
        <f t="shared" ref="F40:F46" si="24">IF(D$12=0,0,D40/D$12)</f>
        <v>0</v>
      </c>
      <c r="G40" s="1"/>
      <c r="H40" s="1">
        <f>SUM(OSRRefH22_5x_0)</f>
        <v>132.16999999999999</v>
      </c>
      <c r="I40" s="1"/>
      <c r="J40" s="5">
        <f t="shared" ref="J40:J46" si="25">IF(H$12=0,0,H40/H$12)</f>
        <v>0</v>
      </c>
      <c r="K40" s="1"/>
      <c r="L40" s="1">
        <f t="shared" ref="L40:L46" si="26">+D40-H40</f>
        <v>0</v>
      </c>
      <c r="M40" s="1"/>
      <c r="N40" s="5">
        <f t="shared" ref="N40:N46" si="27">IF(H40=0,0,L40/H40)</f>
        <v>0</v>
      </c>
      <c r="O40" s="14"/>
      <c r="P40" s="1">
        <f>SUM(OSRRefP22_5x_0)</f>
        <v>396.51</v>
      </c>
      <c r="Q40" s="1"/>
      <c r="R40" s="5">
        <f t="shared" ref="R40:R46" si="28">IF(P$12=0,0,P40/P$12)</f>
        <v>0</v>
      </c>
      <c r="S40" s="1"/>
      <c r="T40" s="1">
        <f>SUM(OSRRefT22_5x_0)</f>
        <v>396.51</v>
      </c>
      <c r="U40" s="1"/>
      <c r="V40" s="5">
        <f t="shared" ref="V40:V46" si="29">IF(T$12=0,0,T40/T$12)</f>
        <v>0</v>
      </c>
      <c r="W40" s="1"/>
      <c r="X40" s="1">
        <f t="shared" ref="X40:X46" si="30">+P40-T40</f>
        <v>0</v>
      </c>
      <c r="Y40" s="1"/>
      <c r="Z40" s="5">
        <f t="shared" ref="Z40:Z46" si="31">IF(T40=0,0,X40/T40)</f>
        <v>0</v>
      </c>
    </row>
    <row r="41" spans="1:26" s="24" customFormat="1" hidden="1" outlineLevel="2" x14ac:dyDescent="0.25">
      <c r="A41" s="28"/>
      <c r="B41" s="11" t="str">
        <f>CONCATENATE("          ", "6314", " - ", "LIABILITY INSURANCE")</f>
        <v xml:space="preserve">          6314 - LIABILITY INSURANCE</v>
      </c>
      <c r="C41" s="11"/>
      <c r="D41" s="7">
        <v>132.16999999999999</v>
      </c>
      <c r="E41" s="2"/>
      <c r="F41" s="6">
        <f t="shared" si="24"/>
        <v>0</v>
      </c>
      <c r="G41" s="2"/>
      <c r="H41" s="7">
        <v>132.16999999999999</v>
      </c>
      <c r="I41" s="2"/>
      <c r="J41" s="6">
        <f t="shared" si="25"/>
        <v>0</v>
      </c>
      <c r="K41" s="2"/>
      <c r="L41" s="7">
        <f t="shared" si="26"/>
        <v>0</v>
      </c>
      <c r="M41" s="2"/>
      <c r="N41" s="6">
        <f t="shared" si="27"/>
        <v>0</v>
      </c>
      <c r="O41" s="11"/>
      <c r="P41" s="7">
        <v>396.51</v>
      </c>
      <c r="Q41" s="2"/>
      <c r="R41" s="6">
        <f t="shared" si="28"/>
        <v>0</v>
      </c>
      <c r="S41" s="2"/>
      <c r="T41" s="7">
        <v>396.51</v>
      </c>
      <c r="U41" s="2"/>
      <c r="V41" s="6">
        <f t="shared" si="29"/>
        <v>0</v>
      </c>
      <c r="W41" s="2"/>
      <c r="X41" s="7">
        <f t="shared" si="30"/>
        <v>0</v>
      </c>
      <c r="Y41" s="2"/>
      <c r="Z41" s="6">
        <f t="shared" si="31"/>
        <v>0</v>
      </c>
    </row>
    <row r="42" spans="1:26" s="27" customFormat="1" outlineLevel="1" collapsed="1" x14ac:dyDescent="0.25">
      <c r="A42" s="29"/>
      <c r="B42" s="14" t="str">
        <f>CONCATENATE("     ","Professional Services                             ")</f>
        <v xml:space="preserve">     Professional Services 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4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82.5</v>
      </c>
      <c r="U42" s="1"/>
      <c r="V42" s="5">
        <f t="shared" si="29"/>
        <v>0</v>
      </c>
      <c r="W42" s="1"/>
      <c r="X42" s="1">
        <f t="shared" si="30"/>
        <v>-82.5</v>
      </c>
      <c r="Y42" s="1"/>
      <c r="Z42" s="5">
        <f t="shared" si="31"/>
        <v>-1</v>
      </c>
    </row>
    <row r="43" spans="1:26" s="24" customFormat="1" hidden="1" outlineLevel="2" x14ac:dyDescent="0.25">
      <c r="A43" s="28"/>
      <c r="B43" s="11" t="str">
        <f>CONCATENATE("          ", "6332", " - ", "CONSULTANT FEES")</f>
        <v xml:space="preserve">          6332 - CONSULTANT FEES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/>
      <c r="Q43" s="2"/>
      <c r="R43" s="6">
        <f t="shared" si="28"/>
        <v>0</v>
      </c>
      <c r="S43" s="2"/>
      <c r="T43" s="7">
        <v>82.5</v>
      </c>
      <c r="U43" s="2"/>
      <c r="V43" s="6">
        <f t="shared" si="29"/>
        <v>0</v>
      </c>
      <c r="W43" s="2"/>
      <c r="X43" s="7">
        <f t="shared" si="30"/>
        <v>-82.5</v>
      </c>
      <c r="Y43" s="2"/>
      <c r="Z43" s="6">
        <f t="shared" si="31"/>
        <v>-1</v>
      </c>
    </row>
    <row r="44" spans="1:26" s="27" customFormat="1" outlineLevel="1" collapsed="1" x14ac:dyDescent="0.25">
      <c r="A44" s="29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SUM(OSRRefD22_7x_0)</f>
        <v>81.44</v>
      </c>
      <c r="E44" s="1"/>
      <c r="F44" s="5">
        <f t="shared" si="24"/>
        <v>0</v>
      </c>
      <c r="G44" s="1"/>
      <c r="H44" s="1">
        <f>SUM(OSRRefH22_7x_0)</f>
        <v>26.36</v>
      </c>
      <c r="I44" s="1"/>
      <c r="J44" s="5">
        <f t="shared" si="25"/>
        <v>0</v>
      </c>
      <c r="K44" s="1"/>
      <c r="L44" s="1">
        <f t="shared" si="26"/>
        <v>55.08</v>
      </c>
      <c r="M44" s="1"/>
      <c r="N44" s="5">
        <f t="shared" si="27"/>
        <v>2.0895295902883158</v>
      </c>
      <c r="O44" s="14"/>
      <c r="P44" s="1">
        <f>SUM(OSRRefP22_7x_0)</f>
        <v>417.48</v>
      </c>
      <c r="Q44" s="1"/>
      <c r="R44" s="5">
        <f t="shared" si="28"/>
        <v>0</v>
      </c>
      <c r="S44" s="1"/>
      <c r="T44" s="1">
        <f>SUM(OSRRefT22_7x_0)</f>
        <v>69.05</v>
      </c>
      <c r="U44" s="1"/>
      <c r="V44" s="5">
        <f t="shared" si="29"/>
        <v>0</v>
      </c>
      <c r="W44" s="1"/>
      <c r="X44" s="1">
        <f t="shared" si="30"/>
        <v>348.43</v>
      </c>
      <c r="Y44" s="1"/>
      <c r="Z44" s="5">
        <f t="shared" si="31"/>
        <v>5.0460535843591607</v>
      </c>
    </row>
    <row r="45" spans="1:26" s="24" customFormat="1" hidden="1" outlineLevel="2" x14ac:dyDescent="0.25">
      <c r="A45" s="28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59.95</v>
      </c>
      <c r="E45" s="2"/>
      <c r="F45" s="6">
        <f t="shared" si="24"/>
        <v>0</v>
      </c>
      <c r="G45" s="2"/>
      <c r="H45" s="7"/>
      <c r="I45" s="2"/>
      <c r="J45" s="6">
        <f t="shared" si="25"/>
        <v>0</v>
      </c>
      <c r="K45" s="2"/>
      <c r="L45" s="7">
        <f t="shared" si="26"/>
        <v>59.95</v>
      </c>
      <c r="M45" s="2"/>
      <c r="N45" s="6">
        <f t="shared" si="27"/>
        <v>0</v>
      </c>
      <c r="O45" s="11"/>
      <c r="P45" s="7">
        <v>386.1</v>
      </c>
      <c r="Q45" s="2"/>
      <c r="R45" s="6">
        <f t="shared" si="28"/>
        <v>0</v>
      </c>
      <c r="S45" s="2"/>
      <c r="T45" s="7"/>
      <c r="U45" s="2"/>
      <c r="V45" s="6">
        <f t="shared" si="29"/>
        <v>0</v>
      </c>
      <c r="W45" s="2"/>
      <c r="X45" s="7">
        <f t="shared" si="30"/>
        <v>386.1</v>
      </c>
      <c r="Y45" s="2"/>
      <c r="Z45" s="6">
        <f t="shared" si="31"/>
        <v>0</v>
      </c>
    </row>
    <row r="46" spans="1:26" s="24" customFormat="1" hidden="1" outlineLevel="2" x14ac:dyDescent="0.25">
      <c r="A46" s="28"/>
      <c r="B46" s="11" t="str">
        <f>CONCATENATE("          ", "6373", " - ", "MAINTENANCE CONTRACTS")</f>
        <v xml:space="preserve">          6373 - MAINTENANCE CONTRACTS</v>
      </c>
      <c r="C46" s="11"/>
      <c r="D46" s="7">
        <v>21.49</v>
      </c>
      <c r="E46" s="2"/>
      <c r="F46" s="6">
        <f t="shared" si="24"/>
        <v>0</v>
      </c>
      <c r="G46" s="2"/>
      <c r="H46" s="7">
        <v>26.36</v>
      </c>
      <c r="I46" s="2"/>
      <c r="J46" s="6">
        <f t="shared" si="25"/>
        <v>0</v>
      </c>
      <c r="K46" s="2"/>
      <c r="L46" s="7">
        <f t="shared" si="26"/>
        <v>-4.870000000000001</v>
      </c>
      <c r="M46" s="2"/>
      <c r="N46" s="6">
        <f t="shared" si="27"/>
        <v>-0.18474962063732933</v>
      </c>
      <c r="O46" s="11"/>
      <c r="P46" s="7">
        <v>31.38</v>
      </c>
      <c r="Q46" s="2"/>
      <c r="R46" s="6">
        <f t="shared" si="28"/>
        <v>0</v>
      </c>
      <c r="S46" s="2"/>
      <c r="T46" s="7">
        <v>69.05</v>
      </c>
      <c r="U46" s="2"/>
      <c r="V46" s="6">
        <f t="shared" si="29"/>
        <v>0</v>
      </c>
      <c r="W46" s="2"/>
      <c r="X46" s="7">
        <f t="shared" si="30"/>
        <v>-37.67</v>
      </c>
      <c r="Y46" s="2"/>
      <c r="Z46" s="6">
        <f t="shared" si="31"/>
        <v>-0.54554670528602467</v>
      </c>
    </row>
    <row r="47" spans="1:26" s="27" customFormat="1" outlineLevel="1" collapsed="1" x14ac:dyDescent="0.25">
      <c r="A47" s="29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SUM(OSRRefD22_8x_0)</f>
        <v>512.48</v>
      </c>
      <c r="E47" s="1"/>
      <c r="F47" s="5">
        <f t="shared" ref="F47:F54" si="32">IF(D$12=0,0,D47/D$12)</f>
        <v>0</v>
      </c>
      <c r="G47" s="1"/>
      <c r="H47" s="1">
        <f>SUM(OSRRefH22_8x_0)</f>
        <v>856.83</v>
      </c>
      <c r="I47" s="1"/>
      <c r="J47" s="5">
        <f t="shared" ref="J47:J54" si="33">IF(H$12=0,0,H47/H$12)</f>
        <v>0</v>
      </c>
      <c r="K47" s="1"/>
      <c r="L47" s="1">
        <f t="shared" ref="L47:L54" si="34">+D47-H47</f>
        <v>-344.35</v>
      </c>
      <c r="M47" s="1"/>
      <c r="N47" s="5">
        <f t="shared" ref="N47:N54" si="35">IF(H47=0,0,L47/H47)</f>
        <v>-0.40188835591657623</v>
      </c>
      <c r="O47" s="14"/>
      <c r="P47" s="1">
        <f>SUM(OSRRefP22_8x_0)</f>
        <v>1024.96</v>
      </c>
      <c r="Q47" s="1"/>
      <c r="R47" s="5">
        <f t="shared" ref="R47:R54" si="36">IF(P$12=0,0,P47/P$12)</f>
        <v>0</v>
      </c>
      <c r="S47" s="1"/>
      <c r="T47" s="1">
        <f>SUM(OSRRefT22_8x_0)</f>
        <v>3713.31</v>
      </c>
      <c r="U47" s="1"/>
      <c r="V47" s="5">
        <f t="shared" ref="V47:V54" si="37">IF(T$12=0,0,T47/T$12)</f>
        <v>0</v>
      </c>
      <c r="W47" s="1"/>
      <c r="X47" s="1">
        <f t="shared" ref="X47:X54" si="38">+P47-T47</f>
        <v>-2688.35</v>
      </c>
      <c r="Y47" s="1"/>
      <c r="Z47" s="5">
        <f t="shared" ref="Z47:Z54" si="39">IF(T47=0,0,X47/T47)</f>
        <v>-0.72397672157724513</v>
      </c>
    </row>
    <row r="48" spans="1:26" s="24" customFormat="1" hidden="1" outlineLevel="2" x14ac:dyDescent="0.25">
      <c r="A48" s="28"/>
      <c r="B48" s="11" t="str">
        <f>CONCATENATE("          ", "6281", " - ", "STORAGE FEE")</f>
        <v xml:space="preserve">          6281 - STORAGE FEE</v>
      </c>
      <c r="C48" s="11"/>
      <c r="D48" s="7">
        <v>512.48</v>
      </c>
      <c r="E48" s="2"/>
      <c r="F48" s="6">
        <f t="shared" si="32"/>
        <v>0</v>
      </c>
      <c r="G48" s="2"/>
      <c r="H48" s="7">
        <v>856.83</v>
      </c>
      <c r="I48" s="2"/>
      <c r="J48" s="6">
        <f t="shared" si="33"/>
        <v>0</v>
      </c>
      <c r="K48" s="2"/>
      <c r="L48" s="7">
        <f t="shared" si="34"/>
        <v>-344.35</v>
      </c>
      <c r="M48" s="2"/>
      <c r="N48" s="6">
        <f t="shared" si="35"/>
        <v>-0.40188835591657623</v>
      </c>
      <c r="O48" s="11"/>
      <c r="P48" s="7">
        <v>1024.96</v>
      </c>
      <c r="Q48" s="2"/>
      <c r="R48" s="6">
        <f t="shared" si="36"/>
        <v>0</v>
      </c>
      <c r="S48" s="2"/>
      <c r="T48" s="7">
        <v>3713.31</v>
      </c>
      <c r="U48" s="2"/>
      <c r="V48" s="6">
        <f t="shared" si="37"/>
        <v>0</v>
      </c>
      <c r="W48" s="2"/>
      <c r="X48" s="7">
        <f t="shared" si="38"/>
        <v>-2688.35</v>
      </c>
      <c r="Y48" s="2"/>
      <c r="Z48" s="6">
        <f t="shared" si="39"/>
        <v>-0.72397672157724513</v>
      </c>
    </row>
    <row r="49" spans="1:26" s="27" customFormat="1" outlineLevel="1" collapsed="1" x14ac:dyDescent="0.25">
      <c r="A49" s="29"/>
      <c r="B49" s="14" t="str">
        <f>CONCATENATE("     ","Subscriptions &amp; Dues                              ")</f>
        <v xml:space="preserve">     Subscriptions &amp; Dues                              </v>
      </c>
      <c r="C49" s="14"/>
      <c r="D49" s="1">
        <f>SUM(OSRRefD22_9x_0)</f>
        <v>0</v>
      </c>
      <c r="E49" s="1"/>
      <c r="F49" s="5">
        <f t="shared" si="32"/>
        <v>0</v>
      </c>
      <c r="G49" s="1"/>
      <c r="H49" s="1">
        <f>SUM(OSRRefH22_9x_0)</f>
        <v>39</v>
      </c>
      <c r="I49" s="1"/>
      <c r="J49" s="5">
        <f t="shared" si="33"/>
        <v>0</v>
      </c>
      <c r="K49" s="1"/>
      <c r="L49" s="1">
        <f t="shared" si="34"/>
        <v>-39</v>
      </c>
      <c r="M49" s="1"/>
      <c r="N49" s="5">
        <f t="shared" si="35"/>
        <v>-1</v>
      </c>
      <c r="O49" s="14"/>
      <c r="P49" s="1">
        <f>SUM(OSRRefP22_9x_0)</f>
        <v>0</v>
      </c>
      <c r="Q49" s="1"/>
      <c r="R49" s="5">
        <f t="shared" si="36"/>
        <v>0</v>
      </c>
      <c r="S49" s="1"/>
      <c r="T49" s="1">
        <f>SUM(OSRRefT22_9x_0)</f>
        <v>39</v>
      </c>
      <c r="U49" s="1"/>
      <c r="V49" s="5">
        <f t="shared" si="37"/>
        <v>0</v>
      </c>
      <c r="W49" s="1"/>
      <c r="X49" s="1">
        <f t="shared" si="38"/>
        <v>-39</v>
      </c>
      <c r="Y49" s="1"/>
      <c r="Z49" s="5">
        <f t="shared" si="39"/>
        <v>-1</v>
      </c>
    </row>
    <row r="50" spans="1:26" s="24" customFormat="1" hidden="1" outlineLevel="2" x14ac:dyDescent="0.25">
      <c r="A50" s="28"/>
      <c r="B50" s="11" t="str">
        <f>CONCATENATE("          ", "6258", " - ", "MEMBERSHIP DUES")</f>
        <v xml:space="preserve">          6258 - MEMBERSHIP DUES</v>
      </c>
      <c r="C50" s="11"/>
      <c r="D50" s="7"/>
      <c r="E50" s="2"/>
      <c r="F50" s="6">
        <f t="shared" si="32"/>
        <v>0</v>
      </c>
      <c r="G50" s="2"/>
      <c r="H50" s="7">
        <v>39</v>
      </c>
      <c r="I50" s="2"/>
      <c r="J50" s="6">
        <f t="shared" si="33"/>
        <v>0</v>
      </c>
      <c r="K50" s="2"/>
      <c r="L50" s="7">
        <f t="shared" si="34"/>
        <v>-39</v>
      </c>
      <c r="M50" s="2"/>
      <c r="N50" s="6">
        <f t="shared" si="35"/>
        <v>-1</v>
      </c>
      <c r="O50" s="11"/>
      <c r="P50" s="7"/>
      <c r="Q50" s="2"/>
      <c r="R50" s="6">
        <f t="shared" si="36"/>
        <v>0</v>
      </c>
      <c r="S50" s="2"/>
      <c r="T50" s="7">
        <v>39</v>
      </c>
      <c r="U50" s="2"/>
      <c r="V50" s="6">
        <f t="shared" si="37"/>
        <v>0</v>
      </c>
      <c r="W50" s="2"/>
      <c r="X50" s="7">
        <f t="shared" si="38"/>
        <v>-39</v>
      </c>
      <c r="Y50" s="2"/>
      <c r="Z50" s="6">
        <f t="shared" si="39"/>
        <v>-1</v>
      </c>
    </row>
    <row r="51" spans="1:26" s="27" customFormat="1" outlineLevel="1" collapsed="1" x14ac:dyDescent="0.25">
      <c r="A51" s="29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SUM(OSRRefD22_10x_0)</f>
        <v>89.4</v>
      </c>
      <c r="E51" s="1"/>
      <c r="F51" s="5">
        <f t="shared" si="32"/>
        <v>0</v>
      </c>
      <c r="G51" s="1"/>
      <c r="H51" s="1">
        <f>SUM(OSRRefH22_10x_0)</f>
        <v>1107.1199999999999</v>
      </c>
      <c r="I51" s="1"/>
      <c r="J51" s="5">
        <f t="shared" si="33"/>
        <v>0</v>
      </c>
      <c r="K51" s="1"/>
      <c r="L51" s="1">
        <f t="shared" si="34"/>
        <v>-1017.7199999999999</v>
      </c>
      <c r="M51" s="1"/>
      <c r="N51" s="5">
        <f t="shared" si="35"/>
        <v>-0.91924994580533281</v>
      </c>
      <c r="O51" s="14"/>
      <c r="P51" s="1">
        <f>SUM(OSRRefP22_10x_0)</f>
        <v>647.46</v>
      </c>
      <c r="Q51" s="1"/>
      <c r="R51" s="5">
        <f t="shared" si="36"/>
        <v>0</v>
      </c>
      <c r="S51" s="1"/>
      <c r="T51" s="1">
        <f>SUM(OSRRefT22_10x_0)</f>
        <v>2219.23</v>
      </c>
      <c r="U51" s="1"/>
      <c r="V51" s="5">
        <f t="shared" si="37"/>
        <v>0</v>
      </c>
      <c r="W51" s="1"/>
      <c r="X51" s="1">
        <f t="shared" si="38"/>
        <v>-1571.77</v>
      </c>
      <c r="Y51" s="1"/>
      <c r="Z51" s="5">
        <f t="shared" si="39"/>
        <v>-0.70825015883887654</v>
      </c>
    </row>
    <row r="52" spans="1:26" s="24" customFormat="1" hidden="1" outlineLevel="2" x14ac:dyDescent="0.25">
      <c r="A52" s="28"/>
      <c r="B52" s="11" t="str">
        <f>CONCATENATE("          ", "6235", " - ", "COVID-19 EXPENSES")</f>
        <v xml:space="preserve">          6235 - COVID-19 EXPENSES</v>
      </c>
      <c r="C52" s="11"/>
      <c r="D52" s="7"/>
      <c r="E52" s="2"/>
      <c r="F52" s="6">
        <f t="shared" si="32"/>
        <v>0</v>
      </c>
      <c r="G52" s="2"/>
      <c r="H52" s="7"/>
      <c r="I52" s="2"/>
      <c r="J52" s="6">
        <f t="shared" si="33"/>
        <v>0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>
        <v>426.66</v>
      </c>
      <c r="Q52" s="2"/>
      <c r="R52" s="6">
        <f t="shared" si="36"/>
        <v>0</v>
      </c>
      <c r="S52" s="2"/>
      <c r="T52" s="7"/>
      <c r="U52" s="2"/>
      <c r="V52" s="6">
        <f t="shared" si="37"/>
        <v>0</v>
      </c>
      <c r="W52" s="2"/>
      <c r="X52" s="7">
        <f t="shared" si="38"/>
        <v>426.66</v>
      </c>
      <c r="Y52" s="2"/>
      <c r="Z52" s="6">
        <f t="shared" si="39"/>
        <v>0</v>
      </c>
    </row>
    <row r="53" spans="1:26" s="24" customFormat="1" hidden="1" outlineLevel="2" x14ac:dyDescent="0.25">
      <c r="A53" s="28"/>
      <c r="B53" s="11" t="str">
        <f>CONCATENATE("          ", "6241", " - ", "OFFICE EXPENSE")</f>
        <v xml:space="preserve">          6241 - OFFICE EXPENSE</v>
      </c>
      <c r="C53" s="11"/>
      <c r="D53" s="7">
        <v>89.4</v>
      </c>
      <c r="E53" s="2"/>
      <c r="F53" s="6">
        <f t="shared" si="32"/>
        <v>0</v>
      </c>
      <c r="G53" s="2"/>
      <c r="H53" s="7">
        <v>1107.1199999999999</v>
      </c>
      <c r="I53" s="2"/>
      <c r="J53" s="6">
        <f t="shared" si="33"/>
        <v>0</v>
      </c>
      <c r="K53" s="2"/>
      <c r="L53" s="7">
        <f t="shared" si="34"/>
        <v>-1017.7199999999999</v>
      </c>
      <c r="M53" s="2"/>
      <c r="N53" s="6">
        <f t="shared" si="35"/>
        <v>-0.91924994580533281</v>
      </c>
      <c r="O53" s="11"/>
      <c r="P53" s="7">
        <v>220.8</v>
      </c>
      <c r="Q53" s="2"/>
      <c r="R53" s="6">
        <f t="shared" si="36"/>
        <v>0</v>
      </c>
      <c r="S53" s="2"/>
      <c r="T53" s="7">
        <v>1557.73</v>
      </c>
      <c r="U53" s="2"/>
      <c r="V53" s="6">
        <f t="shared" si="37"/>
        <v>0</v>
      </c>
      <c r="W53" s="2"/>
      <c r="X53" s="7">
        <f t="shared" si="38"/>
        <v>-1336.93</v>
      </c>
      <c r="Y53" s="2"/>
      <c r="Z53" s="6">
        <f t="shared" si="39"/>
        <v>-0.85825528172404719</v>
      </c>
    </row>
    <row r="54" spans="1:26" s="24" customFormat="1" hidden="1" outlineLevel="2" x14ac:dyDescent="0.25">
      <c r="A54" s="28"/>
      <c r="B54" s="11" t="str">
        <f>CONCATENATE("          ", "6245", " - ", "PRINTING")</f>
        <v xml:space="preserve">          6245 - PRINTING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/>
      <c r="Q54" s="2"/>
      <c r="R54" s="6">
        <f t="shared" si="36"/>
        <v>0</v>
      </c>
      <c r="S54" s="2"/>
      <c r="T54" s="7">
        <v>661.5</v>
      </c>
      <c r="U54" s="2"/>
      <c r="V54" s="6">
        <f t="shared" si="37"/>
        <v>0</v>
      </c>
      <c r="W54" s="2"/>
      <c r="X54" s="7">
        <f t="shared" si="38"/>
        <v>-661.5</v>
      </c>
      <c r="Y54" s="2"/>
      <c r="Z54" s="6">
        <f t="shared" si="39"/>
        <v>-1</v>
      </c>
    </row>
    <row r="55" spans="1:26" s="27" customFormat="1" outlineLevel="1" collapsed="1" x14ac:dyDescent="0.25">
      <c r="A55" s="29"/>
      <c r="B55" s="14" t="str">
        <f>CONCATENATE("     ","Telephone/Data Lines                              ")</f>
        <v xml:space="preserve">     Telephone/Data Lines                              </v>
      </c>
      <c r="C55" s="14"/>
      <c r="D55" s="1">
        <f>SUM(OSRRefD22_11x_0)</f>
        <v>425</v>
      </c>
      <c r="E55" s="1"/>
      <c r="F55" s="5">
        <f t="shared" ref="F55:F60" si="40">IF(D$12=0,0,D55/D$12)</f>
        <v>0</v>
      </c>
      <c r="G55" s="1"/>
      <c r="H55" s="1">
        <f>SUM(OSRRefH22_11x_0)</f>
        <v>375</v>
      </c>
      <c r="I55" s="1"/>
      <c r="J55" s="5">
        <f t="shared" ref="J55:J60" si="41">IF(H$12=0,0,H55/H$12)</f>
        <v>0</v>
      </c>
      <c r="K55" s="1"/>
      <c r="L55" s="1">
        <f t="shared" ref="L55:L60" si="42">+D55-H55</f>
        <v>50</v>
      </c>
      <c r="M55" s="1"/>
      <c r="N55" s="5">
        <f t="shared" ref="N55:N60" si="43">IF(H55=0,0,L55/H55)</f>
        <v>0.13333333333333333</v>
      </c>
      <c r="O55" s="14"/>
      <c r="P55" s="1">
        <f>SUM(OSRRefP22_11x_0)</f>
        <v>1266.45</v>
      </c>
      <c r="Q55" s="1"/>
      <c r="R55" s="5">
        <f t="shared" ref="R55:R60" si="44">IF(P$12=0,0,P55/P$12)</f>
        <v>0</v>
      </c>
      <c r="S55" s="1"/>
      <c r="T55" s="1">
        <f>SUM(OSRRefT22_11x_0)</f>
        <v>1117.1500000000001</v>
      </c>
      <c r="U55" s="1"/>
      <c r="V55" s="5">
        <f t="shared" ref="V55:V60" si="45">IF(T$12=0,0,T55/T$12)</f>
        <v>0</v>
      </c>
      <c r="W55" s="1"/>
      <c r="X55" s="1">
        <f t="shared" ref="X55:X60" si="46">+P55-T55</f>
        <v>149.29999999999995</v>
      </c>
      <c r="Y55" s="1"/>
      <c r="Z55" s="5">
        <f t="shared" ref="Z55:Z60" si="47">IF(T55=0,0,X55/T55)</f>
        <v>0.13364364677975199</v>
      </c>
    </row>
    <row r="56" spans="1:26" s="24" customFormat="1" hidden="1" outlineLevel="2" x14ac:dyDescent="0.25">
      <c r="A56" s="28"/>
      <c r="B56" s="11" t="str">
        <f>CONCATENATE("          ", "6309", " - ", "TELEPHONE")</f>
        <v xml:space="preserve">          6309 - TELEPHONE</v>
      </c>
      <c r="C56" s="11"/>
      <c r="D56" s="7">
        <v>425</v>
      </c>
      <c r="E56" s="2"/>
      <c r="F56" s="6">
        <f t="shared" si="40"/>
        <v>0</v>
      </c>
      <c r="G56" s="2"/>
      <c r="H56" s="7">
        <v>375</v>
      </c>
      <c r="I56" s="2"/>
      <c r="J56" s="6">
        <f t="shared" si="41"/>
        <v>0</v>
      </c>
      <c r="K56" s="2"/>
      <c r="L56" s="7">
        <f t="shared" si="42"/>
        <v>50</v>
      </c>
      <c r="M56" s="2"/>
      <c r="N56" s="6">
        <f t="shared" si="43"/>
        <v>0.13333333333333333</v>
      </c>
      <c r="O56" s="11"/>
      <c r="P56" s="7">
        <v>1266.45</v>
      </c>
      <c r="Q56" s="2"/>
      <c r="R56" s="6">
        <f t="shared" si="44"/>
        <v>0</v>
      </c>
      <c r="S56" s="2"/>
      <c r="T56" s="7">
        <v>1117.1500000000001</v>
      </c>
      <c r="U56" s="2"/>
      <c r="V56" s="6">
        <f t="shared" si="45"/>
        <v>0</v>
      </c>
      <c r="W56" s="2"/>
      <c r="X56" s="7">
        <f t="shared" si="46"/>
        <v>149.29999999999995</v>
      </c>
      <c r="Y56" s="2"/>
      <c r="Z56" s="6">
        <f t="shared" si="47"/>
        <v>0.13364364677975199</v>
      </c>
    </row>
    <row r="57" spans="1:26" s="27" customFormat="1" outlineLevel="1" collapsed="1" x14ac:dyDescent="0.25">
      <c r="A57" s="29"/>
      <c r="B57" s="14" t="str">
        <f>CONCATENATE("     ","Training                                          ")</f>
        <v xml:space="preserve">     Training                                          </v>
      </c>
      <c r="C57" s="14"/>
      <c r="D57" s="1">
        <f>SUM(OSRRefD22_12x_0)</f>
        <v>199</v>
      </c>
      <c r="E57" s="1"/>
      <c r="F57" s="5">
        <f t="shared" si="40"/>
        <v>0</v>
      </c>
      <c r="G57" s="1"/>
      <c r="H57" s="1">
        <f>SUM(OSRRefH22_12x_0)</f>
        <v>0</v>
      </c>
      <c r="I57" s="1"/>
      <c r="J57" s="5">
        <f t="shared" si="41"/>
        <v>0</v>
      </c>
      <c r="K57" s="1"/>
      <c r="L57" s="1">
        <f t="shared" si="42"/>
        <v>199</v>
      </c>
      <c r="M57" s="1"/>
      <c r="N57" s="5">
        <f t="shared" si="43"/>
        <v>0</v>
      </c>
      <c r="O57" s="14"/>
      <c r="P57" s="1">
        <f>SUM(OSRRefP22_12x_0)</f>
        <v>199</v>
      </c>
      <c r="Q57" s="1"/>
      <c r="R57" s="5">
        <f t="shared" si="44"/>
        <v>0</v>
      </c>
      <c r="S57" s="1"/>
      <c r="T57" s="1">
        <f>SUM(OSRRefT22_12x_0)</f>
        <v>0</v>
      </c>
      <c r="U57" s="1"/>
      <c r="V57" s="5">
        <f t="shared" si="45"/>
        <v>0</v>
      </c>
      <c r="W57" s="1"/>
      <c r="X57" s="1">
        <f t="shared" si="46"/>
        <v>199</v>
      </c>
      <c r="Y57" s="1"/>
      <c r="Z57" s="5">
        <f t="shared" si="47"/>
        <v>0</v>
      </c>
    </row>
    <row r="58" spans="1:26" s="24" customFormat="1" hidden="1" outlineLevel="2" x14ac:dyDescent="0.25">
      <c r="A58" s="28"/>
      <c r="B58" s="11" t="str">
        <f>CONCATENATE("          ", "6376", " - ", "TRAINING")</f>
        <v xml:space="preserve">          6376 - TRAINING</v>
      </c>
      <c r="C58" s="11"/>
      <c r="D58" s="7">
        <v>199</v>
      </c>
      <c r="E58" s="2"/>
      <c r="F58" s="6">
        <f t="shared" si="40"/>
        <v>0</v>
      </c>
      <c r="G58" s="2"/>
      <c r="H58" s="7"/>
      <c r="I58" s="2"/>
      <c r="J58" s="6">
        <f t="shared" si="41"/>
        <v>0</v>
      </c>
      <c r="K58" s="2"/>
      <c r="L58" s="7">
        <f t="shared" si="42"/>
        <v>199</v>
      </c>
      <c r="M58" s="2"/>
      <c r="N58" s="6">
        <f t="shared" si="43"/>
        <v>0</v>
      </c>
      <c r="O58" s="11"/>
      <c r="P58" s="7">
        <v>199</v>
      </c>
      <c r="Q58" s="2"/>
      <c r="R58" s="6">
        <f t="shared" si="44"/>
        <v>0</v>
      </c>
      <c r="S58" s="2"/>
      <c r="T58" s="7"/>
      <c r="U58" s="2"/>
      <c r="V58" s="6">
        <f t="shared" si="45"/>
        <v>0</v>
      </c>
      <c r="W58" s="2"/>
      <c r="X58" s="7">
        <f t="shared" si="46"/>
        <v>199</v>
      </c>
      <c r="Y58" s="2"/>
      <c r="Z58" s="6">
        <f t="shared" si="47"/>
        <v>0</v>
      </c>
    </row>
    <row r="59" spans="1:26" s="27" customFormat="1" outlineLevel="1" collapsed="1" x14ac:dyDescent="0.25">
      <c r="A59" s="29"/>
      <c r="B59" s="14" t="str">
        <f>CONCATENATE("     ","Travel                                            ")</f>
        <v xml:space="preserve">     Travel                                            </v>
      </c>
      <c r="C59" s="14"/>
      <c r="D59" s="1">
        <f>SUM(OSRRefD22_13x_0)</f>
        <v>0</v>
      </c>
      <c r="E59" s="1"/>
      <c r="F59" s="5">
        <f t="shared" si="40"/>
        <v>0</v>
      </c>
      <c r="G59" s="1"/>
      <c r="H59" s="1">
        <f>SUM(OSRRefH22_13x_0)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4"/>
      <c r="P59" s="1">
        <f>SUM(OSRRefP22_13x_0)</f>
        <v>17.55</v>
      </c>
      <c r="Q59" s="1"/>
      <c r="R59" s="5">
        <f t="shared" si="44"/>
        <v>0</v>
      </c>
      <c r="S59" s="1"/>
      <c r="T59" s="1">
        <f>SUM(OSRRefT22_13x_0)</f>
        <v>0</v>
      </c>
      <c r="U59" s="1"/>
      <c r="V59" s="5">
        <f t="shared" si="45"/>
        <v>0</v>
      </c>
      <c r="W59" s="1"/>
      <c r="X59" s="1">
        <f t="shared" si="46"/>
        <v>17.55</v>
      </c>
      <c r="Y59" s="1"/>
      <c r="Z59" s="5">
        <f t="shared" si="47"/>
        <v>0</v>
      </c>
    </row>
    <row r="60" spans="1:26" s="24" customFormat="1" hidden="1" outlineLevel="2" x14ac:dyDescent="0.25">
      <c r="A60" s="28"/>
      <c r="B60" s="11" t="str">
        <f>CONCATENATE("          ", "6294", " - ", "TRAVEL OPERATIONAL")</f>
        <v xml:space="preserve">          6294 - TRAVEL OPERATIONAL</v>
      </c>
      <c r="C60" s="11"/>
      <c r="D60" s="7"/>
      <c r="E60" s="2"/>
      <c r="F60" s="6">
        <f t="shared" si="40"/>
        <v>0</v>
      </c>
      <c r="G60" s="2"/>
      <c r="H60" s="7"/>
      <c r="I60" s="2"/>
      <c r="J60" s="6">
        <f t="shared" si="41"/>
        <v>0</v>
      </c>
      <c r="K60" s="2"/>
      <c r="L60" s="7">
        <f t="shared" si="42"/>
        <v>0</v>
      </c>
      <c r="M60" s="2"/>
      <c r="N60" s="6">
        <f t="shared" si="43"/>
        <v>0</v>
      </c>
      <c r="O60" s="11"/>
      <c r="P60" s="7">
        <v>17.55</v>
      </c>
      <c r="Q60" s="2"/>
      <c r="R60" s="6">
        <f t="shared" si="44"/>
        <v>0</v>
      </c>
      <c r="S60" s="2"/>
      <c r="T60" s="7"/>
      <c r="U60" s="2"/>
      <c r="V60" s="6">
        <f t="shared" si="45"/>
        <v>0</v>
      </c>
      <c r="W60" s="2"/>
      <c r="X60" s="7">
        <f t="shared" si="46"/>
        <v>17.55</v>
      </c>
      <c r="Y60" s="2"/>
      <c r="Z60" s="6">
        <f t="shared" si="47"/>
        <v>0</v>
      </c>
    </row>
    <row r="61" spans="1:26" s="60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6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5" t="s">
        <v>3</v>
      </c>
      <c r="C64" s="25"/>
      <c r="D64" s="22">
        <f>+D16-D18+D62</f>
        <v>-36054.399999999994</v>
      </c>
      <c r="E64" s="13"/>
      <c r="F64" s="21">
        <f>IF(D$12=0,0,D64/D$12)</f>
        <v>0</v>
      </c>
      <c r="G64" s="13"/>
      <c r="H64" s="22">
        <f>+H16-H18+H62</f>
        <v>-48851.63</v>
      </c>
      <c r="I64" s="13"/>
      <c r="J64" s="21">
        <f>IF(H$12=0,0,H64/H$12)</f>
        <v>0</v>
      </c>
      <c r="K64" s="15"/>
      <c r="L64" s="22">
        <f>+D64-H64</f>
        <v>12797.230000000003</v>
      </c>
      <c r="M64" s="15"/>
      <c r="N64" s="21">
        <f>IF(H64=0,0,L64/H64)</f>
        <v>-0.26196116690476867</v>
      </c>
      <c r="O64" s="26"/>
      <c r="P64" s="22">
        <f>+P16-P18+P62</f>
        <v>-110046.29000000002</v>
      </c>
      <c r="Q64" s="13"/>
      <c r="R64" s="21">
        <f>IF(P$12=0,0,P64/P$12)</f>
        <v>0</v>
      </c>
      <c r="S64" s="13"/>
      <c r="T64" s="22">
        <f>+T16-T18+T62</f>
        <v>-150268.91</v>
      </c>
      <c r="U64" s="13"/>
      <c r="V64" s="21">
        <f>IF(T$12=0,0,T64/T$12)</f>
        <v>0</v>
      </c>
      <c r="W64" s="15"/>
      <c r="X64" s="22">
        <f>+P64-T64</f>
        <v>40222.619999999981</v>
      </c>
      <c r="Y64" s="15"/>
      <c r="Z64" s="21">
        <f>IF(T64=0,0,X64/T64)</f>
        <v>-0.26767093738817949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/>
      <c r="E66" s="4"/>
      <c r="F66" s="12">
        <f>IF(D$12=0,0,D66/D$12)</f>
        <v>0</v>
      </c>
      <c r="G66" s="4"/>
      <c r="H66" s="4"/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/>
      <c r="Q66" s="4"/>
      <c r="R66" s="12">
        <f>IF(P$12=0,0,P66/P$12)</f>
        <v>0</v>
      </c>
      <c r="S66" s="4"/>
      <c r="T66" s="4"/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5" t="s">
        <v>4</v>
      </c>
      <c r="C68" s="25"/>
      <c r="D68" s="33">
        <f>+D64-D66</f>
        <v>-36054.399999999994</v>
      </c>
      <c r="E68" s="13"/>
      <c r="F68" s="32">
        <f>IF(D$12=0,0,D68/D$12)</f>
        <v>0</v>
      </c>
      <c r="G68" s="13"/>
      <c r="H68" s="33">
        <f>+H64-H66</f>
        <v>-48851.63</v>
      </c>
      <c r="I68" s="13"/>
      <c r="J68" s="32">
        <f>IF(H$12=0,0,H68/H$12)</f>
        <v>0</v>
      </c>
      <c r="K68" s="15"/>
      <c r="L68" s="33">
        <f>D68-H68</f>
        <v>12797.230000000003</v>
      </c>
      <c r="M68" s="15"/>
      <c r="N68" s="32">
        <f>IF(H68=0,0,L68/H68)</f>
        <v>-0.26196116690476867</v>
      </c>
      <c r="O68" s="26"/>
      <c r="P68" s="33">
        <f>+P64-P66</f>
        <v>-110046.29000000002</v>
      </c>
      <c r="Q68" s="13"/>
      <c r="R68" s="32">
        <f>IF(P$12=0,0,P68/P$12)</f>
        <v>0</v>
      </c>
      <c r="S68" s="13"/>
      <c r="T68" s="33">
        <f>+T64-T66</f>
        <v>-150268.91</v>
      </c>
      <c r="U68" s="13"/>
      <c r="V68" s="32">
        <f>IF(T$12=0,0,T68/T$12)</f>
        <v>0</v>
      </c>
      <c r="W68" s="15"/>
      <c r="X68" s="33">
        <f>P68-T68</f>
        <v>40222.619999999981</v>
      </c>
      <c r="Y68" s="15"/>
      <c r="Z68" s="32">
        <f>IF(T68=0,0,X68/T68)</f>
        <v>-0.26767093738817949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5" t="s">
        <v>5</v>
      </c>
      <c r="C71" s="25"/>
      <c r="D71" s="34">
        <f>SUM(D68:D70)</f>
        <v>-36054.399999999994</v>
      </c>
      <c r="E71" s="13"/>
      <c r="F71" s="31">
        <f>IF(D$12=0,0,D71/D$12)</f>
        <v>0</v>
      </c>
      <c r="G71" s="13"/>
      <c r="H71" s="34">
        <f>SUM(H68:H70)</f>
        <v>-48851.63</v>
      </c>
      <c r="I71" s="13"/>
      <c r="J71" s="31">
        <f>IF(H$12=0,0,H71/H$12)</f>
        <v>0</v>
      </c>
      <c r="K71" s="15"/>
      <c r="L71" s="34">
        <f>+D71-H71</f>
        <v>12797.230000000003</v>
      </c>
      <c r="M71" s="15"/>
      <c r="N71" s="31">
        <f>IF(H71=0,0,L71/H71)</f>
        <v>-0.26196116690476867</v>
      </c>
      <c r="O71" s="26"/>
      <c r="P71" s="34">
        <f>SUM(P68:P70)</f>
        <v>-110046.29000000002</v>
      </c>
      <c r="Q71" s="13"/>
      <c r="R71" s="31">
        <f>IF(P$12=0,0,P71/P$12)</f>
        <v>0</v>
      </c>
      <c r="S71" s="13"/>
      <c r="T71" s="34">
        <f>SUM(T68:T70)</f>
        <v>-150268.91</v>
      </c>
      <c r="U71" s="13"/>
      <c r="V71" s="31">
        <f>IF(T$12=0,0,T71/T$12)</f>
        <v>0</v>
      </c>
      <c r="W71" s="15"/>
      <c r="X71" s="34">
        <f>+P71-T71</f>
        <v>40222.619999999981</v>
      </c>
      <c r="Y71" s="15"/>
      <c r="Z71" s="31">
        <f>IF(T71=0,0,X71/T71)</f>
        <v>-0.26767093738817949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4">
        <v>44123.565000312497</v>
      </c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9" t="s">
        <v>313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8"/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42643.45</v>
      </c>
      <c r="E18" s="20"/>
      <c r="F18" s="36">
        <f t="shared" ref="F18:F29" si="0">IF(D$12=0,0,D18/D$12)</f>
        <v>0</v>
      </c>
      <c r="G18" s="20"/>
      <c r="H18" s="20">
        <f>SUM(OSRRefH22x_0)</f>
        <v>67587.980000000025</v>
      </c>
      <c r="I18" s="20"/>
      <c r="J18" s="36">
        <f t="shared" ref="J18:J29" si="1">IF(H$12=0,0,H18/H$12)</f>
        <v>0</v>
      </c>
      <c r="K18" s="4"/>
      <c r="L18" s="20">
        <f t="shared" ref="L18:L29" si="2">+D18-H18</f>
        <v>-24944.530000000028</v>
      </c>
      <c r="M18" s="4"/>
      <c r="N18" s="36">
        <f t="shared" ref="N18:N29" si="3">IF(H18=0,0,L18/H18)</f>
        <v>-0.36906754721771562</v>
      </c>
      <c r="O18" s="10"/>
      <c r="P18" s="20">
        <f>SUM(OSRRefP22x_0)</f>
        <v>134979.03999999998</v>
      </c>
      <c r="Q18" s="20"/>
      <c r="R18" s="36">
        <f t="shared" ref="R18:R29" si="4">IF(P$12=0,0,P18/P$12)</f>
        <v>0</v>
      </c>
      <c r="S18" s="20"/>
      <c r="T18" s="20">
        <f>SUM(OSRRefT22x_0)</f>
        <v>201594.34999999998</v>
      </c>
      <c r="U18" s="20"/>
      <c r="V18" s="36">
        <f t="shared" ref="V18:V29" si="5">IF(T$12=0,0,T18/T$12)</f>
        <v>0</v>
      </c>
      <c r="W18" s="4"/>
      <c r="X18" s="20">
        <f t="shared" ref="X18:X29" si="6">+P18-T18</f>
        <v>-66615.31</v>
      </c>
      <c r="Y18" s="4"/>
      <c r="Z18" s="36">
        <f t="shared" ref="Z18:Z29" si="7">IF(T18=0,0,X18/T18)</f>
        <v>-0.33044234622646917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12403.79</v>
      </c>
      <c r="E19" s="1"/>
      <c r="F19" s="5">
        <f t="shared" si="0"/>
        <v>0</v>
      </c>
      <c r="G19" s="1"/>
      <c r="H19" s="1">
        <f>SUM(OSRRefH22_0x_0)</f>
        <v>13511.04</v>
      </c>
      <c r="I19" s="1"/>
      <c r="J19" s="5">
        <f t="shared" si="1"/>
        <v>0</v>
      </c>
      <c r="K19" s="1"/>
      <c r="L19" s="1">
        <f t="shared" si="2"/>
        <v>-1107.25</v>
      </c>
      <c r="M19" s="1"/>
      <c r="N19" s="5">
        <f t="shared" si="3"/>
        <v>-8.1951500402633687E-2</v>
      </c>
      <c r="O19" s="14"/>
      <c r="P19" s="1">
        <f>SUM(OSRRefP22_0x_0)</f>
        <v>36781.879999999997</v>
      </c>
      <c r="Q19" s="1"/>
      <c r="R19" s="5">
        <f t="shared" si="4"/>
        <v>0</v>
      </c>
      <c r="S19" s="1"/>
      <c r="T19" s="1">
        <f>SUM(OSRRefT22_0x_0)</f>
        <v>41126.340000000004</v>
      </c>
      <c r="U19" s="1"/>
      <c r="V19" s="5">
        <f t="shared" si="5"/>
        <v>0</v>
      </c>
      <c r="W19" s="1"/>
      <c r="X19" s="1">
        <f t="shared" si="6"/>
        <v>-4344.4600000000064</v>
      </c>
      <c r="Y19" s="1"/>
      <c r="Z19" s="5">
        <f t="shared" si="7"/>
        <v>-0.10563692271181939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2070.71</v>
      </c>
      <c r="E20" s="2"/>
      <c r="F20" s="6">
        <f t="shared" si="0"/>
        <v>0</v>
      </c>
      <c r="G20" s="2"/>
      <c r="H20" s="7">
        <v>1673.37</v>
      </c>
      <c r="I20" s="2"/>
      <c r="J20" s="6">
        <f t="shared" si="1"/>
        <v>0</v>
      </c>
      <c r="K20" s="2"/>
      <c r="L20" s="7">
        <f t="shared" si="2"/>
        <v>397.34000000000015</v>
      </c>
      <c r="M20" s="2"/>
      <c r="N20" s="6">
        <f t="shared" si="3"/>
        <v>0.23744898020162916</v>
      </c>
      <c r="O20" s="11"/>
      <c r="P20" s="7">
        <v>5974.04</v>
      </c>
      <c r="Q20" s="2"/>
      <c r="R20" s="6">
        <f t="shared" si="4"/>
        <v>0</v>
      </c>
      <c r="S20" s="2"/>
      <c r="T20" s="7">
        <v>5220.49</v>
      </c>
      <c r="U20" s="2"/>
      <c r="V20" s="6">
        <f t="shared" si="5"/>
        <v>0</v>
      </c>
      <c r="W20" s="2"/>
      <c r="X20" s="7">
        <f t="shared" si="6"/>
        <v>753.55000000000018</v>
      </c>
      <c r="Y20" s="2"/>
      <c r="Z20" s="6">
        <f t="shared" si="7"/>
        <v>0.14434468795074795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87.64</v>
      </c>
      <c r="E21" s="2"/>
      <c r="F21" s="6">
        <f t="shared" si="0"/>
        <v>0</v>
      </c>
      <c r="G21" s="2"/>
      <c r="H21" s="7">
        <v>74.180000000000007</v>
      </c>
      <c r="I21" s="2"/>
      <c r="J21" s="6">
        <f t="shared" si="1"/>
        <v>0</v>
      </c>
      <c r="K21" s="2"/>
      <c r="L21" s="7">
        <f t="shared" si="2"/>
        <v>13.459999999999994</v>
      </c>
      <c r="M21" s="2"/>
      <c r="N21" s="6">
        <f t="shared" si="3"/>
        <v>0.18145052574817999</v>
      </c>
      <c r="O21" s="11"/>
      <c r="P21" s="7">
        <v>255.71</v>
      </c>
      <c r="Q21" s="2"/>
      <c r="R21" s="6">
        <f t="shared" si="4"/>
        <v>0</v>
      </c>
      <c r="S21" s="2"/>
      <c r="T21" s="7">
        <v>231.37</v>
      </c>
      <c r="U21" s="2"/>
      <c r="V21" s="6">
        <f t="shared" si="5"/>
        <v>0</v>
      </c>
      <c r="W21" s="2"/>
      <c r="X21" s="7">
        <f t="shared" si="6"/>
        <v>24.340000000000003</v>
      </c>
      <c r="Y21" s="2"/>
      <c r="Z21" s="6">
        <f t="shared" si="7"/>
        <v>0.10519946406189222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5862.42</v>
      </c>
      <c r="I22" s="2"/>
      <c r="J22" s="6">
        <f t="shared" si="1"/>
        <v>0</v>
      </c>
      <c r="K22" s="2"/>
      <c r="L22" s="7">
        <f t="shared" si="2"/>
        <v>229.25</v>
      </c>
      <c r="M22" s="2"/>
      <c r="N22" s="6">
        <f t="shared" si="3"/>
        <v>3.9105011241091565E-2</v>
      </c>
      <c r="O22" s="11"/>
      <c r="P22" s="7">
        <v>18275.009999999998</v>
      </c>
      <c r="Q22" s="2"/>
      <c r="R22" s="6">
        <f t="shared" si="4"/>
        <v>0</v>
      </c>
      <c r="S22" s="2"/>
      <c r="T22" s="7">
        <v>17585.64</v>
      </c>
      <c r="U22" s="2"/>
      <c r="V22" s="6">
        <f t="shared" si="5"/>
        <v>0</v>
      </c>
      <c r="W22" s="2"/>
      <c r="X22" s="7">
        <f t="shared" si="6"/>
        <v>689.36999999999898</v>
      </c>
      <c r="Y22" s="2"/>
      <c r="Z22" s="6">
        <f t="shared" si="7"/>
        <v>3.9200734235432945E-2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69.05</v>
      </c>
      <c r="E23" s="2"/>
      <c r="F23" s="6">
        <f t="shared" si="0"/>
        <v>0</v>
      </c>
      <c r="G23" s="2"/>
      <c r="H23" s="7">
        <v>56.72</v>
      </c>
      <c r="I23" s="2"/>
      <c r="J23" s="6">
        <f t="shared" si="1"/>
        <v>0</v>
      </c>
      <c r="K23" s="2"/>
      <c r="L23" s="7">
        <f t="shared" si="2"/>
        <v>12.329999999999998</v>
      </c>
      <c r="M23" s="2"/>
      <c r="N23" s="6">
        <f t="shared" si="3"/>
        <v>0.21738363892806767</v>
      </c>
      <c r="O23" s="11"/>
      <c r="P23" s="7">
        <v>201.47</v>
      </c>
      <c r="Q23" s="2"/>
      <c r="R23" s="6">
        <f t="shared" si="4"/>
        <v>0</v>
      </c>
      <c r="S23" s="2"/>
      <c r="T23" s="7">
        <v>176.93</v>
      </c>
      <c r="U23" s="2"/>
      <c r="V23" s="6">
        <f t="shared" si="5"/>
        <v>0</v>
      </c>
      <c r="W23" s="2"/>
      <c r="X23" s="7">
        <f t="shared" si="6"/>
        <v>24.539999999999992</v>
      </c>
      <c r="Y23" s="2"/>
      <c r="Z23" s="6">
        <f t="shared" si="7"/>
        <v>0.13869892047702476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919.4</v>
      </c>
      <c r="I24" s="2"/>
      <c r="J24" s="6">
        <f t="shared" si="1"/>
        <v>0</v>
      </c>
      <c r="K24" s="2"/>
      <c r="L24" s="7">
        <f t="shared" si="2"/>
        <v>172.08000000000004</v>
      </c>
      <c r="M24" s="2"/>
      <c r="N24" s="6">
        <f t="shared" si="3"/>
        <v>0.1871655427452687</v>
      </c>
      <c r="O24" s="11"/>
      <c r="P24" s="7">
        <v>3820.18</v>
      </c>
      <c r="Q24" s="2"/>
      <c r="R24" s="6">
        <f t="shared" si="4"/>
        <v>0</v>
      </c>
      <c r="S24" s="2"/>
      <c r="T24" s="7">
        <v>2758.2</v>
      </c>
      <c r="U24" s="2"/>
      <c r="V24" s="6">
        <f t="shared" si="5"/>
        <v>0</v>
      </c>
      <c r="W24" s="2"/>
      <c r="X24" s="7">
        <f t="shared" si="6"/>
        <v>1061.98</v>
      </c>
      <c r="Y24" s="2"/>
      <c r="Z24" s="6">
        <f t="shared" si="7"/>
        <v>0.38502646653614681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>
        <v>1971.94</v>
      </c>
      <c r="I25" s="2"/>
      <c r="J25" s="6">
        <f t="shared" si="1"/>
        <v>0</v>
      </c>
      <c r="K25" s="2"/>
      <c r="L25" s="7">
        <f t="shared" si="2"/>
        <v>-1971.94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1971.94</v>
      </c>
      <c r="U25" s="2"/>
      <c r="V25" s="6">
        <f t="shared" si="5"/>
        <v>0</v>
      </c>
      <c r="W25" s="2"/>
      <c r="X25" s="7">
        <f t="shared" si="6"/>
        <v>-1971.94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640.66999999999996</v>
      </c>
      <c r="E26" s="2"/>
      <c r="F26" s="6">
        <f t="shared" si="0"/>
        <v>0</v>
      </c>
      <c r="G26" s="2"/>
      <c r="H26" s="7">
        <v>617.82000000000005</v>
      </c>
      <c r="I26" s="2"/>
      <c r="J26" s="6">
        <f t="shared" si="1"/>
        <v>0</v>
      </c>
      <c r="K26" s="2"/>
      <c r="L26" s="7">
        <f t="shared" si="2"/>
        <v>22.849999999999909</v>
      </c>
      <c r="M26" s="2"/>
      <c r="N26" s="6">
        <f t="shared" si="3"/>
        <v>3.6984882328186051E-2</v>
      </c>
      <c r="O26" s="11"/>
      <c r="P26" s="7">
        <v>2077.13</v>
      </c>
      <c r="Q26" s="2"/>
      <c r="R26" s="6">
        <f t="shared" si="4"/>
        <v>0</v>
      </c>
      <c r="S26" s="2"/>
      <c r="T26" s="7">
        <v>1498.93</v>
      </c>
      <c r="U26" s="2"/>
      <c r="V26" s="6">
        <f t="shared" si="5"/>
        <v>0</v>
      </c>
      <c r="W26" s="2"/>
      <c r="X26" s="7">
        <f t="shared" si="6"/>
        <v>578.20000000000005</v>
      </c>
      <c r="Y26" s="2"/>
      <c r="Z26" s="6">
        <f t="shared" si="7"/>
        <v>0.38574182917147565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1392.7</v>
      </c>
      <c r="E27" s="2"/>
      <c r="F27" s="6">
        <f t="shared" si="0"/>
        <v>0</v>
      </c>
      <c r="G27" s="2"/>
      <c r="H27" s="7">
        <v>1171.02</v>
      </c>
      <c r="I27" s="2"/>
      <c r="J27" s="6">
        <f t="shared" si="1"/>
        <v>0</v>
      </c>
      <c r="K27" s="2"/>
      <c r="L27" s="7">
        <f t="shared" si="2"/>
        <v>221.68000000000006</v>
      </c>
      <c r="M27" s="2"/>
      <c r="N27" s="6">
        <f t="shared" si="3"/>
        <v>0.18930505029803082</v>
      </c>
      <c r="O27" s="11"/>
      <c r="P27" s="7">
        <v>3339.53</v>
      </c>
      <c r="Q27" s="2"/>
      <c r="R27" s="6">
        <f t="shared" si="4"/>
        <v>0</v>
      </c>
      <c r="S27" s="2"/>
      <c r="T27" s="7">
        <v>6803.47</v>
      </c>
      <c r="U27" s="2"/>
      <c r="V27" s="6">
        <f t="shared" si="5"/>
        <v>0</v>
      </c>
      <c r="W27" s="2"/>
      <c r="X27" s="7">
        <f t="shared" si="6"/>
        <v>-3463.94</v>
      </c>
      <c r="Y27" s="2"/>
      <c r="Z27" s="6">
        <f t="shared" si="7"/>
        <v>-0.50914312843299081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908.12</v>
      </c>
      <c r="E28" s="2"/>
      <c r="F28" s="6">
        <f t="shared" si="0"/>
        <v>0</v>
      </c>
      <c r="G28" s="2"/>
      <c r="H28" s="7">
        <v>822.34</v>
      </c>
      <c r="I28" s="2"/>
      <c r="J28" s="6">
        <f t="shared" si="1"/>
        <v>0</v>
      </c>
      <c r="K28" s="2"/>
      <c r="L28" s="7">
        <f t="shared" si="2"/>
        <v>85.779999999999973</v>
      </c>
      <c r="M28" s="2"/>
      <c r="N28" s="6">
        <f t="shared" si="3"/>
        <v>0.10431208502565845</v>
      </c>
      <c r="O28" s="11"/>
      <c r="P28" s="7">
        <v>2724.36</v>
      </c>
      <c r="Q28" s="2"/>
      <c r="R28" s="6">
        <f t="shared" si="4"/>
        <v>0</v>
      </c>
      <c r="S28" s="2"/>
      <c r="T28" s="7">
        <v>3747.37</v>
      </c>
      <c r="U28" s="2"/>
      <c r="V28" s="6">
        <f t="shared" si="5"/>
        <v>0</v>
      </c>
      <c r="W28" s="2"/>
      <c r="X28" s="7">
        <f t="shared" si="6"/>
        <v>-1023.0099999999998</v>
      </c>
      <c r="Y28" s="2"/>
      <c r="Z28" s="6">
        <f t="shared" si="7"/>
        <v>-0.27299412654741856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>
        <v>51.75</v>
      </c>
      <c r="E29" s="2"/>
      <c r="F29" s="6">
        <f t="shared" si="0"/>
        <v>0</v>
      </c>
      <c r="G29" s="2"/>
      <c r="H29" s="7">
        <v>341.83</v>
      </c>
      <c r="I29" s="2"/>
      <c r="J29" s="6">
        <f t="shared" si="1"/>
        <v>0</v>
      </c>
      <c r="K29" s="2"/>
      <c r="L29" s="7">
        <f t="shared" si="2"/>
        <v>-290.08</v>
      </c>
      <c r="M29" s="2"/>
      <c r="N29" s="6">
        <f t="shared" si="3"/>
        <v>-0.84860895766901678</v>
      </c>
      <c r="O29" s="11"/>
      <c r="P29" s="7">
        <v>114.45</v>
      </c>
      <c r="Q29" s="2"/>
      <c r="R29" s="6">
        <f t="shared" si="4"/>
        <v>0</v>
      </c>
      <c r="S29" s="2"/>
      <c r="T29" s="7">
        <v>1132</v>
      </c>
      <c r="U29" s="2"/>
      <c r="V29" s="6">
        <f t="shared" si="5"/>
        <v>0</v>
      </c>
      <c r="W29" s="2"/>
      <c r="X29" s="7">
        <f t="shared" si="6"/>
        <v>-1017.55</v>
      </c>
      <c r="Y29" s="2"/>
      <c r="Z29" s="6">
        <f t="shared" si="7"/>
        <v>-0.8988957597173145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24815.739999999998</v>
      </c>
      <c r="E30" s="1"/>
      <c r="F30" s="5">
        <f t="shared" ref="F30:F34" si="8">IF(D$12=0,0,D30/D$12)</f>
        <v>0</v>
      </c>
      <c r="G30" s="1"/>
      <c r="H30" s="1">
        <f>SUM(OSRRefH22_1x_0)</f>
        <v>20391.53</v>
      </c>
      <c r="I30" s="1"/>
      <c r="J30" s="5">
        <f t="shared" ref="J30:J34" si="9">IF(H$12=0,0,H30/H$12)</f>
        <v>0</v>
      </c>
      <c r="K30" s="1"/>
      <c r="L30" s="1">
        <f t="shared" ref="L30:L34" si="10">+D30-H30</f>
        <v>4424.2099999999991</v>
      </c>
      <c r="M30" s="1"/>
      <c r="N30" s="5">
        <f t="shared" ref="N30:N34" si="11">IF(H30=0,0,L30/H30)</f>
        <v>0.21696312145287772</v>
      </c>
      <c r="O30" s="14"/>
      <c r="P30" s="1">
        <f>SUM(OSRRefP22_1x_0)</f>
        <v>81351.070000000007</v>
      </c>
      <c r="Q30" s="1"/>
      <c r="R30" s="5">
        <f t="shared" ref="R30:R34" si="12">IF(P$12=0,0,P30/P$12)</f>
        <v>0</v>
      </c>
      <c r="S30" s="1"/>
      <c r="T30" s="1">
        <f>SUM(OSRRefT22_1x_0)</f>
        <v>69961.319999999992</v>
      </c>
      <c r="U30" s="1"/>
      <c r="V30" s="5">
        <f t="shared" ref="V30:V34" si="13">IF(T$12=0,0,T30/T$12)</f>
        <v>0</v>
      </c>
      <c r="W30" s="1"/>
      <c r="X30" s="1">
        <f t="shared" ref="X30:X34" si="14">+P30-T30</f>
        <v>11389.750000000015</v>
      </c>
      <c r="Y30" s="1"/>
      <c r="Z30" s="5">
        <f t="shared" ref="Z30:Z34" si="15">IF(T30=0,0,X30/T30)</f>
        <v>0.16280067328632472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8410.48</v>
      </c>
      <c r="E31" s="2"/>
      <c r="F31" s="6">
        <f t="shared" si="8"/>
        <v>0</v>
      </c>
      <c r="G31" s="2"/>
      <c r="H31" s="7">
        <v>7196.13</v>
      </c>
      <c r="I31" s="2"/>
      <c r="J31" s="6">
        <f t="shared" si="9"/>
        <v>0</v>
      </c>
      <c r="K31" s="2"/>
      <c r="L31" s="7">
        <f t="shared" si="10"/>
        <v>1214.3499999999995</v>
      </c>
      <c r="M31" s="2"/>
      <c r="N31" s="6">
        <f t="shared" si="11"/>
        <v>0.16875042557596923</v>
      </c>
      <c r="O31" s="11"/>
      <c r="P31" s="7">
        <v>29684.380000000005</v>
      </c>
      <c r="Q31" s="2"/>
      <c r="R31" s="6">
        <f t="shared" si="12"/>
        <v>0</v>
      </c>
      <c r="S31" s="2"/>
      <c r="T31" s="7">
        <v>26086.18</v>
      </c>
      <c r="U31" s="2"/>
      <c r="V31" s="6">
        <f t="shared" si="13"/>
        <v>0</v>
      </c>
      <c r="W31" s="2"/>
      <c r="X31" s="7">
        <f t="shared" si="14"/>
        <v>3598.2000000000044</v>
      </c>
      <c r="Y31" s="2"/>
      <c r="Z31" s="6">
        <f t="shared" si="15"/>
        <v>0.13793510586831817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>
        <v>11094.14</v>
      </c>
      <c r="E32" s="2"/>
      <c r="F32" s="6">
        <f t="shared" si="8"/>
        <v>0</v>
      </c>
      <c r="G32" s="2"/>
      <c r="H32" s="7">
        <v>8357.7099999999991</v>
      </c>
      <c r="I32" s="2"/>
      <c r="J32" s="6">
        <f t="shared" si="9"/>
        <v>0</v>
      </c>
      <c r="K32" s="2"/>
      <c r="L32" s="7">
        <f t="shared" si="10"/>
        <v>2736.4300000000003</v>
      </c>
      <c r="M32" s="2"/>
      <c r="N32" s="6">
        <f t="shared" si="11"/>
        <v>0.32741384900887932</v>
      </c>
      <c r="O32" s="11"/>
      <c r="P32" s="7">
        <v>30335.489999999998</v>
      </c>
      <c r="Q32" s="2"/>
      <c r="R32" s="6">
        <f t="shared" si="12"/>
        <v>0</v>
      </c>
      <c r="S32" s="2"/>
      <c r="T32" s="7">
        <v>25518.92</v>
      </c>
      <c r="U32" s="2"/>
      <c r="V32" s="6">
        <f t="shared" si="13"/>
        <v>0</v>
      </c>
      <c r="W32" s="2"/>
      <c r="X32" s="7">
        <f t="shared" si="14"/>
        <v>4816.57</v>
      </c>
      <c r="Y32" s="2"/>
      <c r="Z32" s="6">
        <f t="shared" si="15"/>
        <v>0.18874505660897875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5985.12</v>
      </c>
      <c r="E33" s="2"/>
      <c r="F33" s="6">
        <f t="shared" si="8"/>
        <v>0</v>
      </c>
      <c r="G33" s="2"/>
      <c r="H33" s="7">
        <v>3999.69</v>
      </c>
      <c r="I33" s="2"/>
      <c r="J33" s="6">
        <f t="shared" si="9"/>
        <v>0</v>
      </c>
      <c r="K33" s="2"/>
      <c r="L33" s="7">
        <f t="shared" si="10"/>
        <v>1985.4299999999998</v>
      </c>
      <c r="M33" s="2"/>
      <c r="N33" s="6">
        <f t="shared" si="11"/>
        <v>0.49639597068772823</v>
      </c>
      <c r="O33" s="11"/>
      <c r="P33" s="7">
        <v>17625.2</v>
      </c>
      <c r="Q33" s="2"/>
      <c r="R33" s="6">
        <f t="shared" si="12"/>
        <v>0</v>
      </c>
      <c r="S33" s="2"/>
      <c r="T33" s="7">
        <v>14514.22</v>
      </c>
      <c r="U33" s="2"/>
      <c r="V33" s="6">
        <f t="shared" si="13"/>
        <v>0</v>
      </c>
      <c r="W33" s="2"/>
      <c r="X33" s="7">
        <f t="shared" si="14"/>
        <v>3110.9800000000014</v>
      </c>
      <c r="Y33" s="2"/>
      <c r="Z33" s="6">
        <f t="shared" si="15"/>
        <v>0.2143401436660049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>
        <v>-674</v>
      </c>
      <c r="E34" s="2"/>
      <c r="F34" s="6">
        <f t="shared" si="8"/>
        <v>0</v>
      </c>
      <c r="G34" s="2"/>
      <c r="H34" s="7">
        <v>838</v>
      </c>
      <c r="I34" s="2"/>
      <c r="J34" s="6">
        <f t="shared" si="9"/>
        <v>0</v>
      </c>
      <c r="K34" s="2"/>
      <c r="L34" s="7">
        <f t="shared" si="10"/>
        <v>-1512</v>
      </c>
      <c r="M34" s="2"/>
      <c r="N34" s="6">
        <f t="shared" si="11"/>
        <v>-1.8042959427207637</v>
      </c>
      <c r="O34" s="11"/>
      <c r="P34" s="7">
        <v>3706</v>
      </c>
      <c r="Q34" s="2"/>
      <c r="R34" s="6">
        <f t="shared" si="12"/>
        <v>0</v>
      </c>
      <c r="S34" s="2"/>
      <c r="T34" s="7">
        <v>3842</v>
      </c>
      <c r="U34" s="2"/>
      <c r="V34" s="6">
        <f t="shared" si="13"/>
        <v>0</v>
      </c>
      <c r="W34" s="2"/>
      <c r="X34" s="7">
        <f t="shared" si="14"/>
        <v>-136</v>
      </c>
      <c r="Y34" s="2"/>
      <c r="Z34" s="6">
        <f t="shared" si="15"/>
        <v>-3.5398230088495575E-2</v>
      </c>
    </row>
    <row r="35" spans="1:26" s="27" customFormat="1" outlineLevel="1" collapsed="1" x14ac:dyDescent="0.25">
      <c r="A35" s="29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51" si="16">IF(D$12=0,0,D35/D$12)</f>
        <v>0</v>
      </c>
      <c r="G35" s="1"/>
      <c r="H35" s="1">
        <f>SUM(OSRRefH22_2x_0)</f>
        <v>0</v>
      </c>
      <c r="I35" s="1"/>
      <c r="J35" s="5">
        <f t="shared" ref="J35:J51" si="17">IF(H$12=0,0,H35/H$12)</f>
        <v>0</v>
      </c>
      <c r="K35" s="1"/>
      <c r="L35" s="1">
        <f t="shared" ref="L35:L51" si="18">+D35-H35</f>
        <v>0</v>
      </c>
      <c r="M35" s="1"/>
      <c r="N35" s="5">
        <f t="shared" ref="N35:N51" si="19">IF(H35=0,0,L35/H35)</f>
        <v>0</v>
      </c>
      <c r="O35" s="14"/>
      <c r="P35" s="1">
        <f>SUM(OSRRefP22_2x_0)</f>
        <v>0</v>
      </c>
      <c r="Q35" s="1"/>
      <c r="R35" s="5">
        <f t="shared" ref="R35:R51" si="20">IF(P$12=0,0,P35/P$12)</f>
        <v>0</v>
      </c>
      <c r="S35" s="1"/>
      <c r="T35" s="1">
        <f>SUM(OSRRefT22_2x_0)</f>
        <v>588.74</v>
      </c>
      <c r="U35" s="1"/>
      <c r="V35" s="5">
        <f t="shared" ref="V35:V51" si="21">IF(T$12=0,0,T35/T$12)</f>
        <v>0</v>
      </c>
      <c r="W35" s="1"/>
      <c r="X35" s="1">
        <f t="shared" ref="X35:X51" si="22">+P35-T35</f>
        <v>-588.74</v>
      </c>
      <c r="Y35" s="1"/>
      <c r="Z35" s="5">
        <f t="shared" ref="Z35:Z51" si="23">IF(T35=0,0,X35/T35)</f>
        <v>-1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/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/>
      <c r="Q36" s="2"/>
      <c r="R36" s="6">
        <f t="shared" si="20"/>
        <v>0</v>
      </c>
      <c r="S36" s="2"/>
      <c r="T36" s="7">
        <v>588.74</v>
      </c>
      <c r="U36" s="2"/>
      <c r="V36" s="6">
        <f t="shared" si="21"/>
        <v>0</v>
      </c>
      <c r="W36" s="2"/>
      <c r="X36" s="7">
        <f t="shared" si="22"/>
        <v>-588.74</v>
      </c>
      <c r="Y36" s="2"/>
      <c r="Z36" s="6">
        <f t="shared" si="23"/>
        <v>-1</v>
      </c>
    </row>
    <row r="37" spans="1:26" s="27" customFormat="1" outlineLevel="1" collapsed="1" x14ac:dyDescent="0.25">
      <c r="A37" s="29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224.18</v>
      </c>
      <c r="I37" s="1"/>
      <c r="J37" s="5">
        <f t="shared" si="17"/>
        <v>0</v>
      </c>
      <c r="K37" s="1"/>
      <c r="L37" s="1">
        <f t="shared" si="18"/>
        <v>-224.18</v>
      </c>
      <c r="M37" s="1"/>
      <c r="N37" s="5">
        <f t="shared" si="19"/>
        <v>-1</v>
      </c>
      <c r="O37" s="14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672.54</v>
      </c>
      <c r="U37" s="1"/>
      <c r="V37" s="5">
        <f t="shared" si="21"/>
        <v>0</v>
      </c>
      <c r="W37" s="1"/>
      <c r="X37" s="1">
        <f t="shared" si="22"/>
        <v>-672.54</v>
      </c>
      <c r="Y37" s="1"/>
      <c r="Z37" s="5">
        <f t="shared" si="23"/>
        <v>-1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7"/>
      <c r="E38" s="2"/>
      <c r="F38" s="6">
        <f t="shared" si="16"/>
        <v>0</v>
      </c>
      <c r="G38" s="2"/>
      <c r="H38" s="7">
        <v>224.18</v>
      </c>
      <c r="I38" s="2"/>
      <c r="J38" s="6">
        <f t="shared" si="17"/>
        <v>0</v>
      </c>
      <c r="K38" s="2"/>
      <c r="L38" s="7">
        <f t="shared" si="18"/>
        <v>-224.18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672.54</v>
      </c>
      <c r="U38" s="2"/>
      <c r="V38" s="6">
        <f t="shared" si="21"/>
        <v>0</v>
      </c>
      <c r="W38" s="2"/>
      <c r="X38" s="7">
        <f t="shared" si="22"/>
        <v>-672.54</v>
      </c>
      <c r="Y38" s="2"/>
      <c r="Z38" s="6">
        <f t="shared" si="23"/>
        <v>-1</v>
      </c>
    </row>
    <row r="39" spans="1:26" s="27" customFormat="1" outlineLevel="1" collapsed="1" x14ac:dyDescent="0.25">
      <c r="A39" s="29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si="16"/>
        <v>0</v>
      </c>
      <c r="G39" s="1"/>
      <c r="H39" s="1">
        <f>SUM(OSRRefH22_4x_0)</f>
        <v>438</v>
      </c>
      <c r="I39" s="1"/>
      <c r="J39" s="5">
        <f t="shared" si="17"/>
        <v>0</v>
      </c>
      <c r="K39" s="1"/>
      <c r="L39" s="1">
        <f t="shared" si="18"/>
        <v>-438</v>
      </c>
      <c r="M39" s="1"/>
      <c r="N39" s="5">
        <f t="shared" si="19"/>
        <v>-1</v>
      </c>
      <c r="O39" s="14"/>
      <c r="P39" s="1">
        <f>SUM(OSRRefP22_4x_0)</f>
        <v>81.56</v>
      </c>
      <c r="Q39" s="1"/>
      <c r="R39" s="5">
        <f t="shared" si="20"/>
        <v>0</v>
      </c>
      <c r="S39" s="1"/>
      <c r="T39" s="1">
        <f>SUM(OSRRefT22_4x_0)</f>
        <v>11565.12</v>
      </c>
      <c r="U39" s="1"/>
      <c r="V39" s="5">
        <f t="shared" si="21"/>
        <v>0</v>
      </c>
      <c r="W39" s="1"/>
      <c r="X39" s="1">
        <f t="shared" si="22"/>
        <v>-11483.560000000001</v>
      </c>
      <c r="Y39" s="1"/>
      <c r="Z39" s="5">
        <f t="shared" si="23"/>
        <v>-0.99294776016158937</v>
      </c>
    </row>
    <row r="40" spans="1:26" s="24" customFormat="1" hidden="1" outlineLevel="2" x14ac:dyDescent="0.25">
      <c r="A40" s="28"/>
      <c r="B40" s="11" t="str">
        <f>CONCATENATE("          ", "6277", " - ", "EMPLOYEE APPRECIATION")</f>
        <v xml:space="preserve">          6277 - EMPLOYEE APPRECIATION</v>
      </c>
      <c r="C40" s="11"/>
      <c r="D40" s="7"/>
      <c r="E40" s="2"/>
      <c r="F40" s="6">
        <f t="shared" si="16"/>
        <v>0</v>
      </c>
      <c r="G40" s="2"/>
      <c r="H40" s="7">
        <v>438</v>
      </c>
      <c r="I40" s="2"/>
      <c r="J40" s="6">
        <f t="shared" si="17"/>
        <v>0</v>
      </c>
      <c r="K40" s="2"/>
      <c r="L40" s="7">
        <f t="shared" si="18"/>
        <v>-438</v>
      </c>
      <c r="M40" s="2"/>
      <c r="N40" s="6">
        <f t="shared" si="19"/>
        <v>-1</v>
      </c>
      <c r="O40" s="11"/>
      <c r="P40" s="7">
        <v>81.56</v>
      </c>
      <c r="Q40" s="2"/>
      <c r="R40" s="6">
        <f t="shared" si="20"/>
        <v>0</v>
      </c>
      <c r="S40" s="2"/>
      <c r="T40" s="7">
        <v>11565.12</v>
      </c>
      <c r="U40" s="2"/>
      <c r="V40" s="6">
        <f t="shared" si="21"/>
        <v>0</v>
      </c>
      <c r="W40" s="2"/>
      <c r="X40" s="7">
        <f t="shared" si="22"/>
        <v>-11483.560000000001</v>
      </c>
      <c r="Y40" s="2"/>
      <c r="Z40" s="6">
        <f t="shared" si="23"/>
        <v>-0.99294776016158937</v>
      </c>
    </row>
    <row r="41" spans="1:26" s="27" customFormat="1" outlineLevel="1" collapsed="1" x14ac:dyDescent="0.25">
      <c r="A41" s="29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0</v>
      </c>
      <c r="E41" s="1"/>
      <c r="F41" s="5">
        <f t="shared" si="16"/>
        <v>0</v>
      </c>
      <c r="G41" s="1"/>
      <c r="H41" s="1">
        <f>SUM(OSRRefH22_5x_0)</f>
        <v>91.26</v>
      </c>
      <c r="I41" s="1"/>
      <c r="J41" s="5">
        <f t="shared" si="17"/>
        <v>0</v>
      </c>
      <c r="K41" s="1"/>
      <c r="L41" s="1">
        <f t="shared" si="18"/>
        <v>-91.26</v>
      </c>
      <c r="M41" s="1"/>
      <c r="N41" s="5">
        <f t="shared" si="19"/>
        <v>-1</v>
      </c>
      <c r="O41" s="14"/>
      <c r="P41" s="1">
        <f>SUM(OSRRefP22_5x_0)</f>
        <v>0</v>
      </c>
      <c r="Q41" s="1"/>
      <c r="R41" s="5">
        <f t="shared" si="20"/>
        <v>0</v>
      </c>
      <c r="S41" s="1"/>
      <c r="T41" s="1">
        <f>SUM(OSRRefT22_5x_0)</f>
        <v>273.77999999999997</v>
      </c>
      <c r="U41" s="1"/>
      <c r="V41" s="5">
        <f t="shared" si="21"/>
        <v>0</v>
      </c>
      <c r="W41" s="1"/>
      <c r="X41" s="1">
        <f t="shared" si="22"/>
        <v>-273.77999999999997</v>
      </c>
      <c r="Y41" s="1"/>
      <c r="Z41" s="5">
        <f t="shared" si="23"/>
        <v>-1</v>
      </c>
    </row>
    <row r="42" spans="1:26" s="24" customFormat="1" hidden="1" outlineLevel="2" x14ac:dyDescent="0.25">
      <c r="A42" s="28"/>
      <c r="B42" s="11" t="str">
        <f>CONCATENATE("          ", "6351", " - ", "EQUIPMENT RENTAL")</f>
        <v xml:space="preserve">          6351 - EQUIPMENT RENTAL</v>
      </c>
      <c r="C42" s="11"/>
      <c r="D42" s="7"/>
      <c r="E42" s="2"/>
      <c r="F42" s="6">
        <f t="shared" si="16"/>
        <v>0</v>
      </c>
      <c r="G42" s="2"/>
      <c r="H42" s="7">
        <v>91.26</v>
      </c>
      <c r="I42" s="2"/>
      <c r="J42" s="6">
        <f t="shared" si="17"/>
        <v>0</v>
      </c>
      <c r="K42" s="2"/>
      <c r="L42" s="7">
        <f t="shared" si="18"/>
        <v>-91.26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273.77999999999997</v>
      </c>
      <c r="U42" s="2"/>
      <c r="V42" s="6">
        <f t="shared" si="21"/>
        <v>0</v>
      </c>
      <c r="W42" s="2"/>
      <c r="X42" s="7">
        <f t="shared" si="22"/>
        <v>-273.77999999999997</v>
      </c>
      <c r="Y42" s="2"/>
      <c r="Z42" s="6">
        <f t="shared" si="23"/>
        <v>-1</v>
      </c>
    </row>
    <row r="43" spans="1:26" s="27" customFormat="1" outlineLevel="1" collapsed="1" x14ac:dyDescent="0.25">
      <c r="A43" s="29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12.15</v>
      </c>
      <c r="E43" s="1"/>
      <c r="F43" s="5">
        <f t="shared" si="16"/>
        <v>0</v>
      </c>
      <c r="G43" s="1"/>
      <c r="H43" s="1">
        <f>SUM(OSRRefH22_6x_0)</f>
        <v>57.75</v>
      </c>
      <c r="I43" s="1"/>
      <c r="J43" s="5">
        <f t="shared" si="17"/>
        <v>0</v>
      </c>
      <c r="K43" s="1"/>
      <c r="L43" s="1">
        <f t="shared" si="18"/>
        <v>-45.6</v>
      </c>
      <c r="M43" s="1"/>
      <c r="N43" s="5">
        <f t="shared" si="19"/>
        <v>-0.78961038961038965</v>
      </c>
      <c r="O43" s="14"/>
      <c r="P43" s="1">
        <f>SUM(OSRRefP22_6x_0)</f>
        <v>51.8</v>
      </c>
      <c r="Q43" s="1"/>
      <c r="R43" s="5">
        <f t="shared" si="20"/>
        <v>0</v>
      </c>
      <c r="S43" s="1"/>
      <c r="T43" s="1">
        <f>SUM(OSRRefT22_6x_0)</f>
        <v>212.45</v>
      </c>
      <c r="U43" s="1"/>
      <c r="V43" s="5">
        <f t="shared" si="21"/>
        <v>0</v>
      </c>
      <c r="W43" s="1"/>
      <c r="X43" s="1">
        <f t="shared" si="22"/>
        <v>-160.64999999999998</v>
      </c>
      <c r="Y43" s="1"/>
      <c r="Z43" s="5">
        <f t="shared" si="23"/>
        <v>-0.75617792421746288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7">
        <v>12.15</v>
      </c>
      <c r="E44" s="2"/>
      <c r="F44" s="6">
        <f t="shared" si="16"/>
        <v>0</v>
      </c>
      <c r="G44" s="2"/>
      <c r="H44" s="7">
        <v>57.75</v>
      </c>
      <c r="I44" s="2"/>
      <c r="J44" s="6">
        <f t="shared" si="17"/>
        <v>0</v>
      </c>
      <c r="K44" s="2"/>
      <c r="L44" s="7">
        <f t="shared" si="18"/>
        <v>-45.6</v>
      </c>
      <c r="M44" s="2"/>
      <c r="N44" s="6">
        <f t="shared" si="19"/>
        <v>-0.78961038961038965</v>
      </c>
      <c r="O44" s="11"/>
      <c r="P44" s="7">
        <v>51.8</v>
      </c>
      <c r="Q44" s="2"/>
      <c r="R44" s="6">
        <f t="shared" si="20"/>
        <v>0</v>
      </c>
      <c r="S44" s="2"/>
      <c r="T44" s="7">
        <v>212.45</v>
      </c>
      <c r="U44" s="2"/>
      <c r="V44" s="6">
        <f t="shared" si="21"/>
        <v>0</v>
      </c>
      <c r="W44" s="2"/>
      <c r="X44" s="7">
        <f t="shared" si="22"/>
        <v>-160.64999999999998</v>
      </c>
      <c r="Y44" s="2"/>
      <c r="Z44" s="6">
        <f t="shared" si="23"/>
        <v>-0.75617792421746288</v>
      </c>
    </row>
    <row r="45" spans="1:26" s="27" customFormat="1" outlineLevel="1" collapsed="1" x14ac:dyDescent="0.25">
      <c r="A45" s="29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850.54</v>
      </c>
      <c r="E45" s="1"/>
      <c r="F45" s="5">
        <f t="shared" si="16"/>
        <v>0</v>
      </c>
      <c r="G45" s="1"/>
      <c r="H45" s="1">
        <f>SUM(OSRRefH22_7x_0)</f>
        <v>700</v>
      </c>
      <c r="I45" s="1"/>
      <c r="J45" s="5">
        <f t="shared" si="17"/>
        <v>0</v>
      </c>
      <c r="K45" s="1"/>
      <c r="L45" s="1">
        <f t="shared" si="18"/>
        <v>150.53999999999996</v>
      </c>
      <c r="M45" s="1"/>
      <c r="N45" s="5">
        <f t="shared" si="19"/>
        <v>0.21505714285714281</v>
      </c>
      <c r="O45" s="14"/>
      <c r="P45" s="1">
        <f>SUM(OSRRefP22_7x_0)</f>
        <v>166.54</v>
      </c>
      <c r="Q45" s="1"/>
      <c r="R45" s="5">
        <f t="shared" si="20"/>
        <v>0</v>
      </c>
      <c r="S45" s="1"/>
      <c r="T45" s="1">
        <f>SUM(OSRRefT22_7x_0)</f>
        <v>700</v>
      </c>
      <c r="U45" s="1"/>
      <c r="V45" s="5">
        <f t="shared" si="21"/>
        <v>0</v>
      </c>
      <c r="W45" s="1"/>
      <c r="X45" s="1">
        <f t="shared" si="22"/>
        <v>-533.46</v>
      </c>
      <c r="Y45" s="1"/>
      <c r="Z45" s="5">
        <f t="shared" si="23"/>
        <v>-0.76208571428571437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7">
        <v>850.54</v>
      </c>
      <c r="E46" s="2"/>
      <c r="F46" s="6">
        <f t="shared" si="16"/>
        <v>0</v>
      </c>
      <c r="G46" s="2"/>
      <c r="H46" s="7">
        <v>700</v>
      </c>
      <c r="I46" s="2"/>
      <c r="J46" s="6">
        <f t="shared" si="17"/>
        <v>0</v>
      </c>
      <c r="K46" s="2"/>
      <c r="L46" s="7">
        <f t="shared" si="18"/>
        <v>150.53999999999996</v>
      </c>
      <c r="M46" s="2"/>
      <c r="N46" s="6">
        <f t="shared" si="19"/>
        <v>0.21505714285714281</v>
      </c>
      <c r="O46" s="11"/>
      <c r="P46" s="7">
        <v>166.54</v>
      </c>
      <c r="Q46" s="2"/>
      <c r="R46" s="6">
        <f t="shared" si="20"/>
        <v>0</v>
      </c>
      <c r="S46" s="2"/>
      <c r="T46" s="7">
        <v>700</v>
      </c>
      <c r="U46" s="2"/>
      <c r="V46" s="6">
        <f t="shared" si="21"/>
        <v>0</v>
      </c>
      <c r="W46" s="2"/>
      <c r="X46" s="7">
        <f t="shared" si="22"/>
        <v>-533.46</v>
      </c>
      <c r="Y46" s="2"/>
      <c r="Z46" s="6">
        <f t="shared" si="23"/>
        <v>-0.76208571428571437</v>
      </c>
    </row>
    <row r="47" spans="1:26" s="27" customFormat="1" outlineLevel="1" collapsed="1" x14ac:dyDescent="0.25">
      <c r="A47" s="29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65.47</v>
      </c>
      <c r="E47" s="1"/>
      <c r="F47" s="5">
        <f t="shared" si="16"/>
        <v>0</v>
      </c>
      <c r="G47" s="1"/>
      <c r="H47" s="1">
        <f>SUM(OSRRefH22_8x_0)</f>
        <v>65.47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SUM(OSRRefP22_8x_0)</f>
        <v>196.41</v>
      </c>
      <c r="Q47" s="1"/>
      <c r="R47" s="5">
        <f t="shared" si="20"/>
        <v>0</v>
      </c>
      <c r="S47" s="1"/>
      <c r="T47" s="1">
        <f>SUM(OSRRefT22_8x_0)</f>
        <v>196.41</v>
      </c>
      <c r="U47" s="1"/>
      <c r="V47" s="5">
        <f t="shared" si="21"/>
        <v>0</v>
      </c>
      <c r="W47" s="1"/>
      <c r="X47" s="1">
        <f t="shared" si="22"/>
        <v>0</v>
      </c>
      <c r="Y47" s="1"/>
      <c r="Z47" s="5">
        <f t="shared" si="23"/>
        <v>0</v>
      </c>
    </row>
    <row r="48" spans="1:26" s="24" customFormat="1" hidden="1" outlineLevel="2" x14ac:dyDescent="0.25">
      <c r="A48" s="28"/>
      <c r="B48" s="11" t="str">
        <f>CONCATENATE("          ", "6314", " - ", "LIABILITY INSURANCE")</f>
        <v xml:space="preserve">          6314 - LIABILITY INSURANCE</v>
      </c>
      <c r="C48" s="11"/>
      <c r="D48" s="7">
        <v>65.47</v>
      </c>
      <c r="E48" s="2"/>
      <c r="F48" s="6">
        <f t="shared" si="16"/>
        <v>0</v>
      </c>
      <c r="G48" s="2"/>
      <c r="H48" s="7">
        <v>65.47</v>
      </c>
      <c r="I48" s="2"/>
      <c r="J48" s="6">
        <f t="shared" si="17"/>
        <v>0</v>
      </c>
      <c r="K48" s="2"/>
      <c r="L48" s="7">
        <f t="shared" si="18"/>
        <v>0</v>
      </c>
      <c r="M48" s="2"/>
      <c r="N48" s="6">
        <f t="shared" si="19"/>
        <v>0</v>
      </c>
      <c r="O48" s="11"/>
      <c r="P48" s="7">
        <v>196.41</v>
      </c>
      <c r="Q48" s="2"/>
      <c r="R48" s="6">
        <f t="shared" si="20"/>
        <v>0</v>
      </c>
      <c r="S48" s="2"/>
      <c r="T48" s="7">
        <v>196.41</v>
      </c>
      <c r="U48" s="2"/>
      <c r="V48" s="6">
        <f t="shared" si="21"/>
        <v>0</v>
      </c>
      <c r="W48" s="2"/>
      <c r="X48" s="7">
        <f t="shared" si="22"/>
        <v>0</v>
      </c>
      <c r="Y48" s="2"/>
      <c r="Z48" s="6">
        <f t="shared" si="23"/>
        <v>0</v>
      </c>
    </row>
    <row r="49" spans="1:26" s="27" customFormat="1" outlineLevel="1" collapsed="1" x14ac:dyDescent="0.25">
      <c r="A49" s="29"/>
      <c r="B49" s="14" t="str">
        <f>CONCATENATE("     ","Professional Services                             ")</f>
        <v xml:space="preserve">     Professional Services                             </v>
      </c>
      <c r="C49" s="14"/>
      <c r="D49" s="1">
        <f>SUM(OSRRefD22_9x_0)</f>
        <v>579.16999999999996</v>
      </c>
      <c r="E49" s="1"/>
      <c r="F49" s="5">
        <f t="shared" si="16"/>
        <v>0</v>
      </c>
      <c r="G49" s="1"/>
      <c r="H49" s="1">
        <f>SUM(OSRRefH22_9x_0)</f>
        <v>18408.439999999999</v>
      </c>
      <c r="I49" s="1"/>
      <c r="J49" s="5">
        <f t="shared" si="17"/>
        <v>0</v>
      </c>
      <c r="K49" s="1"/>
      <c r="L49" s="1">
        <f t="shared" si="18"/>
        <v>-17829.27</v>
      </c>
      <c r="M49" s="1"/>
      <c r="N49" s="5">
        <f t="shared" si="19"/>
        <v>-0.96853780113904286</v>
      </c>
      <c r="O49" s="14"/>
      <c r="P49" s="1">
        <f>SUM(OSRRefP22_9x_0)</f>
        <v>2581.2600000000002</v>
      </c>
      <c r="Q49" s="1"/>
      <c r="R49" s="5">
        <f t="shared" si="20"/>
        <v>0</v>
      </c>
      <c r="S49" s="1"/>
      <c r="T49" s="1">
        <f>SUM(OSRRefT22_9x_0)</f>
        <v>27414.18</v>
      </c>
      <c r="U49" s="1"/>
      <c r="V49" s="5">
        <f t="shared" si="21"/>
        <v>0</v>
      </c>
      <c r="W49" s="1"/>
      <c r="X49" s="1">
        <f t="shared" si="22"/>
        <v>-24832.92</v>
      </c>
      <c r="Y49" s="1"/>
      <c r="Z49" s="5">
        <f t="shared" si="23"/>
        <v>-0.90584215905783061</v>
      </c>
    </row>
    <row r="50" spans="1:26" s="24" customFormat="1" hidden="1" outlineLevel="2" x14ac:dyDescent="0.25">
      <c r="A50" s="28"/>
      <c r="B50" s="11" t="str">
        <f>CONCATENATE("          ", "6334", " - ", "LEGAL COUNCIL EXPENSE")</f>
        <v xml:space="preserve">          6334 - LEGAL COUNCIL EXPENSE</v>
      </c>
      <c r="C50" s="11"/>
      <c r="D50" s="7"/>
      <c r="E50" s="2"/>
      <c r="F50" s="6">
        <f t="shared" si="16"/>
        <v>0</v>
      </c>
      <c r="G50" s="2"/>
      <c r="H50" s="7">
        <v>11970</v>
      </c>
      <c r="I50" s="2"/>
      <c r="J50" s="6">
        <f t="shared" si="17"/>
        <v>0</v>
      </c>
      <c r="K50" s="2"/>
      <c r="L50" s="7">
        <f t="shared" si="18"/>
        <v>-11970</v>
      </c>
      <c r="M50" s="2"/>
      <c r="N50" s="6">
        <f t="shared" si="19"/>
        <v>-1</v>
      </c>
      <c r="O50" s="11"/>
      <c r="P50" s="7"/>
      <c r="Q50" s="2"/>
      <c r="R50" s="6">
        <f t="shared" si="20"/>
        <v>0</v>
      </c>
      <c r="S50" s="2"/>
      <c r="T50" s="7">
        <v>18585</v>
      </c>
      <c r="U50" s="2"/>
      <c r="V50" s="6">
        <f t="shared" si="21"/>
        <v>0</v>
      </c>
      <c r="W50" s="2"/>
      <c r="X50" s="7">
        <f t="shared" si="22"/>
        <v>-18585</v>
      </c>
      <c r="Y50" s="2"/>
      <c r="Z50" s="6">
        <f t="shared" si="23"/>
        <v>-1</v>
      </c>
    </row>
    <row r="51" spans="1:26" s="24" customFormat="1" hidden="1" outlineLevel="2" x14ac:dyDescent="0.25">
      <c r="A51" s="28"/>
      <c r="B51" s="11" t="str">
        <f>CONCATENATE("          ", "6336", " - ", "PROFESSIONAL SERVICES")</f>
        <v xml:space="preserve">          6336 - PROFESSIONAL SERVICES</v>
      </c>
      <c r="C51" s="11"/>
      <c r="D51" s="7">
        <v>579.16999999999996</v>
      </c>
      <c r="E51" s="2"/>
      <c r="F51" s="6">
        <f t="shared" si="16"/>
        <v>0</v>
      </c>
      <c r="G51" s="2"/>
      <c r="H51" s="7">
        <v>6438.44</v>
      </c>
      <c r="I51" s="2"/>
      <c r="J51" s="6">
        <f t="shared" si="17"/>
        <v>0</v>
      </c>
      <c r="K51" s="2"/>
      <c r="L51" s="7">
        <f t="shared" si="18"/>
        <v>-5859.2699999999995</v>
      </c>
      <c r="M51" s="2"/>
      <c r="N51" s="6">
        <f t="shared" si="19"/>
        <v>-0.91004497983983701</v>
      </c>
      <c r="O51" s="11"/>
      <c r="P51" s="7">
        <v>2581.2600000000002</v>
      </c>
      <c r="Q51" s="2"/>
      <c r="R51" s="6">
        <f t="shared" si="20"/>
        <v>0</v>
      </c>
      <c r="S51" s="2"/>
      <c r="T51" s="7">
        <v>8829.18</v>
      </c>
      <c r="U51" s="2"/>
      <c r="V51" s="6">
        <f t="shared" si="21"/>
        <v>0</v>
      </c>
      <c r="W51" s="2"/>
      <c r="X51" s="7">
        <f t="shared" si="22"/>
        <v>-6247.92</v>
      </c>
      <c r="Y51" s="2"/>
      <c r="Z51" s="6">
        <f t="shared" si="23"/>
        <v>-0.70764442451054343</v>
      </c>
    </row>
    <row r="52" spans="1:26" s="27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SUM(OSRRefD22_10x_0)</f>
        <v>3603.2</v>
      </c>
      <c r="E52" s="1"/>
      <c r="F52" s="5">
        <f t="shared" ref="F52:F54" si="24">IF(D$12=0,0,D52/D$12)</f>
        <v>0</v>
      </c>
      <c r="G52" s="1"/>
      <c r="H52" s="1">
        <f>SUM(OSRRefH22_10x_0)</f>
        <v>11005.12</v>
      </c>
      <c r="I52" s="1"/>
      <c r="J52" s="5">
        <f t="shared" ref="J52:J54" si="25">IF(H$12=0,0,H52/H$12)</f>
        <v>0</v>
      </c>
      <c r="K52" s="1"/>
      <c r="L52" s="1">
        <f t="shared" ref="L52:L54" si="26">+D52-H52</f>
        <v>-7401.920000000001</v>
      </c>
      <c r="M52" s="1"/>
      <c r="N52" s="5">
        <f t="shared" ref="N52:N54" si="27">IF(H52=0,0,L52/H52)</f>
        <v>-0.67258875868686574</v>
      </c>
      <c r="O52" s="14"/>
      <c r="P52" s="1">
        <f>SUM(OSRRefP22_10x_0)</f>
        <v>11754.91</v>
      </c>
      <c r="Q52" s="1"/>
      <c r="R52" s="5">
        <f t="shared" ref="R52:R54" si="28">IF(P$12=0,0,P52/P$12)</f>
        <v>0</v>
      </c>
      <c r="S52" s="1"/>
      <c r="T52" s="1">
        <f>SUM(OSRRefT22_10x_0)</f>
        <v>31254.14</v>
      </c>
      <c r="U52" s="1"/>
      <c r="V52" s="5">
        <f t="shared" ref="V52:V54" si="29">IF(T$12=0,0,T52/T$12)</f>
        <v>0</v>
      </c>
      <c r="W52" s="1"/>
      <c r="X52" s="1">
        <f t="shared" ref="X52:X54" si="30">+P52-T52</f>
        <v>-19499.23</v>
      </c>
      <c r="Y52" s="1"/>
      <c r="Z52" s="5">
        <f t="shared" ref="Z52:Z54" si="31">IF(T52=0,0,X52/T52)</f>
        <v>-0.62389270669421715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7">
        <v>3603.2</v>
      </c>
      <c r="E53" s="2"/>
      <c r="F53" s="6">
        <f t="shared" si="24"/>
        <v>0</v>
      </c>
      <c r="G53" s="2"/>
      <c r="H53" s="7">
        <v>11005.12</v>
      </c>
      <c r="I53" s="2"/>
      <c r="J53" s="6">
        <f t="shared" si="25"/>
        <v>0</v>
      </c>
      <c r="K53" s="2"/>
      <c r="L53" s="7">
        <f t="shared" si="26"/>
        <v>-7401.920000000001</v>
      </c>
      <c r="M53" s="2"/>
      <c r="N53" s="6">
        <f t="shared" si="27"/>
        <v>-0.67258875868686574</v>
      </c>
      <c r="O53" s="11"/>
      <c r="P53" s="7">
        <v>11754.91</v>
      </c>
      <c r="Q53" s="2"/>
      <c r="R53" s="6">
        <f t="shared" si="28"/>
        <v>0</v>
      </c>
      <c r="S53" s="2"/>
      <c r="T53" s="7">
        <v>31200.68</v>
      </c>
      <c r="U53" s="2"/>
      <c r="V53" s="6">
        <f t="shared" si="29"/>
        <v>0</v>
      </c>
      <c r="W53" s="2"/>
      <c r="X53" s="7">
        <f t="shared" si="30"/>
        <v>-19445.77</v>
      </c>
      <c r="Y53" s="2"/>
      <c r="Z53" s="6">
        <f t="shared" si="31"/>
        <v>-0.62324827535810112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24"/>
        <v>0</v>
      </c>
      <c r="G54" s="2"/>
      <c r="H54" s="7"/>
      <c r="I54" s="2"/>
      <c r="J54" s="6">
        <f t="shared" si="25"/>
        <v>0</v>
      </c>
      <c r="K54" s="2"/>
      <c r="L54" s="7">
        <f t="shared" si="26"/>
        <v>0</v>
      </c>
      <c r="M54" s="2"/>
      <c r="N54" s="6">
        <f t="shared" si="27"/>
        <v>0</v>
      </c>
      <c r="O54" s="11"/>
      <c r="P54" s="7"/>
      <c r="Q54" s="2"/>
      <c r="R54" s="6">
        <f t="shared" si="28"/>
        <v>0</v>
      </c>
      <c r="S54" s="2"/>
      <c r="T54" s="7">
        <v>53.46</v>
      </c>
      <c r="U54" s="2"/>
      <c r="V54" s="6">
        <f t="shared" si="29"/>
        <v>0</v>
      </c>
      <c r="W54" s="2"/>
      <c r="X54" s="7">
        <f t="shared" si="30"/>
        <v>-53.46</v>
      </c>
      <c r="Y54" s="2"/>
      <c r="Z54" s="6">
        <f t="shared" si="31"/>
        <v>-1</v>
      </c>
    </row>
    <row r="55" spans="1:26" s="27" customFormat="1" outlineLevel="1" collapsed="1" x14ac:dyDescent="0.25">
      <c r="A55" s="29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0</v>
      </c>
      <c r="E55" s="1"/>
      <c r="F55" s="5">
        <f t="shared" ref="F55:F61" si="32">IF(D$12=0,0,D55/D$12)</f>
        <v>0</v>
      </c>
      <c r="G55" s="1"/>
      <c r="H55" s="1">
        <f>SUM(OSRRefH22_11x_0)</f>
        <v>0</v>
      </c>
      <c r="I55" s="1"/>
      <c r="J55" s="5">
        <f t="shared" ref="J55:J61" si="33">IF(H$12=0,0,H55/H$12)</f>
        <v>0</v>
      </c>
      <c r="K55" s="1"/>
      <c r="L55" s="1">
        <f t="shared" ref="L55:L61" si="34">+D55-H55</f>
        <v>0</v>
      </c>
      <c r="M55" s="1"/>
      <c r="N55" s="5">
        <f t="shared" ref="N55:N61" si="35">IF(H55=0,0,L55/H55)</f>
        <v>0</v>
      </c>
      <c r="O55" s="14"/>
      <c r="P55" s="1">
        <f>SUM(OSRRefP22_11x_0)</f>
        <v>0</v>
      </c>
      <c r="Q55" s="1"/>
      <c r="R55" s="5">
        <f t="shared" ref="R55:R61" si="36">IF(P$12=0,0,P55/P$12)</f>
        <v>0</v>
      </c>
      <c r="S55" s="1"/>
      <c r="T55" s="1">
        <f>SUM(OSRRefT22_11x_0)</f>
        <v>587</v>
      </c>
      <c r="U55" s="1"/>
      <c r="V55" s="5">
        <f t="shared" ref="V55:V61" si="37">IF(T$12=0,0,T55/T$12)</f>
        <v>0</v>
      </c>
      <c r="W55" s="1"/>
      <c r="X55" s="1">
        <f t="shared" ref="X55:X61" si="38">+P55-T55</f>
        <v>-587</v>
      </c>
      <c r="Y55" s="1"/>
      <c r="Z55" s="5">
        <f t="shared" ref="Z55:Z61" si="39">IF(T55=0,0,X55/T55)</f>
        <v>-1</v>
      </c>
    </row>
    <row r="56" spans="1:26" s="24" customFormat="1" hidden="1" outlineLevel="2" x14ac:dyDescent="0.25">
      <c r="A56" s="28"/>
      <c r="B56" s="11" t="str">
        <f>CONCATENATE("          ", "6258", " - ", "MEMBERSHIP DUES")</f>
        <v xml:space="preserve">          6258 - MEMBERSHIP DUES</v>
      </c>
      <c r="C56" s="11"/>
      <c r="D56" s="7"/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0</v>
      </c>
      <c r="M56" s="2"/>
      <c r="N56" s="6">
        <f t="shared" si="35"/>
        <v>0</v>
      </c>
      <c r="O56" s="11"/>
      <c r="P56" s="7"/>
      <c r="Q56" s="2"/>
      <c r="R56" s="6">
        <f t="shared" si="36"/>
        <v>0</v>
      </c>
      <c r="S56" s="2"/>
      <c r="T56" s="7">
        <v>587</v>
      </c>
      <c r="U56" s="2"/>
      <c r="V56" s="6">
        <f t="shared" si="37"/>
        <v>0</v>
      </c>
      <c r="W56" s="2"/>
      <c r="X56" s="7">
        <f t="shared" si="38"/>
        <v>-587</v>
      </c>
      <c r="Y56" s="2"/>
      <c r="Z56" s="6">
        <f t="shared" si="39"/>
        <v>-1</v>
      </c>
    </row>
    <row r="57" spans="1:26" s="27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70.39</v>
      </c>
      <c r="E57" s="1"/>
      <c r="F57" s="5">
        <f t="shared" si="32"/>
        <v>0</v>
      </c>
      <c r="G57" s="1"/>
      <c r="H57" s="1">
        <f>SUM(OSRRefH22_12x_0)</f>
        <v>1869.25</v>
      </c>
      <c r="I57" s="1"/>
      <c r="J57" s="5">
        <f t="shared" si="33"/>
        <v>0</v>
      </c>
      <c r="K57" s="1"/>
      <c r="L57" s="1">
        <f t="shared" si="34"/>
        <v>-1798.86</v>
      </c>
      <c r="M57" s="1"/>
      <c r="N57" s="5">
        <f t="shared" si="35"/>
        <v>-0.96234318576969369</v>
      </c>
      <c r="O57" s="14"/>
      <c r="P57" s="1">
        <f>SUM(OSRRefP22_12x_0)</f>
        <v>1107.21</v>
      </c>
      <c r="Q57" s="1"/>
      <c r="R57" s="5">
        <f t="shared" si="36"/>
        <v>0</v>
      </c>
      <c r="S57" s="1"/>
      <c r="T57" s="1">
        <f>SUM(OSRRefT22_12x_0)</f>
        <v>9263.82</v>
      </c>
      <c r="U57" s="1"/>
      <c r="V57" s="5">
        <f t="shared" si="37"/>
        <v>0</v>
      </c>
      <c r="W57" s="1"/>
      <c r="X57" s="1">
        <f t="shared" si="38"/>
        <v>-8156.61</v>
      </c>
      <c r="Y57" s="1"/>
      <c r="Z57" s="5">
        <f t="shared" si="39"/>
        <v>-0.88048019067728001</v>
      </c>
    </row>
    <row r="58" spans="1:26" s="24" customFormat="1" hidden="1" outlineLevel="2" x14ac:dyDescent="0.25">
      <c r="A58" s="28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210.58</v>
      </c>
      <c r="Q58" s="2"/>
      <c r="R58" s="6">
        <f t="shared" si="36"/>
        <v>0</v>
      </c>
      <c r="S58" s="2"/>
      <c r="T58" s="7"/>
      <c r="U58" s="2"/>
      <c r="V58" s="6">
        <f t="shared" si="37"/>
        <v>0</v>
      </c>
      <c r="W58" s="2"/>
      <c r="X58" s="7">
        <f t="shared" si="38"/>
        <v>210.58</v>
      </c>
      <c r="Y58" s="2"/>
      <c r="Z58" s="6">
        <f t="shared" si="39"/>
        <v>0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7">
        <v>20.39</v>
      </c>
      <c r="E59" s="2"/>
      <c r="F59" s="6">
        <f t="shared" si="32"/>
        <v>0</v>
      </c>
      <c r="G59" s="2"/>
      <c r="H59" s="7">
        <v>1395.77</v>
      </c>
      <c r="I59" s="2"/>
      <c r="J59" s="6">
        <f t="shared" si="33"/>
        <v>0</v>
      </c>
      <c r="K59" s="2"/>
      <c r="L59" s="7">
        <f t="shared" si="34"/>
        <v>-1375.3799999999999</v>
      </c>
      <c r="M59" s="2"/>
      <c r="N59" s="6">
        <f t="shared" si="35"/>
        <v>-0.98539157597598448</v>
      </c>
      <c r="O59" s="11"/>
      <c r="P59" s="7">
        <v>698.92</v>
      </c>
      <c r="Q59" s="2"/>
      <c r="R59" s="6">
        <f t="shared" si="36"/>
        <v>0</v>
      </c>
      <c r="S59" s="2"/>
      <c r="T59" s="7">
        <v>6292.08</v>
      </c>
      <c r="U59" s="2"/>
      <c r="V59" s="6">
        <f t="shared" si="37"/>
        <v>0</v>
      </c>
      <c r="W59" s="2"/>
      <c r="X59" s="7">
        <f t="shared" si="38"/>
        <v>-5593.16</v>
      </c>
      <c r="Y59" s="2"/>
      <c r="Z59" s="6">
        <f t="shared" si="39"/>
        <v>-0.88892067488016679</v>
      </c>
    </row>
    <row r="60" spans="1:26" s="24" customFormat="1" hidden="1" outlineLevel="2" x14ac:dyDescent="0.25">
      <c r="A60" s="28"/>
      <c r="B60" s="11" t="str">
        <f>CONCATENATE("          ", "6244", " - ", "SAFETY SUPPLY EXPENSE")</f>
        <v xml:space="preserve">          6244 - SAFETY SUPPLY EXPENSE</v>
      </c>
      <c r="C60" s="11"/>
      <c r="D60" s="7">
        <v>50</v>
      </c>
      <c r="E60" s="2"/>
      <c r="F60" s="6">
        <f t="shared" si="32"/>
        <v>0</v>
      </c>
      <c r="G60" s="2"/>
      <c r="H60" s="7">
        <v>354.41</v>
      </c>
      <c r="I60" s="2"/>
      <c r="J60" s="6">
        <f t="shared" si="33"/>
        <v>0</v>
      </c>
      <c r="K60" s="2"/>
      <c r="L60" s="7">
        <f t="shared" si="34"/>
        <v>-304.41000000000003</v>
      </c>
      <c r="M60" s="2"/>
      <c r="N60" s="6">
        <f t="shared" si="35"/>
        <v>-0.8589204593549844</v>
      </c>
      <c r="O60" s="11"/>
      <c r="P60" s="7">
        <v>197.71</v>
      </c>
      <c r="Q60" s="2"/>
      <c r="R60" s="6">
        <f t="shared" si="36"/>
        <v>0</v>
      </c>
      <c r="S60" s="2"/>
      <c r="T60" s="7">
        <v>1232.33</v>
      </c>
      <c r="U60" s="2"/>
      <c r="V60" s="6">
        <f t="shared" si="37"/>
        <v>0</v>
      </c>
      <c r="W60" s="2"/>
      <c r="X60" s="7">
        <f t="shared" si="38"/>
        <v>-1034.6199999999999</v>
      </c>
      <c r="Y60" s="2"/>
      <c r="Z60" s="6">
        <f t="shared" si="39"/>
        <v>-0.83956407780383502</v>
      </c>
    </row>
    <row r="61" spans="1:26" s="24" customFormat="1" hidden="1" outlineLevel="2" x14ac:dyDescent="0.25">
      <c r="A61" s="28"/>
      <c r="B61" s="11" t="str">
        <f>CONCATENATE("          ", "6245", " - ", "PRINTING")</f>
        <v xml:space="preserve">          6245 - PRINTING</v>
      </c>
      <c r="C61" s="11"/>
      <c r="D61" s="7"/>
      <c r="E61" s="2"/>
      <c r="F61" s="6">
        <f t="shared" si="32"/>
        <v>0</v>
      </c>
      <c r="G61" s="2"/>
      <c r="H61" s="7">
        <v>119.07</v>
      </c>
      <c r="I61" s="2"/>
      <c r="J61" s="6">
        <f t="shared" si="33"/>
        <v>0</v>
      </c>
      <c r="K61" s="2"/>
      <c r="L61" s="7">
        <f t="shared" si="34"/>
        <v>-119.07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1739.41</v>
      </c>
      <c r="U61" s="2"/>
      <c r="V61" s="6">
        <f t="shared" si="37"/>
        <v>0</v>
      </c>
      <c r="W61" s="2"/>
      <c r="X61" s="7">
        <f t="shared" si="38"/>
        <v>-1739.41</v>
      </c>
      <c r="Y61" s="2"/>
      <c r="Z61" s="6">
        <f t="shared" si="39"/>
        <v>-1</v>
      </c>
    </row>
    <row r="62" spans="1:26" s="27" customFormat="1" outlineLevel="1" collapsed="1" x14ac:dyDescent="0.25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SUM(OSRRefD22_13x_0)</f>
        <v>340</v>
      </c>
      <c r="E62" s="1"/>
      <c r="F62" s="5">
        <f t="shared" ref="F62:F67" si="40">IF(D$12=0,0,D62/D$12)</f>
        <v>0</v>
      </c>
      <c r="G62" s="1"/>
      <c r="H62" s="1">
        <f>SUM(OSRRefH22_13x_0)</f>
        <v>340</v>
      </c>
      <c r="I62" s="1"/>
      <c r="J62" s="5">
        <f t="shared" ref="J62:J67" si="41">IF(H$12=0,0,H62/H$12)</f>
        <v>0</v>
      </c>
      <c r="K62" s="1"/>
      <c r="L62" s="1">
        <f t="shared" ref="L62:L67" si="42">+D62-H62</f>
        <v>0</v>
      </c>
      <c r="M62" s="1"/>
      <c r="N62" s="5">
        <f t="shared" ref="N62:N67" si="43">IF(H62=0,0,L62/H62)</f>
        <v>0</v>
      </c>
      <c r="O62" s="14"/>
      <c r="P62" s="1">
        <f>SUM(OSRRefP22_13x_0)</f>
        <v>1003.4</v>
      </c>
      <c r="Q62" s="1"/>
      <c r="R62" s="5">
        <f t="shared" ref="R62:R67" si="44">IF(P$12=0,0,P62/P$12)</f>
        <v>0</v>
      </c>
      <c r="S62" s="1"/>
      <c r="T62" s="1">
        <f>SUM(OSRRefT22_13x_0)</f>
        <v>1027.6500000000001</v>
      </c>
      <c r="U62" s="1"/>
      <c r="V62" s="5">
        <f t="shared" ref="V62:V67" si="45">IF(T$12=0,0,T62/T$12)</f>
        <v>0</v>
      </c>
      <c r="W62" s="1"/>
      <c r="X62" s="1">
        <f t="shared" ref="X62:X67" si="46">+P62-T62</f>
        <v>-24.250000000000114</v>
      </c>
      <c r="Y62" s="1"/>
      <c r="Z62" s="5">
        <f t="shared" ref="Z62:Z67" si="47">IF(T62=0,0,X62/T62)</f>
        <v>-2.3597528341361466E-2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7">
        <v>340</v>
      </c>
      <c r="E63" s="2"/>
      <c r="F63" s="6">
        <f t="shared" si="40"/>
        <v>0</v>
      </c>
      <c r="G63" s="2"/>
      <c r="H63" s="7">
        <v>340</v>
      </c>
      <c r="I63" s="2"/>
      <c r="J63" s="6">
        <f t="shared" si="41"/>
        <v>0</v>
      </c>
      <c r="K63" s="2"/>
      <c r="L63" s="7">
        <f t="shared" si="42"/>
        <v>0</v>
      </c>
      <c r="M63" s="2"/>
      <c r="N63" s="6">
        <f t="shared" si="43"/>
        <v>0</v>
      </c>
      <c r="O63" s="11"/>
      <c r="P63" s="7">
        <v>1003.4</v>
      </c>
      <c r="Q63" s="2"/>
      <c r="R63" s="6">
        <f t="shared" si="44"/>
        <v>0</v>
      </c>
      <c r="S63" s="2"/>
      <c r="T63" s="7">
        <v>1027.6500000000001</v>
      </c>
      <c r="U63" s="2"/>
      <c r="V63" s="6">
        <f t="shared" si="45"/>
        <v>0</v>
      </c>
      <c r="W63" s="2"/>
      <c r="X63" s="7">
        <f t="shared" si="46"/>
        <v>-24.250000000000114</v>
      </c>
      <c r="Y63" s="2"/>
      <c r="Z63" s="6">
        <f t="shared" si="47"/>
        <v>-2.3597528341361466E-2</v>
      </c>
    </row>
    <row r="64" spans="1:26" s="27" customFormat="1" outlineLevel="1" collapsed="1" x14ac:dyDescent="0.25">
      <c r="A64" s="29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SUM(OSRRefD22_14x_0)</f>
        <v>-97</v>
      </c>
      <c r="E64" s="1"/>
      <c r="F64" s="5">
        <f t="shared" si="40"/>
        <v>0</v>
      </c>
      <c r="G64" s="1"/>
      <c r="H64" s="1">
        <f>SUM(OSRRefH22_14x_0)</f>
        <v>414</v>
      </c>
      <c r="I64" s="1"/>
      <c r="J64" s="5">
        <f t="shared" si="41"/>
        <v>0</v>
      </c>
      <c r="K64" s="1"/>
      <c r="L64" s="1">
        <f t="shared" si="42"/>
        <v>-511</v>
      </c>
      <c r="M64" s="1"/>
      <c r="N64" s="5">
        <f t="shared" si="43"/>
        <v>-1.2342995169082125</v>
      </c>
      <c r="O64" s="14"/>
      <c r="P64" s="1">
        <f>SUM(OSRRefP22_14x_0)</f>
        <v>-97</v>
      </c>
      <c r="Q64" s="1"/>
      <c r="R64" s="5">
        <f t="shared" si="44"/>
        <v>0</v>
      </c>
      <c r="S64" s="1"/>
      <c r="T64" s="1">
        <f>SUM(OSRRefT22_14x_0)</f>
        <v>5314.98</v>
      </c>
      <c r="U64" s="1"/>
      <c r="V64" s="5">
        <f t="shared" si="45"/>
        <v>0</v>
      </c>
      <c r="W64" s="1"/>
      <c r="X64" s="1">
        <f t="shared" si="46"/>
        <v>-5411.98</v>
      </c>
      <c r="Y64" s="1"/>
      <c r="Z64" s="5">
        <f t="shared" si="47"/>
        <v>-1.0182503038581519</v>
      </c>
    </row>
    <row r="65" spans="1:26" s="24" customFormat="1" hidden="1" outlineLevel="2" x14ac:dyDescent="0.25">
      <c r="A65" s="28"/>
      <c r="B65" s="11" t="str">
        <f>CONCATENATE("          ", "6376", " - ", "TRAINING")</f>
        <v xml:space="preserve">          6376 - TRAINING</v>
      </c>
      <c r="C65" s="11"/>
      <c r="D65" s="7">
        <v>-97</v>
      </c>
      <c r="E65" s="2"/>
      <c r="F65" s="6">
        <f t="shared" si="40"/>
        <v>0</v>
      </c>
      <c r="G65" s="2"/>
      <c r="H65" s="7">
        <v>414</v>
      </c>
      <c r="I65" s="2"/>
      <c r="J65" s="6">
        <f t="shared" si="41"/>
        <v>0</v>
      </c>
      <c r="K65" s="2"/>
      <c r="L65" s="7">
        <f t="shared" si="42"/>
        <v>-511</v>
      </c>
      <c r="M65" s="2"/>
      <c r="N65" s="6">
        <f t="shared" si="43"/>
        <v>-1.2342995169082125</v>
      </c>
      <c r="O65" s="11"/>
      <c r="P65" s="7">
        <v>-97</v>
      </c>
      <c r="Q65" s="2"/>
      <c r="R65" s="6">
        <f t="shared" si="44"/>
        <v>0</v>
      </c>
      <c r="S65" s="2"/>
      <c r="T65" s="7">
        <v>5314.98</v>
      </c>
      <c r="U65" s="2"/>
      <c r="V65" s="6">
        <f t="shared" si="45"/>
        <v>0</v>
      </c>
      <c r="W65" s="2"/>
      <c r="X65" s="7">
        <f t="shared" si="46"/>
        <v>-5411.98</v>
      </c>
      <c r="Y65" s="2"/>
      <c r="Z65" s="6">
        <f t="shared" si="47"/>
        <v>-1.0182503038581519</v>
      </c>
    </row>
    <row r="66" spans="1:26" s="27" customFormat="1" outlineLevel="1" collapsed="1" x14ac:dyDescent="0.25">
      <c r="A66" s="29"/>
      <c r="B66" s="14" t="str">
        <f>CONCATENATE("     ","Travel                                            ")</f>
        <v xml:space="preserve">     Travel                                            </v>
      </c>
      <c r="C66" s="14"/>
      <c r="D66" s="1">
        <f>SUM(OSRRefD22_15x_0)</f>
        <v>0</v>
      </c>
      <c r="E66" s="1"/>
      <c r="F66" s="5">
        <f t="shared" si="40"/>
        <v>0</v>
      </c>
      <c r="G66" s="1"/>
      <c r="H66" s="1">
        <f>SUM(OSRRefH22_15x_0)</f>
        <v>71.94</v>
      </c>
      <c r="I66" s="1"/>
      <c r="J66" s="5">
        <f t="shared" si="41"/>
        <v>0</v>
      </c>
      <c r="K66" s="1"/>
      <c r="L66" s="1">
        <f t="shared" si="42"/>
        <v>-71.94</v>
      </c>
      <c r="M66" s="1"/>
      <c r="N66" s="5">
        <f t="shared" si="43"/>
        <v>-1</v>
      </c>
      <c r="O66" s="14"/>
      <c r="P66" s="1">
        <f>SUM(OSRRefP22_15x_0)</f>
        <v>0</v>
      </c>
      <c r="Q66" s="1"/>
      <c r="R66" s="5">
        <f t="shared" si="44"/>
        <v>0</v>
      </c>
      <c r="S66" s="1"/>
      <c r="T66" s="1">
        <f>SUM(OSRRefT22_15x_0)</f>
        <v>1435.88</v>
      </c>
      <c r="U66" s="1"/>
      <c r="V66" s="5">
        <f t="shared" si="45"/>
        <v>0</v>
      </c>
      <c r="W66" s="1"/>
      <c r="X66" s="1">
        <f t="shared" si="46"/>
        <v>-1435.88</v>
      </c>
      <c r="Y66" s="1"/>
      <c r="Z66" s="5">
        <f t="shared" si="47"/>
        <v>-1</v>
      </c>
    </row>
    <row r="67" spans="1:26" s="24" customFormat="1" hidden="1" outlineLevel="2" x14ac:dyDescent="0.25">
      <c r="A67" s="28"/>
      <c r="B67" s="11" t="str">
        <f>CONCATENATE("          ", "6292", " - ", "TRAVEL/CONFERENCE")</f>
        <v xml:space="preserve">          6292 - TRAVEL/CONFERENCE</v>
      </c>
      <c r="C67" s="11"/>
      <c r="D67" s="7"/>
      <c r="E67" s="2"/>
      <c r="F67" s="6">
        <f t="shared" si="40"/>
        <v>0</v>
      </c>
      <c r="G67" s="2"/>
      <c r="H67" s="7">
        <v>71.94</v>
      </c>
      <c r="I67" s="2"/>
      <c r="J67" s="6">
        <f t="shared" si="41"/>
        <v>0</v>
      </c>
      <c r="K67" s="2"/>
      <c r="L67" s="7">
        <f t="shared" si="42"/>
        <v>-71.94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1435.88</v>
      </c>
      <c r="U67" s="2"/>
      <c r="V67" s="6">
        <f t="shared" si="45"/>
        <v>0</v>
      </c>
      <c r="W67" s="2"/>
      <c r="X67" s="7">
        <f t="shared" si="46"/>
        <v>-1435.88</v>
      </c>
      <c r="Y67" s="2"/>
      <c r="Z67" s="6">
        <f t="shared" si="47"/>
        <v>-1</v>
      </c>
    </row>
    <row r="68" spans="1:26" s="60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6" t="s">
        <v>0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5" t="s">
        <v>3</v>
      </c>
      <c r="C71" s="25"/>
      <c r="D71" s="22">
        <f>+D16-D18+D69</f>
        <v>-42643.45</v>
      </c>
      <c r="E71" s="13"/>
      <c r="F71" s="21">
        <f>IF(D$12=0,0,D71/D$12)</f>
        <v>0</v>
      </c>
      <c r="G71" s="13"/>
      <c r="H71" s="22">
        <f>+H16-H18+H69</f>
        <v>-67587.980000000025</v>
      </c>
      <c r="I71" s="13"/>
      <c r="J71" s="21">
        <f>IF(H$12=0,0,H71/H$12)</f>
        <v>0</v>
      </c>
      <c r="K71" s="15"/>
      <c r="L71" s="22">
        <f>+D71-H71</f>
        <v>24944.530000000028</v>
      </c>
      <c r="M71" s="15"/>
      <c r="N71" s="21">
        <f>IF(H71=0,0,L71/H71)</f>
        <v>-0.36906754721771562</v>
      </c>
      <c r="O71" s="26"/>
      <c r="P71" s="22">
        <f>+P16-P18+P69</f>
        <v>-134979.03999999998</v>
      </c>
      <c r="Q71" s="13"/>
      <c r="R71" s="21">
        <f>IF(P$12=0,0,P71/P$12)</f>
        <v>0</v>
      </c>
      <c r="S71" s="13"/>
      <c r="T71" s="22">
        <f>+T16-T18+T69</f>
        <v>-201594.34999999998</v>
      </c>
      <c r="U71" s="13"/>
      <c r="V71" s="21">
        <f>IF(T$12=0,0,T71/T$12)</f>
        <v>0</v>
      </c>
      <c r="W71" s="15"/>
      <c r="X71" s="22">
        <f>+P71-T71</f>
        <v>66615.31</v>
      </c>
      <c r="Y71" s="15"/>
      <c r="Z71" s="21">
        <f>IF(T71=0,0,X71/T71)</f>
        <v>-0.33044234622646917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/>
      <c r="E73" s="4"/>
      <c r="F73" s="12">
        <f>IF(D$12=0,0,D73/D$12)</f>
        <v>0</v>
      </c>
      <c r="G73" s="4"/>
      <c r="H73" s="4"/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/>
      <c r="Q73" s="4"/>
      <c r="R73" s="12">
        <f>IF(P$12=0,0,P73/P$12)</f>
        <v>0</v>
      </c>
      <c r="S73" s="4"/>
      <c r="T73" s="4"/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4</v>
      </c>
      <c r="C75" s="25"/>
      <c r="D75" s="33">
        <f>+D71-D73</f>
        <v>-42643.45</v>
      </c>
      <c r="E75" s="13"/>
      <c r="F75" s="32">
        <f>IF(D$12=0,0,D75/D$12)</f>
        <v>0</v>
      </c>
      <c r="G75" s="13"/>
      <c r="H75" s="33">
        <f>+H71-H73</f>
        <v>-67587.980000000025</v>
      </c>
      <c r="I75" s="13"/>
      <c r="J75" s="32">
        <f>IF(H$12=0,0,H75/H$12)</f>
        <v>0</v>
      </c>
      <c r="K75" s="15"/>
      <c r="L75" s="33">
        <f>D75-H75</f>
        <v>24944.530000000028</v>
      </c>
      <c r="M75" s="15"/>
      <c r="N75" s="32">
        <f>IF(H75=0,0,L75/H75)</f>
        <v>-0.36906754721771562</v>
      </c>
      <c r="O75" s="26"/>
      <c r="P75" s="33">
        <f>+P71-P73</f>
        <v>-134979.03999999998</v>
      </c>
      <c r="Q75" s="13"/>
      <c r="R75" s="32">
        <f>IF(P$12=0,0,P75/P$12)</f>
        <v>0</v>
      </c>
      <c r="S75" s="13"/>
      <c r="T75" s="33">
        <f>+T71-T73</f>
        <v>-201594.34999999998</v>
      </c>
      <c r="U75" s="13"/>
      <c r="V75" s="32">
        <f>IF(T$12=0,0,T75/T$12)</f>
        <v>0</v>
      </c>
      <c r="W75" s="15"/>
      <c r="X75" s="33">
        <f>P75-T75</f>
        <v>66615.31</v>
      </c>
      <c r="Y75" s="15"/>
      <c r="Z75" s="32">
        <f>IF(T75=0,0,X75/T75)</f>
        <v>-0.33044234622646917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5</v>
      </c>
      <c r="C78" s="25"/>
      <c r="D78" s="34">
        <f>SUM(D75:D77)</f>
        <v>-42643.45</v>
      </c>
      <c r="E78" s="13"/>
      <c r="F78" s="31">
        <f>IF(D$12=0,0,D78/D$12)</f>
        <v>0</v>
      </c>
      <c r="G78" s="13"/>
      <c r="H78" s="34">
        <f>SUM(H75:H77)</f>
        <v>-67587.980000000025</v>
      </c>
      <c r="I78" s="13"/>
      <c r="J78" s="31">
        <f>IF(H$12=0,0,H78/H$12)</f>
        <v>0</v>
      </c>
      <c r="K78" s="15"/>
      <c r="L78" s="34">
        <f>+D78-H78</f>
        <v>24944.530000000028</v>
      </c>
      <c r="M78" s="15"/>
      <c r="N78" s="31">
        <f>IF(H78=0,0,L78/H78)</f>
        <v>-0.36906754721771562</v>
      </c>
      <c r="O78" s="26"/>
      <c r="P78" s="34">
        <f>SUM(P75:P77)</f>
        <v>-134979.03999999998</v>
      </c>
      <c r="Q78" s="13"/>
      <c r="R78" s="31">
        <f>IF(P$12=0,0,P78/P$12)</f>
        <v>0</v>
      </c>
      <c r="S78" s="13"/>
      <c r="T78" s="34">
        <f>SUM(T75:T77)</f>
        <v>-201594.34999999998</v>
      </c>
      <c r="U78" s="13"/>
      <c r="V78" s="31">
        <f>IF(T$12=0,0,T78/T$12)</f>
        <v>0</v>
      </c>
      <c r="W78" s="15"/>
      <c r="X78" s="34">
        <f>+P78-T78</f>
        <v>66615.31</v>
      </c>
      <c r="Y78" s="15"/>
      <c r="Z78" s="31">
        <f>IF(T78=0,0,X78/T78)</f>
        <v>-0.33044234622646917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4">
        <v>44123.565017939814</v>
      </c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9" t="s">
        <v>313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43962.689999999995</v>
      </c>
      <c r="E18" s="20"/>
      <c r="F18" s="36">
        <f t="shared" ref="F18:F28" si="0">IF(D$12=0,0,D18/D$12)</f>
        <v>0</v>
      </c>
      <c r="G18" s="20"/>
      <c r="H18" s="20">
        <f>SUM(OSRRefH22x_0)</f>
        <v>58210.09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-14247.400000000001</v>
      </c>
      <c r="M18" s="4"/>
      <c r="N18" s="36">
        <f t="shared" ref="N18:N28" si="3">IF(H18=0,0,L18/H18)</f>
        <v>-0.24475825411024107</v>
      </c>
      <c r="O18" s="10"/>
      <c r="P18" s="20">
        <f>SUM(OSRRefP22x_0)</f>
        <v>150767.32</v>
      </c>
      <c r="Q18" s="20"/>
      <c r="R18" s="36">
        <f t="shared" ref="R18:R28" si="4">IF(P$12=0,0,P18/P$12)</f>
        <v>0</v>
      </c>
      <c r="S18" s="20"/>
      <c r="T18" s="20">
        <f>SUM(OSRRefT22x_0)</f>
        <v>182666.01999999996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-31898.699999999953</v>
      </c>
      <c r="Y18" s="4"/>
      <c r="Z18" s="36">
        <f t="shared" ref="Z18:Z28" si="7">IF(T18=0,0,X18/T18)</f>
        <v>-0.17462853791854643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12086.330000000002</v>
      </c>
      <c r="E19" s="1"/>
      <c r="F19" s="5">
        <f t="shared" si="0"/>
        <v>0</v>
      </c>
      <c r="G19" s="1"/>
      <c r="H19" s="1">
        <f>SUM(OSRRefH22_0x_0)</f>
        <v>12204.130000000001</v>
      </c>
      <c r="I19" s="1"/>
      <c r="J19" s="5">
        <f t="shared" si="1"/>
        <v>0</v>
      </c>
      <c r="K19" s="1"/>
      <c r="L19" s="1">
        <f t="shared" si="2"/>
        <v>-117.79999999999927</v>
      </c>
      <c r="M19" s="1"/>
      <c r="N19" s="5">
        <f t="shared" si="3"/>
        <v>-9.6524701064311224E-3</v>
      </c>
      <c r="O19" s="14"/>
      <c r="P19" s="1">
        <f>SUM(OSRRefP22_0x_0)</f>
        <v>37221</v>
      </c>
      <c r="Q19" s="1"/>
      <c r="R19" s="5">
        <f t="shared" si="4"/>
        <v>0</v>
      </c>
      <c r="S19" s="1"/>
      <c r="T19" s="1">
        <f>SUM(OSRRefT22_0x_0)</f>
        <v>36909.32</v>
      </c>
      <c r="U19" s="1"/>
      <c r="V19" s="5">
        <f t="shared" si="5"/>
        <v>0</v>
      </c>
      <c r="W19" s="1"/>
      <c r="X19" s="1">
        <f t="shared" si="6"/>
        <v>311.68000000000029</v>
      </c>
      <c r="Y19" s="1"/>
      <c r="Z19" s="5">
        <f t="shared" si="7"/>
        <v>8.4444796056930959E-3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1548.72</v>
      </c>
      <c r="E20" s="2"/>
      <c r="F20" s="6">
        <f t="shared" si="0"/>
        <v>0</v>
      </c>
      <c r="G20" s="2"/>
      <c r="H20" s="7">
        <v>1823.88</v>
      </c>
      <c r="I20" s="2"/>
      <c r="J20" s="6">
        <f t="shared" si="1"/>
        <v>0</v>
      </c>
      <c r="K20" s="2"/>
      <c r="L20" s="7">
        <f t="shared" si="2"/>
        <v>-275.16000000000008</v>
      </c>
      <c r="M20" s="2"/>
      <c r="N20" s="6">
        <f t="shared" si="3"/>
        <v>-0.15086518849924341</v>
      </c>
      <c r="O20" s="11"/>
      <c r="P20" s="7">
        <v>4854.8</v>
      </c>
      <c r="Q20" s="2"/>
      <c r="R20" s="6">
        <f t="shared" si="4"/>
        <v>0</v>
      </c>
      <c r="S20" s="2"/>
      <c r="T20" s="7">
        <v>5554.85</v>
      </c>
      <c r="U20" s="2"/>
      <c r="V20" s="6">
        <f t="shared" si="5"/>
        <v>0</v>
      </c>
      <c r="W20" s="2"/>
      <c r="X20" s="7">
        <f t="shared" si="6"/>
        <v>-700.05000000000018</v>
      </c>
      <c r="Y20" s="2"/>
      <c r="Z20" s="6">
        <f t="shared" si="7"/>
        <v>-0.12602500517565735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71.3</v>
      </c>
      <c r="E21" s="2"/>
      <c r="F21" s="6">
        <f t="shared" si="0"/>
        <v>0</v>
      </c>
      <c r="G21" s="2"/>
      <c r="H21" s="7">
        <v>89.42</v>
      </c>
      <c r="I21" s="2"/>
      <c r="J21" s="6">
        <f t="shared" si="1"/>
        <v>0</v>
      </c>
      <c r="K21" s="2"/>
      <c r="L21" s="7">
        <f t="shared" si="2"/>
        <v>-18.120000000000005</v>
      </c>
      <c r="M21" s="2"/>
      <c r="N21" s="6">
        <f t="shared" si="3"/>
        <v>-0.20263923059718189</v>
      </c>
      <c r="O21" s="11"/>
      <c r="P21" s="7">
        <v>213.91</v>
      </c>
      <c r="Q21" s="2"/>
      <c r="R21" s="6">
        <f t="shared" si="4"/>
        <v>0</v>
      </c>
      <c r="S21" s="2"/>
      <c r="T21" s="7">
        <v>262.58999999999997</v>
      </c>
      <c r="U21" s="2"/>
      <c r="V21" s="6">
        <f t="shared" si="5"/>
        <v>0</v>
      </c>
      <c r="W21" s="2"/>
      <c r="X21" s="7">
        <f t="shared" si="6"/>
        <v>-48.679999999999978</v>
      </c>
      <c r="Y21" s="2"/>
      <c r="Z21" s="6">
        <f t="shared" si="7"/>
        <v>-0.18538405879888795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5567.87</v>
      </c>
      <c r="E22" s="2"/>
      <c r="F22" s="6">
        <f t="shared" si="0"/>
        <v>0</v>
      </c>
      <c r="G22" s="2"/>
      <c r="H22" s="7">
        <v>5268.48</v>
      </c>
      <c r="I22" s="2"/>
      <c r="J22" s="6">
        <f t="shared" si="1"/>
        <v>0</v>
      </c>
      <c r="K22" s="2"/>
      <c r="L22" s="7">
        <f t="shared" si="2"/>
        <v>299.39000000000033</v>
      </c>
      <c r="M22" s="2"/>
      <c r="N22" s="6">
        <f t="shared" si="3"/>
        <v>5.6826636904761973E-2</v>
      </c>
      <c r="O22" s="11"/>
      <c r="P22" s="7">
        <v>16703.609999999997</v>
      </c>
      <c r="Q22" s="2"/>
      <c r="R22" s="6">
        <f t="shared" si="4"/>
        <v>0</v>
      </c>
      <c r="S22" s="2"/>
      <c r="T22" s="7">
        <v>15170.34</v>
      </c>
      <c r="U22" s="2"/>
      <c r="V22" s="6">
        <f t="shared" si="5"/>
        <v>0</v>
      </c>
      <c r="W22" s="2"/>
      <c r="X22" s="7">
        <f t="shared" si="6"/>
        <v>1533.2699999999968</v>
      </c>
      <c r="Y22" s="2"/>
      <c r="Z22" s="6">
        <f t="shared" si="7"/>
        <v>0.10107024628320768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56.17</v>
      </c>
      <c r="E23" s="2"/>
      <c r="F23" s="6">
        <f t="shared" si="0"/>
        <v>0</v>
      </c>
      <c r="G23" s="2"/>
      <c r="H23" s="7">
        <v>68.38</v>
      </c>
      <c r="I23" s="2"/>
      <c r="J23" s="6">
        <f t="shared" si="1"/>
        <v>0</v>
      </c>
      <c r="K23" s="2"/>
      <c r="L23" s="7">
        <f t="shared" si="2"/>
        <v>-12.209999999999994</v>
      </c>
      <c r="M23" s="2"/>
      <c r="N23" s="6">
        <f t="shared" si="3"/>
        <v>-0.17856098274349216</v>
      </c>
      <c r="O23" s="11"/>
      <c r="P23" s="7">
        <v>168.53</v>
      </c>
      <c r="Q23" s="2"/>
      <c r="R23" s="6">
        <f t="shared" si="4"/>
        <v>0</v>
      </c>
      <c r="S23" s="2"/>
      <c r="T23" s="7">
        <v>200.8</v>
      </c>
      <c r="U23" s="2"/>
      <c r="V23" s="6">
        <f t="shared" si="5"/>
        <v>0</v>
      </c>
      <c r="W23" s="2"/>
      <c r="X23" s="7">
        <f t="shared" si="6"/>
        <v>-32.27000000000001</v>
      </c>
      <c r="Y23" s="2"/>
      <c r="Z23" s="6">
        <f t="shared" si="7"/>
        <v>-0.16070717131474108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1339.05</v>
      </c>
      <c r="I24" s="2"/>
      <c r="J24" s="6">
        <f t="shared" si="1"/>
        <v>0</v>
      </c>
      <c r="K24" s="2"/>
      <c r="L24" s="7">
        <f t="shared" si="2"/>
        <v>522.16000000000008</v>
      </c>
      <c r="M24" s="2"/>
      <c r="N24" s="6">
        <f t="shared" si="3"/>
        <v>0.38994809753183235</v>
      </c>
      <c r="O24" s="11"/>
      <c r="P24" s="7">
        <v>6514.23</v>
      </c>
      <c r="Q24" s="2"/>
      <c r="R24" s="6">
        <f t="shared" si="4"/>
        <v>0</v>
      </c>
      <c r="S24" s="2"/>
      <c r="T24" s="7">
        <v>4017.15</v>
      </c>
      <c r="U24" s="2"/>
      <c r="V24" s="6">
        <f t="shared" si="5"/>
        <v>0</v>
      </c>
      <c r="W24" s="2"/>
      <c r="X24" s="7">
        <f t="shared" si="6"/>
        <v>2497.0799999999995</v>
      </c>
      <c r="Y24" s="2"/>
      <c r="Z24" s="6">
        <f t="shared" si="7"/>
        <v>0.62160486912363233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7">
        <v>168.11</v>
      </c>
      <c r="E25" s="2"/>
      <c r="F25" s="6">
        <f t="shared" si="0"/>
        <v>0</v>
      </c>
      <c r="G25" s="2"/>
      <c r="H25" s="7">
        <v>576.28</v>
      </c>
      <c r="I25" s="2"/>
      <c r="J25" s="6">
        <f t="shared" si="1"/>
        <v>0</v>
      </c>
      <c r="K25" s="2"/>
      <c r="L25" s="7">
        <f t="shared" si="2"/>
        <v>-408.16999999999996</v>
      </c>
      <c r="M25" s="2"/>
      <c r="N25" s="6">
        <f t="shared" si="3"/>
        <v>-0.70828416741861588</v>
      </c>
      <c r="O25" s="11"/>
      <c r="P25" s="7">
        <v>587.16</v>
      </c>
      <c r="Q25" s="2"/>
      <c r="R25" s="6">
        <f t="shared" si="4"/>
        <v>0</v>
      </c>
      <c r="S25" s="2"/>
      <c r="T25" s="7">
        <v>1135.94</v>
      </c>
      <c r="U25" s="2"/>
      <c r="V25" s="6">
        <f t="shared" si="5"/>
        <v>0</v>
      </c>
      <c r="W25" s="2"/>
      <c r="X25" s="7">
        <f t="shared" si="6"/>
        <v>-548.78000000000009</v>
      </c>
      <c r="Y25" s="2"/>
      <c r="Z25" s="6">
        <f t="shared" si="7"/>
        <v>-0.48310650210398443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1474.64</v>
      </c>
      <c r="E26" s="2"/>
      <c r="F26" s="6">
        <f t="shared" si="0"/>
        <v>0</v>
      </c>
      <c r="G26" s="2"/>
      <c r="H26" s="7">
        <v>1408.62</v>
      </c>
      <c r="I26" s="2"/>
      <c r="J26" s="6">
        <f t="shared" si="1"/>
        <v>0</v>
      </c>
      <c r="K26" s="2"/>
      <c r="L26" s="7">
        <f t="shared" si="2"/>
        <v>66.020000000000209</v>
      </c>
      <c r="M26" s="2"/>
      <c r="N26" s="6">
        <f t="shared" si="3"/>
        <v>4.6868566398319073E-2</v>
      </c>
      <c r="O26" s="11"/>
      <c r="P26" s="7">
        <v>4423.92</v>
      </c>
      <c r="Q26" s="2"/>
      <c r="R26" s="6">
        <f t="shared" si="4"/>
        <v>0</v>
      </c>
      <c r="S26" s="2"/>
      <c r="T26" s="7">
        <v>5240.63</v>
      </c>
      <c r="U26" s="2"/>
      <c r="V26" s="6">
        <f t="shared" si="5"/>
        <v>0</v>
      </c>
      <c r="W26" s="2"/>
      <c r="X26" s="7">
        <f t="shared" si="6"/>
        <v>-816.71</v>
      </c>
      <c r="Y26" s="2"/>
      <c r="Z26" s="6">
        <f t="shared" si="7"/>
        <v>-0.15584195029986853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999.04</v>
      </c>
      <c r="E27" s="2"/>
      <c r="F27" s="6">
        <f t="shared" si="0"/>
        <v>0</v>
      </c>
      <c r="G27" s="2"/>
      <c r="H27" s="7">
        <v>941.7</v>
      </c>
      <c r="I27" s="2"/>
      <c r="J27" s="6">
        <f t="shared" si="1"/>
        <v>0</v>
      </c>
      <c r="K27" s="2"/>
      <c r="L27" s="7">
        <f t="shared" si="2"/>
        <v>57.339999999999918</v>
      </c>
      <c r="M27" s="2"/>
      <c r="N27" s="6">
        <f t="shared" si="3"/>
        <v>6.0889880004247547E-2</v>
      </c>
      <c r="O27" s="11"/>
      <c r="P27" s="7">
        <v>2997.12</v>
      </c>
      <c r="Q27" s="2"/>
      <c r="R27" s="6">
        <f t="shared" si="4"/>
        <v>0</v>
      </c>
      <c r="S27" s="2"/>
      <c r="T27" s="7">
        <v>3510.71</v>
      </c>
      <c r="U27" s="2"/>
      <c r="V27" s="6">
        <f t="shared" si="5"/>
        <v>0</v>
      </c>
      <c r="W27" s="2"/>
      <c r="X27" s="7">
        <f t="shared" si="6"/>
        <v>-513.59000000000015</v>
      </c>
      <c r="Y27" s="2"/>
      <c r="Z27" s="6">
        <f t="shared" si="7"/>
        <v>-0.14629234542300565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339.27</v>
      </c>
      <c r="E28" s="2"/>
      <c r="F28" s="6">
        <f t="shared" si="0"/>
        <v>0</v>
      </c>
      <c r="G28" s="2"/>
      <c r="H28" s="7">
        <v>688.32</v>
      </c>
      <c r="I28" s="2"/>
      <c r="J28" s="6">
        <f t="shared" si="1"/>
        <v>0</v>
      </c>
      <c r="K28" s="2"/>
      <c r="L28" s="7">
        <f t="shared" si="2"/>
        <v>-349.05000000000007</v>
      </c>
      <c r="M28" s="2"/>
      <c r="N28" s="6">
        <f t="shared" si="3"/>
        <v>-0.50710425383542546</v>
      </c>
      <c r="O28" s="11"/>
      <c r="P28" s="7">
        <v>757.72</v>
      </c>
      <c r="Q28" s="2"/>
      <c r="R28" s="6">
        <f t="shared" si="4"/>
        <v>0</v>
      </c>
      <c r="S28" s="2"/>
      <c r="T28" s="7">
        <v>1816.31</v>
      </c>
      <c r="U28" s="2"/>
      <c r="V28" s="6">
        <f t="shared" si="5"/>
        <v>0</v>
      </c>
      <c r="W28" s="2"/>
      <c r="X28" s="7">
        <f t="shared" si="6"/>
        <v>-1058.5899999999999</v>
      </c>
      <c r="Y28" s="2"/>
      <c r="Z28" s="6">
        <f t="shared" si="7"/>
        <v>-0.58282451784111744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19965.490000000002</v>
      </c>
      <c r="E29" s="1"/>
      <c r="F29" s="5">
        <f t="shared" ref="F29:F34" si="8">IF(D$12=0,0,D29/D$12)</f>
        <v>0</v>
      </c>
      <c r="G29" s="1"/>
      <c r="H29" s="1">
        <f>SUM(OSRRefH22_1x_0)</f>
        <v>25237.439999999999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-5271.9499999999971</v>
      </c>
      <c r="M29" s="1"/>
      <c r="N29" s="5">
        <f t="shared" ref="N29:N34" si="11">IF(H29=0,0,L29/H29)</f>
        <v>-0.20889400826708246</v>
      </c>
      <c r="O29" s="14"/>
      <c r="P29" s="1">
        <f>SUM(OSRRefP22_1x_0)</f>
        <v>64794.749999999993</v>
      </c>
      <c r="Q29" s="1"/>
      <c r="R29" s="5">
        <f t="shared" ref="R29:R34" si="12">IF(P$12=0,0,P29/P$12)</f>
        <v>0</v>
      </c>
      <c r="S29" s="1"/>
      <c r="T29" s="1">
        <f>SUM(OSRRefT22_1x_0)</f>
        <v>78219.34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-13424.590000000004</v>
      </c>
      <c r="Y29" s="1"/>
      <c r="Z29" s="5">
        <f t="shared" ref="Z29:Z34" si="15">IF(T29=0,0,X29/T29)</f>
        <v>-0.17162750286565961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>
        <v>17443.390000000003</v>
      </c>
      <c r="E30" s="2"/>
      <c r="F30" s="6">
        <f t="shared" si="8"/>
        <v>0</v>
      </c>
      <c r="G30" s="2"/>
      <c r="H30" s="7">
        <v>12087.98</v>
      </c>
      <c r="I30" s="2"/>
      <c r="J30" s="6">
        <f t="shared" si="9"/>
        <v>0</v>
      </c>
      <c r="K30" s="2"/>
      <c r="L30" s="7">
        <f t="shared" si="10"/>
        <v>5355.4100000000035</v>
      </c>
      <c r="M30" s="2"/>
      <c r="N30" s="6">
        <f t="shared" si="11"/>
        <v>0.44303597457970678</v>
      </c>
      <c r="O30" s="11"/>
      <c r="P30" s="7">
        <v>56243.859999999993</v>
      </c>
      <c r="Q30" s="2"/>
      <c r="R30" s="6">
        <f t="shared" si="12"/>
        <v>0</v>
      </c>
      <c r="S30" s="2"/>
      <c r="T30" s="7">
        <v>37101.199999999997</v>
      </c>
      <c r="U30" s="2"/>
      <c r="V30" s="6">
        <f t="shared" si="13"/>
        <v>0</v>
      </c>
      <c r="W30" s="2"/>
      <c r="X30" s="7">
        <f t="shared" si="14"/>
        <v>19142.659999999996</v>
      </c>
      <c r="Y30" s="2"/>
      <c r="Z30" s="6">
        <f t="shared" si="15"/>
        <v>0.51595797440514046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7">
        <v>1682.1</v>
      </c>
      <c r="E31" s="2"/>
      <c r="F31" s="6">
        <f t="shared" si="8"/>
        <v>0</v>
      </c>
      <c r="G31" s="2"/>
      <c r="H31" s="7">
        <v>7570.46</v>
      </c>
      <c r="I31" s="2"/>
      <c r="J31" s="6">
        <f t="shared" si="9"/>
        <v>0</v>
      </c>
      <c r="K31" s="2"/>
      <c r="L31" s="7">
        <f t="shared" si="10"/>
        <v>-5888.3600000000006</v>
      </c>
      <c r="M31" s="2"/>
      <c r="N31" s="6">
        <f t="shared" si="11"/>
        <v>-0.77780742517627732</v>
      </c>
      <c r="O31" s="11"/>
      <c r="P31" s="7">
        <v>7710.89</v>
      </c>
      <c r="Q31" s="2"/>
      <c r="R31" s="6">
        <f t="shared" si="12"/>
        <v>0</v>
      </c>
      <c r="S31" s="2"/>
      <c r="T31" s="7">
        <v>21314.14</v>
      </c>
      <c r="U31" s="2"/>
      <c r="V31" s="6">
        <f t="shared" si="13"/>
        <v>0</v>
      </c>
      <c r="W31" s="2"/>
      <c r="X31" s="7">
        <f t="shared" si="14"/>
        <v>-13603.25</v>
      </c>
      <c r="Y31" s="2"/>
      <c r="Z31" s="6">
        <f t="shared" si="15"/>
        <v>-0.63822654819758151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8"/>
        <v>0</v>
      </c>
      <c r="G32" s="2"/>
      <c r="H32" s="7">
        <v>2774.75</v>
      </c>
      <c r="I32" s="2"/>
      <c r="J32" s="6">
        <f t="shared" si="9"/>
        <v>0</v>
      </c>
      <c r="K32" s="2"/>
      <c r="L32" s="7">
        <f t="shared" si="10"/>
        <v>-2774.75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6611.25</v>
      </c>
      <c r="U32" s="2"/>
      <c r="V32" s="6">
        <f t="shared" si="13"/>
        <v>0</v>
      </c>
      <c r="W32" s="2"/>
      <c r="X32" s="7">
        <f t="shared" si="14"/>
        <v>-6611.25</v>
      </c>
      <c r="Y32" s="2"/>
      <c r="Z32" s="6">
        <f t="shared" si="15"/>
        <v>-1</v>
      </c>
    </row>
    <row r="33" spans="1:26" s="24" customFormat="1" hidden="1" outlineLevel="2" x14ac:dyDescent="0.25">
      <c r="A33" s="28"/>
      <c r="B33" s="11" t="str">
        <f>CONCATENATE("          ", "6007", " - ", "STUDENT HOURLY")</f>
        <v xml:space="preserve">          6007 - STUDENT HOURLY</v>
      </c>
      <c r="C33" s="11"/>
      <c r="D33" s="7">
        <v>840</v>
      </c>
      <c r="E33" s="2"/>
      <c r="F33" s="6">
        <f t="shared" si="8"/>
        <v>0</v>
      </c>
      <c r="G33" s="2"/>
      <c r="H33" s="7">
        <v>2804.25</v>
      </c>
      <c r="I33" s="2"/>
      <c r="J33" s="6">
        <f t="shared" si="9"/>
        <v>0</v>
      </c>
      <c r="K33" s="2"/>
      <c r="L33" s="7">
        <f t="shared" si="10"/>
        <v>-1964.25</v>
      </c>
      <c r="M33" s="2"/>
      <c r="N33" s="6">
        <f t="shared" si="11"/>
        <v>-0.70045466702326831</v>
      </c>
      <c r="O33" s="11"/>
      <c r="P33" s="7">
        <v>840</v>
      </c>
      <c r="Q33" s="2"/>
      <c r="R33" s="6">
        <f t="shared" si="12"/>
        <v>0</v>
      </c>
      <c r="S33" s="2"/>
      <c r="T33" s="7">
        <v>10672.75</v>
      </c>
      <c r="U33" s="2"/>
      <c r="V33" s="6">
        <f t="shared" si="13"/>
        <v>0</v>
      </c>
      <c r="W33" s="2"/>
      <c r="X33" s="7">
        <f t="shared" si="14"/>
        <v>-9832.75</v>
      </c>
      <c r="Y33" s="2"/>
      <c r="Z33" s="6">
        <f t="shared" si="15"/>
        <v>-0.92129488651003721</v>
      </c>
    </row>
    <row r="34" spans="1:26" s="24" customFormat="1" hidden="1" outlineLevel="2" x14ac:dyDescent="0.25">
      <c r="A34" s="28"/>
      <c r="B34" s="11" t="str">
        <f>CONCATENATE("          ", "6008", " - ", "STUDENT HOURLY-FICA EXEMPT")</f>
        <v xml:space="preserve">          6008 - STUDENT HOURLY-FICA EXEMPT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2520</v>
      </c>
      <c r="U34" s="2"/>
      <c r="V34" s="6">
        <f t="shared" si="13"/>
        <v>0</v>
      </c>
      <c r="W34" s="2"/>
      <c r="X34" s="7">
        <f t="shared" si="14"/>
        <v>-2520</v>
      </c>
      <c r="Y34" s="2"/>
      <c r="Z34" s="6">
        <f t="shared" si="15"/>
        <v>-1</v>
      </c>
    </row>
    <row r="35" spans="1:26" s="27" customFormat="1" outlineLevel="1" collapsed="1" x14ac:dyDescent="0.25">
      <c r="A35" s="29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0</v>
      </c>
      <c r="E35" s="1"/>
      <c r="F35" s="5">
        <f t="shared" ref="F35:F44" si="16">IF(D$12=0,0,D35/D$12)</f>
        <v>0</v>
      </c>
      <c r="G35" s="1"/>
      <c r="H35" s="1">
        <f>SUM(OSRRefH22_2x_0)</f>
        <v>9.99</v>
      </c>
      <c r="I35" s="1"/>
      <c r="J35" s="5">
        <f t="shared" ref="J35:J44" si="17">IF(H$12=0,0,H35/H$12)</f>
        <v>0</v>
      </c>
      <c r="K35" s="1"/>
      <c r="L35" s="1">
        <f t="shared" ref="L35:L44" si="18">+D35-H35</f>
        <v>-9.99</v>
      </c>
      <c r="M35" s="1"/>
      <c r="N35" s="5">
        <f t="shared" ref="N35:N44" si="19">IF(H35=0,0,L35/H35)</f>
        <v>-1</v>
      </c>
      <c r="O35" s="14"/>
      <c r="P35" s="1">
        <f>SUM(OSRRefP22_2x_0)</f>
        <v>0</v>
      </c>
      <c r="Q35" s="1"/>
      <c r="R35" s="5">
        <f t="shared" ref="R35:R44" si="20">IF(P$12=0,0,P35/P$12)</f>
        <v>0</v>
      </c>
      <c r="S35" s="1"/>
      <c r="T35" s="1">
        <f>SUM(OSRRefT22_2x_0)</f>
        <v>9.99</v>
      </c>
      <c r="U35" s="1"/>
      <c r="V35" s="5">
        <f t="shared" ref="V35:V44" si="21">IF(T$12=0,0,T35/T$12)</f>
        <v>0</v>
      </c>
      <c r="W35" s="1"/>
      <c r="X35" s="1">
        <f t="shared" ref="X35:X44" si="22">+P35-T35</f>
        <v>-9.99</v>
      </c>
      <c r="Y35" s="1"/>
      <c r="Z35" s="5">
        <f t="shared" ref="Z35:Z44" si="23">IF(T35=0,0,X35/T35)</f>
        <v>-1</v>
      </c>
    </row>
    <row r="36" spans="1:26" s="24" customFormat="1" hidden="1" outlineLevel="2" x14ac:dyDescent="0.25">
      <c r="A36" s="28"/>
      <c r="B36" s="11" t="str">
        <f>CONCATENATE("          ", "6362", " - ", "ADVERTISING EXPENSE")</f>
        <v xml:space="preserve">          6362 - ADVERTISING EXPENSE</v>
      </c>
      <c r="C36" s="11"/>
      <c r="D36" s="7"/>
      <c r="E36" s="2"/>
      <c r="F36" s="6">
        <f t="shared" si="16"/>
        <v>0</v>
      </c>
      <c r="G36" s="2"/>
      <c r="H36" s="7">
        <v>9.99</v>
      </c>
      <c r="I36" s="2"/>
      <c r="J36" s="6">
        <f t="shared" si="17"/>
        <v>0</v>
      </c>
      <c r="K36" s="2"/>
      <c r="L36" s="7">
        <f t="shared" si="18"/>
        <v>-9.99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9.99</v>
      </c>
      <c r="U36" s="2"/>
      <c r="V36" s="6">
        <f t="shared" si="21"/>
        <v>0</v>
      </c>
      <c r="W36" s="2"/>
      <c r="X36" s="7">
        <f t="shared" si="22"/>
        <v>-9.99</v>
      </c>
      <c r="Y36" s="2"/>
      <c r="Z36" s="6">
        <f t="shared" si="23"/>
        <v>-1</v>
      </c>
    </row>
    <row r="37" spans="1:26" s="27" customFormat="1" outlineLevel="1" collapsed="1" x14ac:dyDescent="0.25">
      <c r="A37" s="29"/>
      <c r="B37" s="14" t="str">
        <f>CONCATENATE("     ","Depreciation                                      ")</f>
        <v xml:space="preserve">     Depreciation                                      </v>
      </c>
      <c r="C37" s="14"/>
      <c r="D37" s="1">
        <f>SUM(OSRRefD22_3x_0)</f>
        <v>5462.13</v>
      </c>
      <c r="E37" s="1"/>
      <c r="F37" s="5">
        <f t="shared" si="16"/>
        <v>0</v>
      </c>
      <c r="G37" s="1"/>
      <c r="H37" s="1">
        <f>SUM(OSRRefH22_3x_0)</f>
        <v>6175.97</v>
      </c>
      <c r="I37" s="1"/>
      <c r="J37" s="5">
        <f t="shared" si="17"/>
        <v>0</v>
      </c>
      <c r="K37" s="1"/>
      <c r="L37" s="1">
        <f t="shared" si="18"/>
        <v>-713.84000000000015</v>
      </c>
      <c r="M37" s="1"/>
      <c r="N37" s="5">
        <f t="shared" si="19"/>
        <v>-0.1155834630025729</v>
      </c>
      <c r="O37" s="14"/>
      <c r="P37" s="1">
        <f>SUM(OSRRefP22_3x_0)</f>
        <v>16386.41</v>
      </c>
      <c r="Q37" s="1"/>
      <c r="R37" s="5">
        <f t="shared" si="20"/>
        <v>0</v>
      </c>
      <c r="S37" s="1"/>
      <c r="T37" s="1">
        <f>SUM(OSRRefT22_3x_0)</f>
        <v>18527.91</v>
      </c>
      <c r="U37" s="1"/>
      <c r="V37" s="5">
        <f t="shared" si="21"/>
        <v>0</v>
      </c>
      <c r="W37" s="1"/>
      <c r="X37" s="1">
        <f t="shared" si="22"/>
        <v>-2141.5</v>
      </c>
      <c r="Y37" s="1"/>
      <c r="Z37" s="5">
        <f t="shared" si="23"/>
        <v>-0.11558238355000645</v>
      </c>
    </row>
    <row r="38" spans="1:26" s="24" customFormat="1" hidden="1" outlineLevel="2" x14ac:dyDescent="0.25">
      <c r="A38" s="28"/>
      <c r="B38" s="11" t="str">
        <f>CONCATENATE("          ", "6322", " - ", "EQUIPMENT DEPRECIATION EXPENSE")</f>
        <v xml:space="preserve">          6322 - EQUIPMENT DEPRECIATION EXPENSE</v>
      </c>
      <c r="C38" s="11"/>
      <c r="D38" s="7">
        <v>5462.13</v>
      </c>
      <c r="E38" s="2"/>
      <c r="F38" s="6">
        <f t="shared" si="16"/>
        <v>0</v>
      </c>
      <c r="G38" s="2"/>
      <c r="H38" s="7">
        <v>6175.97</v>
      </c>
      <c r="I38" s="2"/>
      <c r="J38" s="6">
        <f t="shared" si="17"/>
        <v>0</v>
      </c>
      <c r="K38" s="2"/>
      <c r="L38" s="7">
        <f t="shared" si="18"/>
        <v>-713.84000000000015</v>
      </c>
      <c r="M38" s="2"/>
      <c r="N38" s="6">
        <f t="shared" si="19"/>
        <v>-0.1155834630025729</v>
      </c>
      <c r="O38" s="11"/>
      <c r="P38" s="7">
        <v>16386.41</v>
      </c>
      <c r="Q38" s="2"/>
      <c r="R38" s="6">
        <f t="shared" si="20"/>
        <v>0</v>
      </c>
      <c r="S38" s="2"/>
      <c r="T38" s="7">
        <v>18527.91</v>
      </c>
      <c r="U38" s="2"/>
      <c r="V38" s="6">
        <f t="shared" si="21"/>
        <v>0</v>
      </c>
      <c r="W38" s="2"/>
      <c r="X38" s="7">
        <f t="shared" si="22"/>
        <v>-2141.5</v>
      </c>
      <c r="Y38" s="2"/>
      <c r="Z38" s="6">
        <f t="shared" si="23"/>
        <v>-0.11558238355000645</v>
      </c>
    </row>
    <row r="39" spans="1:26" s="27" customFormat="1" outlineLevel="1" collapsed="1" x14ac:dyDescent="0.25">
      <c r="A39" s="29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SUM(OSRRefD22_4x_0)</f>
        <v>56.34</v>
      </c>
      <c r="E39" s="1"/>
      <c r="F39" s="5">
        <f t="shared" si="16"/>
        <v>0</v>
      </c>
      <c r="G39" s="1"/>
      <c r="H39" s="1">
        <f>SUM(OSRRefH22_4x_0)</f>
        <v>56.34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SUM(OSRRefP22_4x_0)</f>
        <v>169.02</v>
      </c>
      <c r="Q39" s="1"/>
      <c r="R39" s="5">
        <f t="shared" si="20"/>
        <v>0</v>
      </c>
      <c r="S39" s="1"/>
      <c r="T39" s="1">
        <f>SUM(OSRRefT22_4x_0)</f>
        <v>169.02</v>
      </c>
      <c r="U39" s="1"/>
      <c r="V39" s="5">
        <f t="shared" si="21"/>
        <v>0</v>
      </c>
      <c r="W39" s="1"/>
      <c r="X39" s="1">
        <f t="shared" si="22"/>
        <v>0</v>
      </c>
      <c r="Y39" s="1"/>
      <c r="Z39" s="5">
        <f t="shared" si="23"/>
        <v>0</v>
      </c>
    </row>
    <row r="40" spans="1:26" s="24" customFormat="1" hidden="1" outlineLevel="2" x14ac:dyDescent="0.25">
      <c r="A40" s="28"/>
      <c r="B40" s="11" t="str">
        <f>CONCATENATE("          ", "6314", " - ", "LIABILITY INSURANCE")</f>
        <v xml:space="preserve">          6314 - LIABILITY INSURANCE</v>
      </c>
      <c r="C40" s="11"/>
      <c r="D40" s="7">
        <v>56.34</v>
      </c>
      <c r="E40" s="2"/>
      <c r="F40" s="6">
        <f t="shared" si="16"/>
        <v>0</v>
      </c>
      <c r="G40" s="2"/>
      <c r="H40" s="7">
        <v>56.34</v>
      </c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>
        <v>169.02</v>
      </c>
      <c r="Q40" s="2"/>
      <c r="R40" s="6">
        <f t="shared" si="20"/>
        <v>0</v>
      </c>
      <c r="S40" s="2"/>
      <c r="T40" s="7">
        <v>169.02</v>
      </c>
      <c r="U40" s="2"/>
      <c r="V40" s="6">
        <f t="shared" si="21"/>
        <v>0</v>
      </c>
      <c r="W40" s="2"/>
      <c r="X40" s="7">
        <f t="shared" si="22"/>
        <v>0</v>
      </c>
      <c r="Y40" s="2"/>
      <c r="Z40" s="6">
        <f t="shared" si="23"/>
        <v>0</v>
      </c>
    </row>
    <row r="41" spans="1:26" s="27" customFormat="1" outlineLevel="1" collapsed="1" x14ac:dyDescent="0.25">
      <c r="A41" s="29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SUM(OSRRefD22_5x_0)</f>
        <v>10192</v>
      </c>
      <c r="E41" s="1"/>
      <c r="F41" s="5">
        <f t="shared" si="16"/>
        <v>0</v>
      </c>
      <c r="G41" s="1"/>
      <c r="H41" s="1">
        <f>SUM(OSRRefH22_5x_0)</f>
        <v>9551.630000000001</v>
      </c>
      <c r="I41" s="1"/>
      <c r="J41" s="5">
        <f t="shared" si="17"/>
        <v>0</v>
      </c>
      <c r="K41" s="1"/>
      <c r="L41" s="1">
        <f t="shared" si="18"/>
        <v>640.36999999999898</v>
      </c>
      <c r="M41" s="1"/>
      <c r="N41" s="5">
        <f t="shared" si="19"/>
        <v>6.7043007319169498E-2</v>
      </c>
      <c r="O41" s="14"/>
      <c r="P41" s="1">
        <f>SUM(OSRRefP22_5x_0)</f>
        <v>34176</v>
      </c>
      <c r="Q41" s="1"/>
      <c r="R41" s="5">
        <f t="shared" si="20"/>
        <v>0</v>
      </c>
      <c r="S41" s="1"/>
      <c r="T41" s="1">
        <f>SUM(OSRRefT22_5x_0)</f>
        <v>28688.36</v>
      </c>
      <c r="U41" s="1"/>
      <c r="V41" s="5">
        <f t="shared" si="21"/>
        <v>0</v>
      </c>
      <c r="W41" s="1"/>
      <c r="X41" s="1">
        <f t="shared" si="22"/>
        <v>5487.6399999999994</v>
      </c>
      <c r="Y41" s="1"/>
      <c r="Z41" s="5">
        <f t="shared" si="23"/>
        <v>0.19128454885535456</v>
      </c>
    </row>
    <row r="42" spans="1:26" s="24" customFormat="1" hidden="1" outlineLevel="2" x14ac:dyDescent="0.25">
      <c r="A42" s="28"/>
      <c r="B42" s="11" t="str">
        <f>CONCATENATE("          ", "6371", " - ", "COMPUTER SOFTWARE MAINTENANCE")</f>
        <v xml:space="preserve">          6371 - COMPUTER SOFTWARE MAINTENANCE</v>
      </c>
      <c r="C42" s="11"/>
      <c r="D42" s="7"/>
      <c r="E42" s="2"/>
      <c r="F42" s="6">
        <f t="shared" si="16"/>
        <v>0</v>
      </c>
      <c r="G42" s="2"/>
      <c r="H42" s="7">
        <v>90.95</v>
      </c>
      <c r="I42" s="2"/>
      <c r="J42" s="6">
        <f t="shared" si="17"/>
        <v>0</v>
      </c>
      <c r="K42" s="2"/>
      <c r="L42" s="7">
        <f t="shared" si="18"/>
        <v>-90.95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272.85000000000002</v>
      </c>
      <c r="U42" s="2"/>
      <c r="V42" s="6">
        <f t="shared" si="21"/>
        <v>0</v>
      </c>
      <c r="W42" s="2"/>
      <c r="X42" s="7">
        <f t="shared" si="22"/>
        <v>-272.85000000000002</v>
      </c>
      <c r="Y42" s="2"/>
      <c r="Z42" s="6">
        <f t="shared" si="23"/>
        <v>-1</v>
      </c>
    </row>
    <row r="43" spans="1:26" s="24" customFormat="1" hidden="1" outlineLevel="2" x14ac:dyDescent="0.25">
      <c r="A43" s="28"/>
      <c r="B43" s="11" t="str">
        <f>CONCATENATE("          ", "6373", " - ", "MAINTENANCE CONTRACTS")</f>
        <v xml:space="preserve">          6373 - MAINTENANCE CONTRACTS</v>
      </c>
      <c r="C43" s="11"/>
      <c r="D43" s="7">
        <v>10192</v>
      </c>
      <c r="E43" s="2"/>
      <c r="F43" s="6">
        <f t="shared" si="16"/>
        <v>0</v>
      </c>
      <c r="G43" s="2"/>
      <c r="H43" s="7">
        <v>9407</v>
      </c>
      <c r="I43" s="2"/>
      <c r="J43" s="6">
        <f t="shared" si="17"/>
        <v>0</v>
      </c>
      <c r="K43" s="2"/>
      <c r="L43" s="7">
        <f t="shared" si="18"/>
        <v>785</v>
      </c>
      <c r="M43" s="2"/>
      <c r="N43" s="6">
        <f t="shared" si="19"/>
        <v>8.3448495800999251E-2</v>
      </c>
      <c r="O43" s="11"/>
      <c r="P43" s="7">
        <v>34176</v>
      </c>
      <c r="Q43" s="2"/>
      <c r="R43" s="6">
        <f t="shared" si="20"/>
        <v>0</v>
      </c>
      <c r="S43" s="2"/>
      <c r="T43" s="7">
        <v>28330.15</v>
      </c>
      <c r="U43" s="2"/>
      <c r="V43" s="6">
        <f t="shared" si="21"/>
        <v>0</v>
      </c>
      <c r="W43" s="2"/>
      <c r="X43" s="7">
        <f t="shared" si="22"/>
        <v>5845.8499999999985</v>
      </c>
      <c r="Y43" s="2"/>
      <c r="Z43" s="6">
        <f t="shared" si="23"/>
        <v>0.20634730137327187</v>
      </c>
    </row>
    <row r="44" spans="1:26" s="24" customFormat="1" hidden="1" outlineLevel="2" x14ac:dyDescent="0.25">
      <c r="A44" s="28"/>
      <c r="B44" s="11" t="str">
        <f>CONCATENATE("          ", "6375", " - ", "OUTSIDE REPAIRS &amp; MAINTENANCE")</f>
        <v xml:space="preserve">          6375 - OUTSIDE REPAIRS &amp; MAINTENANCE</v>
      </c>
      <c r="C44" s="11"/>
      <c r="D44" s="7"/>
      <c r="E44" s="2"/>
      <c r="F44" s="6">
        <f t="shared" si="16"/>
        <v>0</v>
      </c>
      <c r="G44" s="2"/>
      <c r="H44" s="7">
        <v>53.68</v>
      </c>
      <c r="I44" s="2"/>
      <c r="J44" s="6">
        <f t="shared" si="17"/>
        <v>0</v>
      </c>
      <c r="K44" s="2"/>
      <c r="L44" s="7">
        <f t="shared" si="18"/>
        <v>-53.68</v>
      </c>
      <c r="M44" s="2"/>
      <c r="N44" s="6">
        <f t="shared" si="19"/>
        <v>-1</v>
      </c>
      <c r="O44" s="11"/>
      <c r="P44" s="7"/>
      <c r="Q44" s="2"/>
      <c r="R44" s="6">
        <f t="shared" si="20"/>
        <v>0</v>
      </c>
      <c r="S44" s="2"/>
      <c r="T44" s="7">
        <v>85.36</v>
      </c>
      <c r="U44" s="2"/>
      <c r="V44" s="6">
        <f t="shared" si="21"/>
        <v>0</v>
      </c>
      <c r="W44" s="2"/>
      <c r="X44" s="7">
        <f t="shared" si="22"/>
        <v>-85.36</v>
      </c>
      <c r="Y44" s="2"/>
      <c r="Z44" s="6">
        <f t="shared" si="23"/>
        <v>-1</v>
      </c>
    </row>
    <row r="45" spans="1:26" s="27" customFormat="1" outlineLevel="1" collapsed="1" x14ac:dyDescent="0.25">
      <c r="A45" s="29"/>
      <c r="B45" s="14" t="str">
        <f>CONCATENATE("     ","Supplies                                          ")</f>
        <v xml:space="preserve">     Supplies                                          </v>
      </c>
      <c r="C45" s="14"/>
      <c r="D45" s="1">
        <f>SUM(OSRRefD22_6x_0)</f>
        <v>-4457.97</v>
      </c>
      <c r="E45" s="1"/>
      <c r="F45" s="5">
        <f t="shared" ref="F45:F49" si="24">IF(D$12=0,0,D45/D$12)</f>
        <v>0</v>
      </c>
      <c r="G45" s="1"/>
      <c r="H45" s="1">
        <f>SUM(OSRRefH22_6x_0)</f>
        <v>3475.86</v>
      </c>
      <c r="I45" s="1"/>
      <c r="J45" s="5">
        <f t="shared" ref="J45:J49" si="25">IF(H$12=0,0,H45/H$12)</f>
        <v>0</v>
      </c>
      <c r="K45" s="1"/>
      <c r="L45" s="1">
        <f t="shared" ref="L45:L49" si="26">+D45-H45</f>
        <v>-7933.83</v>
      </c>
      <c r="M45" s="1"/>
      <c r="N45" s="5">
        <f t="shared" ref="N45:N49" si="27">IF(H45=0,0,L45/H45)</f>
        <v>-2.2825516562807477</v>
      </c>
      <c r="O45" s="14"/>
      <c r="P45" s="1">
        <f>SUM(OSRRefP22_6x_0)</f>
        <v>-4502.05</v>
      </c>
      <c r="Q45" s="1"/>
      <c r="R45" s="5">
        <f t="shared" ref="R45:R49" si="28">IF(P$12=0,0,P45/P$12)</f>
        <v>0</v>
      </c>
      <c r="S45" s="1"/>
      <c r="T45" s="1">
        <f>SUM(OSRRefT22_6x_0)</f>
        <v>13542.64</v>
      </c>
      <c r="U45" s="1"/>
      <c r="V45" s="5">
        <f t="shared" ref="V45:V49" si="29">IF(T$12=0,0,T45/T$12)</f>
        <v>0</v>
      </c>
      <c r="W45" s="1"/>
      <c r="X45" s="1">
        <f t="shared" ref="X45:X49" si="30">+P45-T45</f>
        <v>-18044.689999999999</v>
      </c>
      <c r="Y45" s="1"/>
      <c r="Z45" s="5">
        <f t="shared" ref="Z45:Z49" si="31">IF(T45=0,0,X45/T45)</f>
        <v>-1.332435182505036</v>
      </c>
    </row>
    <row r="46" spans="1:26" s="24" customFormat="1" hidden="1" outlineLevel="2" x14ac:dyDescent="0.25">
      <c r="A46" s="28"/>
      <c r="B46" s="11" t="str">
        <f>CONCATENATE("          ", "6241", " - ", "OFFICE EXPENSE")</f>
        <v xml:space="preserve">          6241 - OFFICE EXPENSE</v>
      </c>
      <c r="C46" s="11"/>
      <c r="D46" s="7">
        <v>-4457.97</v>
      </c>
      <c r="E46" s="2"/>
      <c r="F46" s="6">
        <f t="shared" si="24"/>
        <v>0</v>
      </c>
      <c r="G46" s="2"/>
      <c r="H46" s="7">
        <v>3475.86</v>
      </c>
      <c r="I46" s="2"/>
      <c r="J46" s="6">
        <f t="shared" si="25"/>
        <v>0</v>
      </c>
      <c r="K46" s="2"/>
      <c r="L46" s="7">
        <f t="shared" si="26"/>
        <v>-7933.83</v>
      </c>
      <c r="M46" s="2"/>
      <c r="N46" s="6">
        <f t="shared" si="27"/>
        <v>-2.2825516562807477</v>
      </c>
      <c r="O46" s="11"/>
      <c r="P46" s="7">
        <v>-4502.05</v>
      </c>
      <c r="Q46" s="2"/>
      <c r="R46" s="6">
        <f t="shared" si="28"/>
        <v>0</v>
      </c>
      <c r="S46" s="2"/>
      <c r="T46" s="7">
        <v>13542.64</v>
      </c>
      <c r="U46" s="2"/>
      <c r="V46" s="6">
        <f t="shared" si="29"/>
        <v>0</v>
      </c>
      <c r="W46" s="2"/>
      <c r="X46" s="7">
        <f t="shared" si="30"/>
        <v>-18044.689999999999</v>
      </c>
      <c r="Y46" s="2"/>
      <c r="Z46" s="6">
        <f t="shared" si="31"/>
        <v>-1.332435182505036</v>
      </c>
    </row>
    <row r="47" spans="1:26" s="27" customFormat="1" outlineLevel="1" collapsed="1" x14ac:dyDescent="0.25">
      <c r="A47" s="29"/>
      <c r="B47" s="14" t="str">
        <f>CONCATENATE("     ","Telephone/Data Lines                              ")</f>
        <v xml:space="preserve">     Telephone/Data Lines                              </v>
      </c>
      <c r="C47" s="14"/>
      <c r="D47" s="1">
        <f>SUM(OSRRefD22_7x_0)</f>
        <v>658.37</v>
      </c>
      <c r="E47" s="1"/>
      <c r="F47" s="5">
        <f t="shared" si="24"/>
        <v>0</v>
      </c>
      <c r="G47" s="1"/>
      <c r="H47" s="1">
        <f>SUM(OSRRefH22_7x_0)</f>
        <v>854.7299999999999</v>
      </c>
      <c r="I47" s="1"/>
      <c r="J47" s="5">
        <f t="shared" si="25"/>
        <v>0</v>
      </c>
      <c r="K47" s="1"/>
      <c r="L47" s="1">
        <f t="shared" si="26"/>
        <v>-196.3599999999999</v>
      </c>
      <c r="M47" s="1"/>
      <c r="N47" s="5">
        <f t="shared" si="27"/>
        <v>-0.22973336609221617</v>
      </c>
      <c r="O47" s="14"/>
      <c r="P47" s="1">
        <f>SUM(OSRRefP22_7x_0)</f>
        <v>2522.1899999999996</v>
      </c>
      <c r="Q47" s="1"/>
      <c r="R47" s="5">
        <f t="shared" si="28"/>
        <v>0</v>
      </c>
      <c r="S47" s="1"/>
      <c r="T47" s="1">
        <f>SUM(OSRRefT22_7x_0)</f>
        <v>5833.54</v>
      </c>
      <c r="U47" s="1"/>
      <c r="V47" s="5">
        <f t="shared" si="29"/>
        <v>0</v>
      </c>
      <c r="W47" s="1"/>
      <c r="X47" s="1">
        <f t="shared" si="30"/>
        <v>-3311.3500000000004</v>
      </c>
      <c r="Y47" s="1"/>
      <c r="Z47" s="5">
        <f t="shared" si="31"/>
        <v>-0.56763988932963527</v>
      </c>
    </row>
    <row r="48" spans="1:26" s="24" customFormat="1" hidden="1" outlineLevel="2" x14ac:dyDescent="0.25">
      <c r="A48" s="28"/>
      <c r="B48" s="11" t="str">
        <f>CONCATENATE("          ", "6303", " - ", "DATA PHONE LINES")</f>
        <v xml:space="preserve">          6303 - DATA PHONE LINES</v>
      </c>
      <c r="C48" s="11"/>
      <c r="D48" s="7">
        <v>78.989999999999995</v>
      </c>
      <c r="E48" s="2"/>
      <c r="F48" s="6">
        <f t="shared" si="24"/>
        <v>0</v>
      </c>
      <c r="G48" s="2"/>
      <c r="H48" s="7">
        <v>116.55</v>
      </c>
      <c r="I48" s="2"/>
      <c r="J48" s="6">
        <f t="shared" si="25"/>
        <v>0</v>
      </c>
      <c r="K48" s="2"/>
      <c r="L48" s="7">
        <f t="shared" si="26"/>
        <v>-37.56</v>
      </c>
      <c r="M48" s="2"/>
      <c r="N48" s="6">
        <f t="shared" si="27"/>
        <v>-0.32226512226512227</v>
      </c>
      <c r="O48" s="11"/>
      <c r="P48" s="7">
        <v>236.97</v>
      </c>
      <c r="Q48" s="2"/>
      <c r="R48" s="6">
        <f t="shared" si="28"/>
        <v>0</v>
      </c>
      <c r="S48" s="2"/>
      <c r="T48" s="7">
        <v>507.62</v>
      </c>
      <c r="U48" s="2"/>
      <c r="V48" s="6">
        <f t="shared" si="29"/>
        <v>0</v>
      </c>
      <c r="W48" s="2"/>
      <c r="X48" s="7">
        <f t="shared" si="30"/>
        <v>-270.64999999999998</v>
      </c>
      <c r="Y48" s="2"/>
      <c r="Z48" s="6">
        <f t="shared" si="31"/>
        <v>-0.53317442181159125</v>
      </c>
    </row>
    <row r="49" spans="1:26" s="24" customFormat="1" hidden="1" outlineLevel="2" x14ac:dyDescent="0.25">
      <c r="A49" s="28"/>
      <c r="B49" s="11" t="str">
        <f>CONCATENATE("          ", "6309", " - ", "TELEPHONE")</f>
        <v xml:space="preserve">          6309 - TELEPHONE</v>
      </c>
      <c r="C49" s="11"/>
      <c r="D49" s="7">
        <v>579.38</v>
      </c>
      <c r="E49" s="2"/>
      <c r="F49" s="6">
        <f t="shared" si="24"/>
        <v>0</v>
      </c>
      <c r="G49" s="2"/>
      <c r="H49" s="7">
        <v>738.18</v>
      </c>
      <c r="I49" s="2"/>
      <c r="J49" s="6">
        <f t="shared" si="25"/>
        <v>0</v>
      </c>
      <c r="K49" s="2"/>
      <c r="L49" s="7">
        <f t="shared" si="26"/>
        <v>-158.79999999999995</v>
      </c>
      <c r="M49" s="2"/>
      <c r="N49" s="6">
        <f t="shared" si="27"/>
        <v>-0.21512368257064668</v>
      </c>
      <c r="O49" s="11"/>
      <c r="P49" s="7">
        <v>2285.2199999999998</v>
      </c>
      <c r="Q49" s="2"/>
      <c r="R49" s="6">
        <f t="shared" si="28"/>
        <v>0</v>
      </c>
      <c r="S49" s="2"/>
      <c r="T49" s="7">
        <v>5325.92</v>
      </c>
      <c r="U49" s="2"/>
      <c r="V49" s="6">
        <f t="shared" si="29"/>
        <v>0</v>
      </c>
      <c r="W49" s="2"/>
      <c r="X49" s="7">
        <f t="shared" si="30"/>
        <v>-3040.7000000000003</v>
      </c>
      <c r="Y49" s="2"/>
      <c r="Z49" s="6">
        <f t="shared" si="31"/>
        <v>-0.57092483552137474</v>
      </c>
    </row>
    <row r="50" spans="1:26" s="27" customFormat="1" outlineLevel="1" collapsed="1" x14ac:dyDescent="0.25">
      <c r="A50" s="29"/>
      <c r="B50" s="14" t="str">
        <f>CONCATENATE("     ","Training                                          ")</f>
        <v xml:space="preserve">     Training                                          </v>
      </c>
      <c r="C50" s="14"/>
      <c r="D50" s="1">
        <f>SUM(OSRRefD22_8x_0)</f>
        <v>0</v>
      </c>
      <c r="E50" s="1"/>
      <c r="F50" s="5">
        <f t="shared" ref="F50:F54" si="32">IF(D$12=0,0,D50/D$12)</f>
        <v>0</v>
      </c>
      <c r="G50" s="1"/>
      <c r="H50" s="1">
        <f>SUM(OSRRefH22_8x_0)</f>
        <v>49</v>
      </c>
      <c r="I50" s="1"/>
      <c r="J50" s="5">
        <f t="shared" ref="J50:J54" si="33">IF(H$12=0,0,H50/H$12)</f>
        <v>0</v>
      </c>
      <c r="K50" s="1"/>
      <c r="L50" s="1">
        <f t="shared" ref="L50:L54" si="34">+D50-H50</f>
        <v>-49</v>
      </c>
      <c r="M50" s="1"/>
      <c r="N50" s="5">
        <f t="shared" ref="N50:N54" si="35">IF(H50=0,0,L50/H50)</f>
        <v>-1</v>
      </c>
      <c r="O50" s="14"/>
      <c r="P50" s="1">
        <f>SUM(OSRRefP22_8x_0)</f>
        <v>0</v>
      </c>
      <c r="Q50" s="1"/>
      <c r="R50" s="5">
        <f t="shared" ref="R50:R54" si="36">IF(P$12=0,0,P50/P$12)</f>
        <v>0</v>
      </c>
      <c r="S50" s="1"/>
      <c r="T50" s="1">
        <f>SUM(OSRRefT22_8x_0)</f>
        <v>147</v>
      </c>
      <c r="U50" s="1"/>
      <c r="V50" s="5">
        <f t="shared" ref="V50:V54" si="37">IF(T$12=0,0,T50/T$12)</f>
        <v>0</v>
      </c>
      <c r="W50" s="1"/>
      <c r="X50" s="1">
        <f t="shared" ref="X50:X54" si="38">+P50-T50</f>
        <v>-147</v>
      </c>
      <c r="Y50" s="1"/>
      <c r="Z50" s="5">
        <f t="shared" ref="Z50:Z54" si="39">IF(T50=0,0,X50/T50)</f>
        <v>-1</v>
      </c>
    </row>
    <row r="51" spans="1:26" s="24" customFormat="1" hidden="1" outlineLevel="2" x14ac:dyDescent="0.25">
      <c r="A51" s="28"/>
      <c r="B51" s="11" t="str">
        <f>CONCATENATE("          ", "6376", " - ", "TRAINING")</f>
        <v xml:space="preserve">          6376 - TRAINING</v>
      </c>
      <c r="C51" s="11"/>
      <c r="D51" s="7"/>
      <c r="E51" s="2"/>
      <c r="F51" s="6">
        <f t="shared" si="32"/>
        <v>0</v>
      </c>
      <c r="G51" s="2"/>
      <c r="H51" s="7">
        <v>49</v>
      </c>
      <c r="I51" s="2"/>
      <c r="J51" s="6">
        <f t="shared" si="33"/>
        <v>0</v>
      </c>
      <c r="K51" s="2"/>
      <c r="L51" s="7">
        <f t="shared" si="34"/>
        <v>-49</v>
      </c>
      <c r="M51" s="2"/>
      <c r="N51" s="6">
        <f t="shared" si="35"/>
        <v>-1</v>
      </c>
      <c r="O51" s="11"/>
      <c r="P51" s="7"/>
      <c r="Q51" s="2"/>
      <c r="R51" s="6">
        <f t="shared" si="36"/>
        <v>0</v>
      </c>
      <c r="S51" s="2"/>
      <c r="T51" s="7">
        <v>147</v>
      </c>
      <c r="U51" s="2"/>
      <c r="V51" s="6">
        <f t="shared" si="37"/>
        <v>0</v>
      </c>
      <c r="W51" s="2"/>
      <c r="X51" s="7">
        <f t="shared" si="38"/>
        <v>-147</v>
      </c>
      <c r="Y51" s="2"/>
      <c r="Z51" s="6">
        <f t="shared" si="39"/>
        <v>-1</v>
      </c>
    </row>
    <row r="52" spans="1:26" s="27" customFormat="1" outlineLevel="1" collapsed="1" x14ac:dyDescent="0.25">
      <c r="A52" s="29"/>
      <c r="B52" s="14" t="str">
        <f>CONCATENATE("     ","Travel                                            ")</f>
        <v xml:space="preserve">     Travel                                            </v>
      </c>
      <c r="C52" s="14"/>
      <c r="D52" s="1">
        <f>SUM(OSRRefD22_9x_0)</f>
        <v>0</v>
      </c>
      <c r="E52" s="1"/>
      <c r="F52" s="5">
        <f t="shared" si="32"/>
        <v>0</v>
      </c>
      <c r="G52" s="1"/>
      <c r="H52" s="1">
        <f>SUM(OSRRefH22_9x_0)</f>
        <v>595</v>
      </c>
      <c r="I52" s="1"/>
      <c r="J52" s="5">
        <f t="shared" si="33"/>
        <v>0</v>
      </c>
      <c r="K52" s="1"/>
      <c r="L52" s="1">
        <f t="shared" si="34"/>
        <v>-595</v>
      </c>
      <c r="M52" s="1"/>
      <c r="N52" s="5">
        <f t="shared" si="35"/>
        <v>-1</v>
      </c>
      <c r="O52" s="14"/>
      <c r="P52" s="1">
        <f>SUM(OSRRefP22_9x_0)</f>
        <v>0</v>
      </c>
      <c r="Q52" s="1"/>
      <c r="R52" s="5">
        <f t="shared" si="36"/>
        <v>0</v>
      </c>
      <c r="S52" s="1"/>
      <c r="T52" s="1">
        <f>SUM(OSRRefT22_9x_0)</f>
        <v>618.9</v>
      </c>
      <c r="U52" s="1"/>
      <c r="V52" s="5">
        <f t="shared" si="37"/>
        <v>0</v>
      </c>
      <c r="W52" s="1"/>
      <c r="X52" s="1">
        <f t="shared" si="38"/>
        <v>-618.9</v>
      </c>
      <c r="Y52" s="1"/>
      <c r="Z52" s="5">
        <f t="shared" si="39"/>
        <v>-1</v>
      </c>
    </row>
    <row r="53" spans="1:26" s="24" customFormat="1" hidden="1" outlineLevel="2" x14ac:dyDescent="0.25">
      <c r="A53" s="28"/>
      <c r="B53" s="11" t="str">
        <f>CONCATENATE("          ", "6292", " - ", "TRAVEL/CONFERENCE")</f>
        <v xml:space="preserve">          6292 - TRAVEL/CONFERENCE</v>
      </c>
      <c r="C53" s="11"/>
      <c r="D53" s="7"/>
      <c r="E53" s="2"/>
      <c r="F53" s="6">
        <f t="shared" si="32"/>
        <v>0</v>
      </c>
      <c r="G53" s="2"/>
      <c r="H53" s="7">
        <v>595</v>
      </c>
      <c r="I53" s="2"/>
      <c r="J53" s="6">
        <f t="shared" si="33"/>
        <v>0</v>
      </c>
      <c r="K53" s="2"/>
      <c r="L53" s="7">
        <f t="shared" si="34"/>
        <v>-595</v>
      </c>
      <c r="M53" s="2"/>
      <c r="N53" s="6">
        <f t="shared" si="35"/>
        <v>-1</v>
      </c>
      <c r="O53" s="11"/>
      <c r="P53" s="7"/>
      <c r="Q53" s="2"/>
      <c r="R53" s="6">
        <f t="shared" si="36"/>
        <v>0</v>
      </c>
      <c r="S53" s="2"/>
      <c r="T53" s="7">
        <v>595</v>
      </c>
      <c r="U53" s="2"/>
      <c r="V53" s="6">
        <f t="shared" si="37"/>
        <v>0</v>
      </c>
      <c r="W53" s="2"/>
      <c r="X53" s="7">
        <f t="shared" si="38"/>
        <v>-595</v>
      </c>
      <c r="Y53" s="2"/>
      <c r="Z53" s="6">
        <f t="shared" si="39"/>
        <v>-1</v>
      </c>
    </row>
    <row r="54" spans="1:26" s="24" customFormat="1" hidden="1" outlineLevel="2" x14ac:dyDescent="0.25">
      <c r="A54" s="28"/>
      <c r="B54" s="11" t="str">
        <f>CONCATENATE("          ", "6294", " - ", "TRAVEL OPERATIONAL")</f>
        <v xml:space="preserve">          6294 - TRAVEL OPERATIONAL</v>
      </c>
      <c r="C54" s="11"/>
      <c r="D54" s="7"/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0</v>
      </c>
      <c r="M54" s="2"/>
      <c r="N54" s="6">
        <f t="shared" si="35"/>
        <v>0</v>
      </c>
      <c r="O54" s="11"/>
      <c r="P54" s="7"/>
      <c r="Q54" s="2"/>
      <c r="R54" s="6">
        <f t="shared" si="36"/>
        <v>0</v>
      </c>
      <c r="S54" s="2"/>
      <c r="T54" s="7">
        <v>23.9</v>
      </c>
      <c r="U54" s="2"/>
      <c r="V54" s="6">
        <f t="shared" si="37"/>
        <v>0</v>
      </c>
      <c r="W54" s="2"/>
      <c r="X54" s="7">
        <f t="shared" si="38"/>
        <v>-23.9</v>
      </c>
      <c r="Y54" s="2"/>
      <c r="Z54" s="6">
        <f t="shared" si="39"/>
        <v>-1</v>
      </c>
    </row>
    <row r="55" spans="1:26" s="60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6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5" t="s">
        <v>3</v>
      </c>
      <c r="C58" s="25"/>
      <c r="D58" s="22">
        <f>+D16-D18+D56</f>
        <v>-43962.689999999995</v>
      </c>
      <c r="E58" s="13"/>
      <c r="F58" s="21">
        <f>IF(D$12=0,0,D58/D$12)</f>
        <v>0</v>
      </c>
      <c r="G58" s="13"/>
      <c r="H58" s="22">
        <f>+H16-H18+H56</f>
        <v>-58210.09</v>
      </c>
      <c r="I58" s="13"/>
      <c r="J58" s="21">
        <f>IF(H$12=0,0,H58/H$12)</f>
        <v>0</v>
      </c>
      <c r="K58" s="15"/>
      <c r="L58" s="22">
        <f>+D58-H58</f>
        <v>14247.400000000001</v>
      </c>
      <c r="M58" s="15"/>
      <c r="N58" s="21">
        <f>IF(H58=0,0,L58/H58)</f>
        <v>-0.24475825411024107</v>
      </c>
      <c r="O58" s="26"/>
      <c r="P58" s="22">
        <f>+P16-P18+P56</f>
        <v>-150767.32</v>
      </c>
      <c r="Q58" s="13"/>
      <c r="R58" s="21">
        <f>IF(P$12=0,0,P58/P$12)</f>
        <v>0</v>
      </c>
      <c r="S58" s="13"/>
      <c r="T58" s="22">
        <f>+T16-T18+T56</f>
        <v>-182666.01999999996</v>
      </c>
      <c r="U58" s="13"/>
      <c r="V58" s="21">
        <f>IF(T$12=0,0,T58/T$12)</f>
        <v>0</v>
      </c>
      <c r="W58" s="15"/>
      <c r="X58" s="22">
        <f>+P58-T58</f>
        <v>31898.699999999953</v>
      </c>
      <c r="Y58" s="15"/>
      <c r="Z58" s="21">
        <f>IF(T58=0,0,X58/T58)</f>
        <v>-0.17462853791854643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/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4</v>
      </c>
      <c r="C62" s="25"/>
      <c r="D62" s="33">
        <f>+D58-D60</f>
        <v>-43962.689999999995</v>
      </c>
      <c r="E62" s="13"/>
      <c r="F62" s="32">
        <f>IF(D$12=0,0,D62/D$12)</f>
        <v>0</v>
      </c>
      <c r="G62" s="13"/>
      <c r="H62" s="33">
        <f>+H58-H60</f>
        <v>-58210.09</v>
      </c>
      <c r="I62" s="13"/>
      <c r="J62" s="32">
        <f>IF(H$12=0,0,H62/H$12)</f>
        <v>0</v>
      </c>
      <c r="K62" s="15"/>
      <c r="L62" s="33">
        <f>D62-H62</f>
        <v>14247.400000000001</v>
      </c>
      <c r="M62" s="15"/>
      <c r="N62" s="32">
        <f>IF(H62=0,0,L62/H62)</f>
        <v>-0.24475825411024107</v>
      </c>
      <c r="O62" s="26"/>
      <c r="P62" s="33">
        <f>+P58-P60</f>
        <v>-150767.32</v>
      </c>
      <c r="Q62" s="13"/>
      <c r="R62" s="32">
        <f>IF(P$12=0,0,P62/P$12)</f>
        <v>0</v>
      </c>
      <c r="S62" s="13"/>
      <c r="T62" s="33">
        <f>+T58-T60</f>
        <v>-182666.01999999996</v>
      </c>
      <c r="U62" s="13"/>
      <c r="V62" s="32">
        <f>IF(T$12=0,0,T62/T$12)</f>
        <v>0</v>
      </c>
      <c r="W62" s="15"/>
      <c r="X62" s="33">
        <f>P62-T62</f>
        <v>31898.699999999953</v>
      </c>
      <c r="Y62" s="15"/>
      <c r="Z62" s="32">
        <f>IF(T62=0,0,X62/T62)</f>
        <v>-0.17462853791854643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5" t="s">
        <v>5</v>
      </c>
      <c r="C65" s="25"/>
      <c r="D65" s="34">
        <f>SUM(D62:D64)</f>
        <v>-43962.689999999995</v>
      </c>
      <c r="E65" s="13"/>
      <c r="F65" s="31">
        <f>IF(D$12=0,0,D65/D$12)</f>
        <v>0</v>
      </c>
      <c r="G65" s="13"/>
      <c r="H65" s="34">
        <f>SUM(H62:H64)</f>
        <v>-58210.09</v>
      </c>
      <c r="I65" s="13"/>
      <c r="J65" s="31">
        <f>IF(H$12=0,0,H65/H$12)</f>
        <v>0</v>
      </c>
      <c r="K65" s="15"/>
      <c r="L65" s="34">
        <f>+D65-H65</f>
        <v>14247.400000000001</v>
      </c>
      <c r="M65" s="15"/>
      <c r="N65" s="31">
        <f>IF(H65=0,0,L65/H65)</f>
        <v>-0.24475825411024107</v>
      </c>
      <c r="O65" s="26"/>
      <c r="P65" s="34">
        <f>SUM(P62:P64)</f>
        <v>-150767.32</v>
      </c>
      <c r="Q65" s="13"/>
      <c r="R65" s="31">
        <f>IF(P$12=0,0,P65/P$12)</f>
        <v>0</v>
      </c>
      <c r="S65" s="13"/>
      <c r="T65" s="34">
        <f>SUM(T62:T64)</f>
        <v>-182666.01999999996</v>
      </c>
      <c r="U65" s="13"/>
      <c r="V65" s="31">
        <f>IF(T$12=0,0,T65/T$12)</f>
        <v>0</v>
      </c>
      <c r="W65" s="15"/>
      <c r="X65" s="34">
        <f>+P65-T65</f>
        <v>31898.699999999953</v>
      </c>
      <c r="Y65" s="15"/>
      <c r="Z65" s="31">
        <f>IF(T65=0,0,X65/T65)</f>
        <v>-0.17462853791854643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6" x14ac:dyDescent="0.25">
      <c r="A67" s="9"/>
      <c r="B67" s="54">
        <v>44123.565035266205</v>
      </c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  <row r="68" spans="1:26" x14ac:dyDescent="0.25">
      <c r="A68" s="9"/>
      <c r="B68" s="59" t="s">
        <v>313</v>
      </c>
      <c r="D68" s="18"/>
      <c r="E68" s="18"/>
      <c r="G68" s="18"/>
      <c r="H68" s="18"/>
      <c r="I68" s="18"/>
      <c r="J68" s="42"/>
      <c r="K68" s="18"/>
      <c r="L68" s="18"/>
      <c r="M68" s="18"/>
      <c r="P68" s="18"/>
      <c r="Q68" s="18"/>
      <c r="R68" s="42"/>
      <c r="S68" s="18"/>
      <c r="T68" s="18"/>
      <c r="U68" s="18"/>
      <c r="V68" s="42"/>
      <c r="W68" s="18"/>
      <c r="X68" s="18"/>
    </row>
    <row r="69" spans="1:26" x14ac:dyDescent="0.25">
      <c r="A69" s="9"/>
      <c r="B69" s="58"/>
      <c r="D69" s="18"/>
      <c r="E69" s="18"/>
      <c r="G69" s="18"/>
      <c r="H69" s="18"/>
      <c r="I69" s="18"/>
      <c r="J69" s="42"/>
      <c r="K69" s="18"/>
      <c r="L69" s="18"/>
      <c r="M69" s="18"/>
      <c r="P69" s="18"/>
      <c r="Q69" s="18"/>
      <c r="R69" s="42"/>
      <c r="S69" s="18"/>
      <c r="T69" s="18"/>
      <c r="U69" s="18"/>
      <c r="V69" s="42"/>
      <c r="W69" s="18"/>
      <c r="X69" s="18"/>
    </row>
    <row r="70" spans="1:26" x14ac:dyDescent="0.25"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7471.87</v>
      </c>
      <c r="E18" s="20"/>
      <c r="F18" s="36">
        <f t="shared" ref="F18:F27" si="0">IF(D$12=0,0,D18/D$12)</f>
        <v>0</v>
      </c>
      <c r="G18" s="20"/>
      <c r="H18" s="20">
        <f>SUM(OSRRefH22x_0)</f>
        <v>6663.1600000000008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808.70999999999913</v>
      </c>
      <c r="M18" s="4"/>
      <c r="N18" s="36">
        <f t="shared" ref="N18:N27" si="3">IF(H18=0,0,L18/H18)</f>
        <v>0.12137034079926026</v>
      </c>
      <c r="O18" s="10"/>
      <c r="P18" s="20">
        <f>SUM(OSRRefP22x_0)</f>
        <v>24127.959999999995</v>
      </c>
      <c r="Q18" s="20"/>
      <c r="R18" s="36">
        <f t="shared" ref="R18:R27" si="4">IF(P$12=0,0,P18/P$12)</f>
        <v>0</v>
      </c>
      <c r="S18" s="20"/>
      <c r="T18" s="20">
        <f>SUM(OSRRefT22x_0)</f>
        <v>24123.579999999994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4.3800000000010186</v>
      </c>
      <c r="Y18" s="4"/>
      <c r="Z18" s="36">
        <f t="shared" ref="Z18:Z27" si="7">IF(T18=0,0,X18/T18)</f>
        <v>1.8156509108519628E-4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2350.64</v>
      </c>
      <c r="E19" s="1"/>
      <c r="F19" s="5">
        <f t="shared" si="0"/>
        <v>0</v>
      </c>
      <c r="G19" s="1"/>
      <c r="H19" s="1">
        <f>SUM(OSRRefH22_0x_0)</f>
        <v>2487.9799999999996</v>
      </c>
      <c r="I19" s="1"/>
      <c r="J19" s="5">
        <f t="shared" si="1"/>
        <v>0</v>
      </c>
      <c r="K19" s="1"/>
      <c r="L19" s="1">
        <f t="shared" si="2"/>
        <v>-137.33999999999969</v>
      </c>
      <c r="M19" s="1"/>
      <c r="N19" s="5">
        <f t="shared" si="3"/>
        <v>-5.5201408371449816E-2</v>
      </c>
      <c r="O19" s="14"/>
      <c r="P19" s="1">
        <f>SUM(OSRRefP22_0x_0)</f>
        <v>7253.9199999999992</v>
      </c>
      <c r="Q19" s="1"/>
      <c r="R19" s="5">
        <f t="shared" si="4"/>
        <v>0</v>
      </c>
      <c r="S19" s="1"/>
      <c r="T19" s="1">
        <f>SUM(OSRRefT22_0x_0)</f>
        <v>8592.7199999999993</v>
      </c>
      <c r="U19" s="1"/>
      <c r="V19" s="5">
        <f t="shared" si="5"/>
        <v>0</v>
      </c>
      <c r="W19" s="1"/>
      <c r="X19" s="1">
        <f t="shared" si="6"/>
        <v>-1338.8000000000002</v>
      </c>
      <c r="Y19" s="1"/>
      <c r="Z19" s="5">
        <f t="shared" si="7"/>
        <v>-0.15580631045815529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315.83999999999997</v>
      </c>
      <c r="E20" s="2"/>
      <c r="F20" s="6">
        <f t="shared" si="0"/>
        <v>0</v>
      </c>
      <c r="G20" s="2"/>
      <c r="H20" s="7">
        <v>316.26</v>
      </c>
      <c r="I20" s="2"/>
      <c r="J20" s="6">
        <f t="shared" si="1"/>
        <v>0</v>
      </c>
      <c r="K20" s="2"/>
      <c r="L20" s="7">
        <f t="shared" si="2"/>
        <v>-0.42000000000001592</v>
      </c>
      <c r="M20" s="2"/>
      <c r="N20" s="6">
        <f t="shared" si="3"/>
        <v>-1.3280212483400239E-3</v>
      </c>
      <c r="O20" s="11"/>
      <c r="P20" s="7">
        <v>950.24</v>
      </c>
      <c r="Q20" s="2"/>
      <c r="R20" s="6">
        <f t="shared" si="4"/>
        <v>0</v>
      </c>
      <c r="S20" s="2"/>
      <c r="T20" s="7">
        <v>984.93</v>
      </c>
      <c r="U20" s="2"/>
      <c r="V20" s="6">
        <f t="shared" si="5"/>
        <v>0</v>
      </c>
      <c r="W20" s="2"/>
      <c r="X20" s="7">
        <f t="shared" si="6"/>
        <v>-34.689999999999941</v>
      </c>
      <c r="Y20" s="2"/>
      <c r="Z20" s="6">
        <f t="shared" si="7"/>
        <v>-3.5220777111063674E-2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286.13</v>
      </c>
      <c r="E21" s="2"/>
      <c r="F21" s="6">
        <f t="shared" si="0"/>
        <v>0</v>
      </c>
      <c r="G21" s="2"/>
      <c r="H21" s="7">
        <v>279.89</v>
      </c>
      <c r="I21" s="2"/>
      <c r="J21" s="6">
        <f t="shared" si="1"/>
        <v>0</v>
      </c>
      <c r="K21" s="2"/>
      <c r="L21" s="7">
        <f t="shared" si="2"/>
        <v>6.2400000000000091</v>
      </c>
      <c r="M21" s="2"/>
      <c r="N21" s="6">
        <f t="shared" si="3"/>
        <v>2.2294472828611273E-2</v>
      </c>
      <c r="O21" s="11"/>
      <c r="P21" s="7">
        <v>860.85</v>
      </c>
      <c r="Q21" s="2"/>
      <c r="R21" s="6">
        <f t="shared" si="4"/>
        <v>0</v>
      </c>
      <c r="S21" s="2"/>
      <c r="T21" s="7">
        <v>861</v>
      </c>
      <c r="U21" s="2"/>
      <c r="V21" s="6">
        <f t="shared" si="5"/>
        <v>0</v>
      </c>
      <c r="W21" s="2"/>
      <c r="X21" s="7">
        <f t="shared" si="6"/>
        <v>-0.14999999999997726</v>
      </c>
      <c r="Y21" s="2"/>
      <c r="Z21" s="6">
        <f t="shared" si="7"/>
        <v>-1.7421602787453806E-4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1.0199999999999818</v>
      </c>
      <c r="M22" s="2"/>
      <c r="N22" s="6">
        <f t="shared" si="3"/>
        <v>1.4673303219495091E-3</v>
      </c>
      <c r="O22" s="11"/>
      <c r="P22" s="7">
        <v>2088.48</v>
      </c>
      <c r="Q22" s="2"/>
      <c r="R22" s="6">
        <f t="shared" si="4"/>
        <v>0</v>
      </c>
      <c r="S22" s="2"/>
      <c r="T22" s="7">
        <v>2085.42</v>
      </c>
      <c r="U22" s="2"/>
      <c r="V22" s="6">
        <f t="shared" si="5"/>
        <v>0</v>
      </c>
      <c r="W22" s="2"/>
      <c r="X22" s="7">
        <f t="shared" si="6"/>
        <v>3.0599999999999454</v>
      </c>
      <c r="Y22" s="2"/>
      <c r="Z22" s="6">
        <f t="shared" si="7"/>
        <v>1.4673303219495091E-3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10.74</v>
      </c>
      <c r="E23" s="2"/>
      <c r="F23" s="6">
        <f t="shared" si="0"/>
        <v>0</v>
      </c>
      <c r="G23" s="2"/>
      <c r="H23" s="7">
        <v>10.75</v>
      </c>
      <c r="I23" s="2"/>
      <c r="J23" s="6">
        <f t="shared" si="1"/>
        <v>0</v>
      </c>
      <c r="K23" s="2"/>
      <c r="L23" s="7">
        <f t="shared" si="2"/>
        <v>-9.9999999999997868E-3</v>
      </c>
      <c r="M23" s="2"/>
      <c r="N23" s="6">
        <f t="shared" si="3"/>
        <v>-9.3023255813951509E-4</v>
      </c>
      <c r="O23" s="11"/>
      <c r="P23" s="7">
        <v>32.31</v>
      </c>
      <c r="Q23" s="2"/>
      <c r="R23" s="6">
        <f t="shared" si="4"/>
        <v>0</v>
      </c>
      <c r="S23" s="2"/>
      <c r="T23" s="7">
        <v>33.07</v>
      </c>
      <c r="U23" s="2"/>
      <c r="V23" s="6">
        <f t="shared" si="5"/>
        <v>0</v>
      </c>
      <c r="W23" s="2"/>
      <c r="X23" s="7">
        <f t="shared" si="6"/>
        <v>-0.75999999999999801</v>
      </c>
      <c r="Y23" s="2"/>
      <c r="Z23" s="6">
        <f t="shared" si="7"/>
        <v>-2.2981554278802479E-2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429.26</v>
      </c>
      <c r="I24" s="2"/>
      <c r="J24" s="6">
        <f t="shared" si="1"/>
        <v>0</v>
      </c>
      <c r="K24" s="2"/>
      <c r="L24" s="7">
        <f t="shared" si="2"/>
        <v>34.009999999999991</v>
      </c>
      <c r="M24" s="2"/>
      <c r="N24" s="6">
        <f t="shared" si="3"/>
        <v>7.9229371476494406E-2</v>
      </c>
      <c r="O24" s="11"/>
      <c r="P24" s="7">
        <v>1621.45</v>
      </c>
      <c r="Q24" s="2"/>
      <c r="R24" s="6">
        <f t="shared" si="4"/>
        <v>0</v>
      </c>
      <c r="S24" s="2"/>
      <c r="T24" s="7">
        <v>1287.78</v>
      </c>
      <c r="U24" s="2"/>
      <c r="V24" s="6">
        <f t="shared" si="5"/>
        <v>0</v>
      </c>
      <c r="W24" s="2"/>
      <c r="X24" s="7">
        <f t="shared" si="6"/>
        <v>333.67000000000007</v>
      </c>
      <c r="Y24" s="2"/>
      <c r="Z24" s="6">
        <f t="shared" si="7"/>
        <v>0.2591048160400069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209.99</v>
      </c>
      <c r="E25" s="2"/>
      <c r="F25" s="6">
        <f t="shared" si="0"/>
        <v>0</v>
      </c>
      <c r="G25" s="2"/>
      <c r="H25" s="7">
        <v>387.96</v>
      </c>
      <c r="I25" s="2"/>
      <c r="J25" s="6">
        <f t="shared" si="1"/>
        <v>0</v>
      </c>
      <c r="K25" s="2"/>
      <c r="L25" s="7">
        <f t="shared" si="2"/>
        <v>-177.96999999999997</v>
      </c>
      <c r="M25" s="2"/>
      <c r="N25" s="6">
        <f t="shared" si="3"/>
        <v>-0.45873285905763478</v>
      </c>
      <c r="O25" s="11"/>
      <c r="P25" s="7">
        <v>645.98</v>
      </c>
      <c r="Q25" s="2"/>
      <c r="R25" s="6">
        <f t="shared" si="4"/>
        <v>0</v>
      </c>
      <c r="S25" s="2"/>
      <c r="T25" s="7">
        <v>1479.11</v>
      </c>
      <c r="U25" s="2"/>
      <c r="V25" s="6">
        <f t="shared" si="5"/>
        <v>0</v>
      </c>
      <c r="W25" s="2"/>
      <c r="X25" s="7">
        <f t="shared" si="6"/>
        <v>-833.12999999999988</v>
      </c>
      <c r="Y25" s="2"/>
      <c r="Z25" s="6">
        <f t="shared" si="7"/>
        <v>-0.56326439548106633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193.72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581.16</v>
      </c>
      <c r="Q26" s="2"/>
      <c r="R26" s="6">
        <f t="shared" si="4"/>
        <v>0</v>
      </c>
      <c r="S26" s="2"/>
      <c r="T26" s="7">
        <v>1426.2</v>
      </c>
      <c r="U26" s="2"/>
      <c r="V26" s="6">
        <f t="shared" si="5"/>
        <v>0</v>
      </c>
      <c r="W26" s="2"/>
      <c r="X26" s="7">
        <f t="shared" si="6"/>
        <v>-845.04000000000008</v>
      </c>
      <c r="Y26" s="2"/>
      <c r="Z26" s="6">
        <f t="shared" si="7"/>
        <v>-0.59251156920488013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174.79</v>
      </c>
      <c r="E27" s="2"/>
      <c r="F27" s="6">
        <f t="shared" si="0"/>
        <v>0</v>
      </c>
      <c r="G27" s="2"/>
      <c r="H27" s="7">
        <v>175</v>
      </c>
      <c r="I27" s="2"/>
      <c r="J27" s="6">
        <f t="shared" si="1"/>
        <v>0</v>
      </c>
      <c r="K27" s="2"/>
      <c r="L27" s="7">
        <f t="shared" si="2"/>
        <v>-0.21000000000000796</v>
      </c>
      <c r="M27" s="2"/>
      <c r="N27" s="6">
        <f t="shared" si="3"/>
        <v>-1.2000000000000454E-3</v>
      </c>
      <c r="O27" s="11"/>
      <c r="P27" s="7">
        <v>473.45</v>
      </c>
      <c r="Q27" s="2"/>
      <c r="R27" s="6">
        <f t="shared" si="4"/>
        <v>0</v>
      </c>
      <c r="S27" s="2"/>
      <c r="T27" s="7">
        <v>435.21</v>
      </c>
      <c r="U27" s="2"/>
      <c r="V27" s="6">
        <f t="shared" si="5"/>
        <v>0</v>
      </c>
      <c r="W27" s="2"/>
      <c r="X27" s="7">
        <f t="shared" si="6"/>
        <v>38.240000000000009</v>
      </c>
      <c r="Y27" s="2"/>
      <c r="Z27" s="6">
        <f t="shared" si="7"/>
        <v>8.7865628087589923E-2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3989.75</v>
      </c>
      <c r="E28" s="1"/>
      <c r="F28" s="5">
        <f t="shared" ref="F28:F36" si="8">IF(D$12=0,0,D28/D$12)</f>
        <v>0</v>
      </c>
      <c r="G28" s="1"/>
      <c r="H28" s="1">
        <f>SUM(OSRRefH22_1x_0)</f>
        <v>4199.74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-209.98999999999978</v>
      </c>
      <c r="M28" s="1"/>
      <c r="N28" s="5">
        <f t="shared" ref="N28:N36" si="11">IF(H28=0,0,L28/H28)</f>
        <v>-5.0000714329934658E-2</v>
      </c>
      <c r="O28" s="14"/>
      <c r="P28" s="1">
        <f>SUM(OSRRefP22_1x_0)</f>
        <v>13019.25</v>
      </c>
      <c r="Q28" s="1"/>
      <c r="R28" s="5">
        <f t="shared" ref="R28:R36" si="12">IF(P$12=0,0,P28/P$12)</f>
        <v>0</v>
      </c>
      <c r="S28" s="1"/>
      <c r="T28" s="1">
        <f>SUM(OSRRefT22_1x_0)</f>
        <v>12021.85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997.39999999999964</v>
      </c>
      <c r="Y28" s="1"/>
      <c r="Z28" s="5">
        <f t="shared" ref="Z28:Z36" si="15">IF(T28=0,0,X28/T28)</f>
        <v>8.2965600136418238E-2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7">
        <v>3989.75</v>
      </c>
      <c r="E29" s="2"/>
      <c r="F29" s="6">
        <f t="shared" si="8"/>
        <v>0</v>
      </c>
      <c r="G29" s="2"/>
      <c r="H29" s="7">
        <v>4199.74</v>
      </c>
      <c r="I29" s="2"/>
      <c r="J29" s="6">
        <f t="shared" si="9"/>
        <v>0</v>
      </c>
      <c r="K29" s="2"/>
      <c r="L29" s="7">
        <f t="shared" si="10"/>
        <v>-209.98999999999978</v>
      </c>
      <c r="M29" s="2"/>
      <c r="N29" s="6">
        <f t="shared" si="11"/>
        <v>-5.0000714329934658E-2</v>
      </c>
      <c r="O29" s="11"/>
      <c r="P29" s="7">
        <v>13019.25</v>
      </c>
      <c r="Q29" s="2"/>
      <c r="R29" s="6">
        <f t="shared" si="12"/>
        <v>0</v>
      </c>
      <c r="S29" s="2"/>
      <c r="T29" s="7">
        <v>12021.85</v>
      </c>
      <c r="U29" s="2"/>
      <c r="V29" s="6">
        <f t="shared" si="13"/>
        <v>0</v>
      </c>
      <c r="W29" s="2"/>
      <c r="X29" s="7">
        <f t="shared" si="14"/>
        <v>997.39999999999964</v>
      </c>
      <c r="Y29" s="2"/>
      <c r="Z29" s="6">
        <f t="shared" si="15"/>
        <v>8.2965600136418238E-2</v>
      </c>
    </row>
    <row r="30" spans="1:26" s="27" customFormat="1" outlineLevel="1" collapsed="1" x14ac:dyDescent="0.25">
      <c r="A30" s="29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-180.9</v>
      </c>
      <c r="I30" s="1"/>
      <c r="J30" s="5">
        <f t="shared" si="9"/>
        <v>0</v>
      </c>
      <c r="K30" s="1"/>
      <c r="L30" s="1">
        <f t="shared" si="10"/>
        <v>180.9</v>
      </c>
      <c r="M30" s="1"/>
      <c r="N30" s="5">
        <f t="shared" si="11"/>
        <v>-1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-180.9</v>
      </c>
      <c r="U30" s="1"/>
      <c r="V30" s="5">
        <f t="shared" si="13"/>
        <v>0</v>
      </c>
      <c r="W30" s="1"/>
      <c r="X30" s="1">
        <f t="shared" si="14"/>
        <v>180.9</v>
      </c>
      <c r="Y30" s="1"/>
      <c r="Z30" s="5">
        <f t="shared" si="15"/>
        <v>-1</v>
      </c>
    </row>
    <row r="31" spans="1:26" s="24" customFormat="1" hidden="1" outlineLevel="2" x14ac:dyDescent="0.25">
      <c r="A31" s="28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>
        <v>-180.9</v>
      </c>
      <c r="I31" s="2"/>
      <c r="J31" s="6">
        <f t="shared" si="9"/>
        <v>0</v>
      </c>
      <c r="K31" s="2"/>
      <c r="L31" s="7">
        <f t="shared" si="10"/>
        <v>180.9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-180.9</v>
      </c>
      <c r="U31" s="2"/>
      <c r="V31" s="6">
        <f t="shared" si="13"/>
        <v>0</v>
      </c>
      <c r="W31" s="2"/>
      <c r="X31" s="7">
        <f t="shared" si="14"/>
        <v>180.9</v>
      </c>
      <c r="Y31" s="2"/>
      <c r="Z31" s="6">
        <f t="shared" si="15"/>
        <v>-1</v>
      </c>
    </row>
    <row r="32" spans="1:26" s="27" customFormat="1" outlineLevel="1" collapsed="1" x14ac:dyDescent="0.25">
      <c r="A32" s="29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24.56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73.680000000000007</v>
      </c>
      <c r="Q32" s="1"/>
      <c r="R32" s="5">
        <f t="shared" si="12"/>
        <v>0</v>
      </c>
      <c r="S32" s="1"/>
      <c r="T32" s="1">
        <f>SUM(OSRRefT22_3x_0)</f>
        <v>73.680000000000007</v>
      </c>
      <c r="U32" s="1"/>
      <c r="V32" s="5">
        <f t="shared" si="13"/>
        <v>0</v>
      </c>
      <c r="W32" s="1"/>
      <c r="X32" s="1">
        <f t="shared" si="14"/>
        <v>0</v>
      </c>
      <c r="Y32" s="1"/>
      <c r="Z32" s="5">
        <f t="shared" si="15"/>
        <v>0</v>
      </c>
    </row>
    <row r="33" spans="1:26" s="24" customFormat="1" hidden="1" outlineLevel="2" x14ac:dyDescent="0.25">
      <c r="A33" s="28"/>
      <c r="B33" s="11" t="str">
        <f>CONCATENATE("          ", "6314", " - ", "LIABILITY INSURANCE")</f>
        <v xml:space="preserve">          6314 - LIABILITY INSURANCE</v>
      </c>
      <c r="C33" s="11"/>
      <c r="D33" s="7">
        <v>24.56</v>
      </c>
      <c r="E33" s="2"/>
      <c r="F33" s="6">
        <f t="shared" si="8"/>
        <v>0</v>
      </c>
      <c r="G33" s="2"/>
      <c r="H33" s="7">
        <v>24.56</v>
      </c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73.680000000000007</v>
      </c>
      <c r="Q33" s="2"/>
      <c r="R33" s="6">
        <f t="shared" si="12"/>
        <v>0</v>
      </c>
      <c r="S33" s="2"/>
      <c r="T33" s="7">
        <v>73.680000000000007</v>
      </c>
      <c r="U33" s="2"/>
      <c r="V33" s="6">
        <f t="shared" si="13"/>
        <v>0</v>
      </c>
      <c r="W33" s="2"/>
      <c r="X33" s="7">
        <f t="shared" si="14"/>
        <v>0</v>
      </c>
      <c r="Y33" s="2"/>
      <c r="Z33" s="6">
        <f t="shared" si="15"/>
        <v>0</v>
      </c>
    </row>
    <row r="34" spans="1:26" s="27" customFormat="1" outlineLevel="1" collapsed="1" x14ac:dyDescent="0.25">
      <c r="A34" s="29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866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866</v>
      </c>
      <c r="M34" s="1"/>
      <c r="N34" s="5">
        <f t="shared" si="11"/>
        <v>0</v>
      </c>
      <c r="O34" s="14"/>
      <c r="P34" s="1">
        <f>SUM(OSRRefP22_4x_0)</f>
        <v>3417.19</v>
      </c>
      <c r="Q34" s="1"/>
      <c r="R34" s="5">
        <f t="shared" si="12"/>
        <v>0</v>
      </c>
      <c r="S34" s="1"/>
      <c r="T34" s="1">
        <f>SUM(OSRRefT22_4x_0)</f>
        <v>2811.9</v>
      </c>
      <c r="U34" s="1"/>
      <c r="V34" s="5">
        <f t="shared" si="13"/>
        <v>0</v>
      </c>
      <c r="W34" s="1"/>
      <c r="X34" s="1">
        <f t="shared" si="14"/>
        <v>605.29</v>
      </c>
      <c r="Y34" s="1"/>
      <c r="Z34" s="5">
        <f t="shared" si="15"/>
        <v>0.21526014438635796</v>
      </c>
    </row>
    <row r="35" spans="1:26" s="24" customFormat="1" hidden="1" outlineLevel="2" x14ac:dyDescent="0.25">
      <c r="A35" s="28"/>
      <c r="B35" s="11" t="str">
        <f>CONCATENATE("          ", "6373", " - ", "MAINTENANCE CONTRACTS")</f>
        <v xml:space="preserve">          6373 - MAINTENANCE CONTRACTS</v>
      </c>
      <c r="C35" s="11"/>
      <c r="D35" s="7">
        <v>866</v>
      </c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866</v>
      </c>
      <c r="M35" s="2"/>
      <c r="N35" s="6">
        <f t="shared" si="11"/>
        <v>0</v>
      </c>
      <c r="O35" s="11"/>
      <c r="P35" s="7">
        <v>2598</v>
      </c>
      <c r="Q35" s="2"/>
      <c r="R35" s="6">
        <f t="shared" si="12"/>
        <v>0</v>
      </c>
      <c r="S35" s="2"/>
      <c r="T35" s="7">
        <v>2811.9</v>
      </c>
      <c r="U35" s="2"/>
      <c r="V35" s="6">
        <f t="shared" si="13"/>
        <v>0</v>
      </c>
      <c r="W35" s="2"/>
      <c r="X35" s="7">
        <f t="shared" si="14"/>
        <v>-213.90000000000009</v>
      </c>
      <c r="Y35" s="2"/>
      <c r="Z35" s="6">
        <f t="shared" si="15"/>
        <v>-7.6069561506454747E-2</v>
      </c>
    </row>
    <row r="36" spans="1:26" s="24" customFormat="1" hidden="1" outlineLevel="2" x14ac:dyDescent="0.25">
      <c r="A36" s="28"/>
      <c r="B36" s="11" t="str">
        <f>CONCATENATE("          ", "6375", " - ", "OUTSIDE REPAIRS &amp; MAINTENANCE")</f>
        <v xml:space="preserve">          6375 - OUTSIDE REPAIRS &amp; MAINTENANCE</v>
      </c>
      <c r="C36" s="11"/>
      <c r="D36" s="7"/>
      <c r="E36" s="2"/>
      <c r="F36" s="6">
        <f t="shared" si="8"/>
        <v>0</v>
      </c>
      <c r="G36" s="2"/>
      <c r="H36" s="7"/>
      <c r="I36" s="2"/>
      <c r="J36" s="6">
        <f t="shared" si="9"/>
        <v>0</v>
      </c>
      <c r="K36" s="2"/>
      <c r="L36" s="7">
        <f t="shared" si="10"/>
        <v>0</v>
      </c>
      <c r="M36" s="2"/>
      <c r="N36" s="6">
        <f t="shared" si="11"/>
        <v>0</v>
      </c>
      <c r="O36" s="11"/>
      <c r="P36" s="7">
        <v>819.19</v>
      </c>
      <c r="Q36" s="2"/>
      <c r="R36" s="6">
        <f t="shared" si="12"/>
        <v>0</v>
      </c>
      <c r="S36" s="2"/>
      <c r="T36" s="7"/>
      <c r="U36" s="2"/>
      <c r="V36" s="6">
        <f t="shared" si="13"/>
        <v>0</v>
      </c>
      <c r="W36" s="2"/>
      <c r="X36" s="7">
        <f t="shared" si="14"/>
        <v>819.19</v>
      </c>
      <c r="Y36" s="2"/>
      <c r="Z36" s="6">
        <f t="shared" si="15"/>
        <v>0</v>
      </c>
    </row>
    <row r="37" spans="1:26" s="27" customFormat="1" outlineLevel="1" collapsed="1" x14ac:dyDescent="0.25">
      <c r="A37" s="29"/>
      <c r="B37" s="14" t="str">
        <f>CONCATENATE("     ","Services                                          ")</f>
        <v xml:space="preserve">     Services                                          </v>
      </c>
      <c r="C37" s="14"/>
      <c r="D37" s="1">
        <f>SUM(OSRRefD22_5x_0)</f>
        <v>0</v>
      </c>
      <c r="E37" s="1"/>
      <c r="F37" s="5">
        <f t="shared" ref="F37:F41" si="16">IF(D$12=0,0,D37/D$12)</f>
        <v>0</v>
      </c>
      <c r="G37" s="1"/>
      <c r="H37" s="1">
        <f>SUM(OSRRefH22_5x_0)</f>
        <v>13.26</v>
      </c>
      <c r="I37" s="1"/>
      <c r="J37" s="5">
        <f t="shared" ref="J37:J41" si="17">IF(H$12=0,0,H37/H$12)</f>
        <v>0</v>
      </c>
      <c r="K37" s="1"/>
      <c r="L37" s="1">
        <f t="shared" ref="L37:L41" si="18">+D37-H37</f>
        <v>-13.26</v>
      </c>
      <c r="M37" s="1"/>
      <c r="N37" s="5">
        <f t="shared" ref="N37:N41" si="19">IF(H37=0,0,L37/H37)</f>
        <v>-1</v>
      </c>
      <c r="O37" s="14"/>
      <c r="P37" s="1">
        <f>SUM(OSRRefP22_5x_0)</f>
        <v>0</v>
      </c>
      <c r="Q37" s="1"/>
      <c r="R37" s="5">
        <f t="shared" ref="R37:R41" si="20">IF(P$12=0,0,P37/P$12)</f>
        <v>0</v>
      </c>
      <c r="S37" s="1"/>
      <c r="T37" s="1">
        <f>SUM(OSRRefT22_5x_0)</f>
        <v>26.52</v>
      </c>
      <c r="U37" s="1"/>
      <c r="V37" s="5">
        <f t="shared" ref="V37:V41" si="21">IF(T$12=0,0,T37/T$12)</f>
        <v>0</v>
      </c>
      <c r="W37" s="1"/>
      <c r="X37" s="1">
        <f t="shared" ref="X37:X41" si="22">+P37-T37</f>
        <v>-26.52</v>
      </c>
      <c r="Y37" s="1"/>
      <c r="Z37" s="5">
        <f t="shared" ref="Z37:Z41" si="23">IF(T37=0,0,X37/T37)</f>
        <v>-1</v>
      </c>
    </row>
    <row r="38" spans="1:26" s="24" customFormat="1" hidden="1" outlineLevel="2" x14ac:dyDescent="0.25">
      <c r="A38" s="28"/>
      <c r="B38" s="11" t="str">
        <f>CONCATENATE("          ", "6286", " - ", "LAUNDRY EXPENSE")</f>
        <v xml:space="preserve">          6286 - LAUNDRY EXPENSE</v>
      </c>
      <c r="C38" s="11"/>
      <c r="D38" s="7"/>
      <c r="E38" s="2"/>
      <c r="F38" s="6">
        <f t="shared" si="16"/>
        <v>0</v>
      </c>
      <c r="G38" s="2"/>
      <c r="H38" s="7">
        <v>13.26</v>
      </c>
      <c r="I38" s="2"/>
      <c r="J38" s="6">
        <f t="shared" si="17"/>
        <v>0</v>
      </c>
      <c r="K38" s="2"/>
      <c r="L38" s="7">
        <f t="shared" si="18"/>
        <v>-13.26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26.52</v>
      </c>
      <c r="U38" s="2"/>
      <c r="V38" s="6">
        <f t="shared" si="21"/>
        <v>0</v>
      </c>
      <c r="W38" s="2"/>
      <c r="X38" s="7">
        <f t="shared" si="22"/>
        <v>-26.52</v>
      </c>
      <c r="Y38" s="2"/>
      <c r="Z38" s="6">
        <f t="shared" si="23"/>
        <v>-1</v>
      </c>
    </row>
    <row r="39" spans="1:26" s="27" customFormat="1" outlineLevel="1" collapsed="1" x14ac:dyDescent="0.25">
      <c r="A39" s="29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15.92</v>
      </c>
      <c r="E39" s="1"/>
      <c r="F39" s="5">
        <f t="shared" si="16"/>
        <v>0</v>
      </c>
      <c r="G39" s="1"/>
      <c r="H39" s="1">
        <f>SUM(OSRRefH22_6x_0)</f>
        <v>37.42</v>
      </c>
      <c r="I39" s="1"/>
      <c r="J39" s="5">
        <f t="shared" si="17"/>
        <v>0</v>
      </c>
      <c r="K39" s="1"/>
      <c r="L39" s="1">
        <f t="shared" si="18"/>
        <v>-21.5</v>
      </c>
      <c r="M39" s="1"/>
      <c r="N39" s="5">
        <f t="shared" si="19"/>
        <v>-0.57455905932656326</v>
      </c>
      <c r="O39" s="14"/>
      <c r="P39" s="1">
        <f>SUM(OSRRefP22_6x_0)</f>
        <v>15.92</v>
      </c>
      <c r="Q39" s="1"/>
      <c r="R39" s="5">
        <f t="shared" si="20"/>
        <v>0</v>
      </c>
      <c r="S39" s="1"/>
      <c r="T39" s="1">
        <f>SUM(OSRRefT22_6x_0)</f>
        <v>597.36</v>
      </c>
      <c r="U39" s="1"/>
      <c r="V39" s="5">
        <f t="shared" si="21"/>
        <v>0</v>
      </c>
      <c r="W39" s="1"/>
      <c r="X39" s="1">
        <f t="shared" si="22"/>
        <v>-581.44000000000005</v>
      </c>
      <c r="Y39" s="1"/>
      <c r="Z39" s="5">
        <f t="shared" si="23"/>
        <v>-0.97334940404446235</v>
      </c>
    </row>
    <row r="40" spans="1:26" s="24" customFormat="1" hidden="1" outlineLevel="2" x14ac:dyDescent="0.25">
      <c r="A40" s="28"/>
      <c r="B40" s="11" t="str">
        <f>CONCATENATE("          ", "6234", " - ", "EXPENDABLE SUPPLIES &amp; EQUIPMEN")</f>
        <v xml:space="preserve">          6234 - EXPENDABLE SUPPLIES &amp; EQUIPMEN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559.94000000000005</v>
      </c>
      <c r="U40" s="2"/>
      <c r="V40" s="6">
        <f t="shared" si="21"/>
        <v>0</v>
      </c>
      <c r="W40" s="2"/>
      <c r="X40" s="7">
        <f t="shared" si="22"/>
        <v>-559.94000000000005</v>
      </c>
      <c r="Y40" s="2"/>
      <c r="Z40" s="6">
        <f t="shared" si="23"/>
        <v>-1</v>
      </c>
    </row>
    <row r="41" spans="1:26" s="24" customFormat="1" hidden="1" outlineLevel="2" x14ac:dyDescent="0.25">
      <c r="A41" s="28"/>
      <c r="B41" s="11" t="str">
        <f>CONCATENATE("          ", "6241", " - ", "OFFICE EXPENSE")</f>
        <v xml:space="preserve">          6241 - OFFICE EXPENSE</v>
      </c>
      <c r="C41" s="11"/>
      <c r="D41" s="7">
        <v>15.92</v>
      </c>
      <c r="E41" s="2"/>
      <c r="F41" s="6">
        <f t="shared" si="16"/>
        <v>0</v>
      </c>
      <c r="G41" s="2"/>
      <c r="H41" s="7">
        <v>37.42</v>
      </c>
      <c r="I41" s="2"/>
      <c r="J41" s="6">
        <f t="shared" si="17"/>
        <v>0</v>
      </c>
      <c r="K41" s="2"/>
      <c r="L41" s="7">
        <f t="shared" si="18"/>
        <v>-21.5</v>
      </c>
      <c r="M41" s="2"/>
      <c r="N41" s="6">
        <f t="shared" si="19"/>
        <v>-0.57455905932656326</v>
      </c>
      <c r="O41" s="11"/>
      <c r="P41" s="7">
        <v>15.92</v>
      </c>
      <c r="Q41" s="2"/>
      <c r="R41" s="6">
        <f t="shared" si="20"/>
        <v>0</v>
      </c>
      <c r="S41" s="2"/>
      <c r="T41" s="7">
        <v>37.42</v>
      </c>
      <c r="U41" s="2"/>
      <c r="V41" s="6">
        <f t="shared" si="21"/>
        <v>0</v>
      </c>
      <c r="W41" s="2"/>
      <c r="X41" s="7">
        <f t="shared" si="22"/>
        <v>-21.5</v>
      </c>
      <c r="Y41" s="2"/>
      <c r="Z41" s="6">
        <f t="shared" si="23"/>
        <v>-0.57455905932656326</v>
      </c>
    </row>
    <row r="42" spans="1:26" s="27" customFormat="1" outlineLevel="1" collapsed="1" x14ac:dyDescent="0.25">
      <c r="A42" s="29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SUM(OSRRefD22_7x_0)</f>
        <v>225</v>
      </c>
      <c r="E42" s="1"/>
      <c r="F42" s="5">
        <f t="shared" ref="F42:F45" si="24">IF(D$12=0,0,D42/D$12)</f>
        <v>0</v>
      </c>
      <c r="G42" s="1"/>
      <c r="H42" s="1">
        <f>SUM(OSRRefH22_7x_0)</f>
        <v>65</v>
      </c>
      <c r="I42" s="1"/>
      <c r="J42" s="5">
        <f t="shared" ref="J42:J45" si="25">IF(H$12=0,0,H42/H$12)</f>
        <v>0</v>
      </c>
      <c r="K42" s="1"/>
      <c r="L42" s="1">
        <f t="shared" ref="L42:L45" si="26">+D42-H42</f>
        <v>160</v>
      </c>
      <c r="M42" s="1"/>
      <c r="N42" s="5">
        <f t="shared" ref="N42:N45" si="27">IF(H42=0,0,L42/H42)</f>
        <v>2.4615384615384617</v>
      </c>
      <c r="O42" s="14"/>
      <c r="P42" s="1">
        <f>SUM(OSRRefP22_7x_0)</f>
        <v>348</v>
      </c>
      <c r="Q42" s="1"/>
      <c r="R42" s="5">
        <f t="shared" ref="R42:R45" si="28">IF(P$12=0,0,P42/P$12)</f>
        <v>0</v>
      </c>
      <c r="S42" s="1"/>
      <c r="T42" s="1">
        <f>SUM(OSRRefT22_7x_0)</f>
        <v>164.35</v>
      </c>
      <c r="U42" s="1"/>
      <c r="V42" s="5">
        <f t="shared" ref="V42:V45" si="29">IF(T$12=0,0,T42/T$12)</f>
        <v>0</v>
      </c>
      <c r="W42" s="1"/>
      <c r="X42" s="1">
        <f t="shared" ref="X42:X45" si="30">+P42-T42</f>
        <v>183.65</v>
      </c>
      <c r="Y42" s="1"/>
      <c r="Z42" s="5">
        <f t="shared" ref="Z42:Z45" si="31">IF(T42=0,0,X42/T42)</f>
        <v>1.1174323090964406</v>
      </c>
    </row>
    <row r="43" spans="1:26" s="24" customFormat="1" hidden="1" outlineLevel="2" x14ac:dyDescent="0.25">
      <c r="A43" s="28"/>
      <c r="B43" s="11" t="str">
        <f>CONCATENATE("          ", "6309", " - ", "TELEPHONE")</f>
        <v xml:space="preserve">          6309 - TELEPHONE</v>
      </c>
      <c r="C43" s="11"/>
      <c r="D43" s="7">
        <v>225</v>
      </c>
      <c r="E43" s="2"/>
      <c r="F43" s="6">
        <f t="shared" si="24"/>
        <v>0</v>
      </c>
      <c r="G43" s="2"/>
      <c r="H43" s="7">
        <v>65</v>
      </c>
      <c r="I43" s="2"/>
      <c r="J43" s="6">
        <f t="shared" si="25"/>
        <v>0</v>
      </c>
      <c r="K43" s="2"/>
      <c r="L43" s="7">
        <f t="shared" si="26"/>
        <v>160</v>
      </c>
      <c r="M43" s="2"/>
      <c r="N43" s="6">
        <f t="shared" si="27"/>
        <v>2.4615384615384617</v>
      </c>
      <c r="O43" s="11"/>
      <c r="P43" s="7">
        <v>348</v>
      </c>
      <c r="Q43" s="2"/>
      <c r="R43" s="6">
        <f t="shared" si="28"/>
        <v>0</v>
      </c>
      <c r="S43" s="2"/>
      <c r="T43" s="7">
        <v>164.35</v>
      </c>
      <c r="U43" s="2"/>
      <c r="V43" s="6">
        <f t="shared" si="29"/>
        <v>0</v>
      </c>
      <c r="W43" s="2"/>
      <c r="X43" s="7">
        <f t="shared" si="30"/>
        <v>183.65</v>
      </c>
      <c r="Y43" s="2"/>
      <c r="Z43" s="6">
        <f t="shared" si="31"/>
        <v>1.1174323090964406</v>
      </c>
    </row>
    <row r="44" spans="1:26" s="27" customFormat="1" outlineLevel="1" collapsed="1" x14ac:dyDescent="0.25">
      <c r="A44" s="29"/>
      <c r="B44" s="14" t="str">
        <f>CONCATENATE("     ","Travel                                            ")</f>
        <v xml:space="preserve">     Travel                                            </v>
      </c>
      <c r="C44" s="14"/>
      <c r="D44" s="1">
        <f>SUM(OSRRefD22_8x_0)</f>
        <v>0</v>
      </c>
      <c r="E44" s="1"/>
      <c r="F44" s="5">
        <f t="shared" si="24"/>
        <v>0</v>
      </c>
      <c r="G44" s="1"/>
      <c r="H44" s="1">
        <f>SUM(OSRRefH22_8x_0)</f>
        <v>16.100000000000001</v>
      </c>
      <c r="I44" s="1"/>
      <c r="J44" s="5">
        <f t="shared" si="25"/>
        <v>0</v>
      </c>
      <c r="K44" s="1"/>
      <c r="L44" s="1">
        <f t="shared" si="26"/>
        <v>-16.100000000000001</v>
      </c>
      <c r="M44" s="1"/>
      <c r="N44" s="5">
        <f t="shared" si="27"/>
        <v>-1</v>
      </c>
      <c r="O44" s="14"/>
      <c r="P44" s="1">
        <f>SUM(OSRRefP22_8x_0)</f>
        <v>0</v>
      </c>
      <c r="Q44" s="1"/>
      <c r="R44" s="5">
        <f t="shared" si="28"/>
        <v>0</v>
      </c>
      <c r="S44" s="1"/>
      <c r="T44" s="1">
        <f>SUM(OSRRefT22_8x_0)</f>
        <v>16.100000000000001</v>
      </c>
      <c r="U44" s="1"/>
      <c r="V44" s="5">
        <f t="shared" si="29"/>
        <v>0</v>
      </c>
      <c r="W44" s="1"/>
      <c r="X44" s="1">
        <f t="shared" si="30"/>
        <v>-16.100000000000001</v>
      </c>
      <c r="Y44" s="1"/>
      <c r="Z44" s="5">
        <f t="shared" si="31"/>
        <v>-1</v>
      </c>
    </row>
    <row r="45" spans="1:26" s="24" customFormat="1" hidden="1" outlineLevel="2" x14ac:dyDescent="0.25">
      <c r="A45" s="28"/>
      <c r="B45" s="11" t="str">
        <f>CONCATENATE("          ", "6292", " - ", "TRAVEL/CONFERENCE")</f>
        <v xml:space="preserve">          6292 - TRAVEL/CONFERENCE</v>
      </c>
      <c r="C45" s="11"/>
      <c r="D45" s="7"/>
      <c r="E45" s="2"/>
      <c r="F45" s="6">
        <f t="shared" si="24"/>
        <v>0</v>
      </c>
      <c r="G45" s="2"/>
      <c r="H45" s="7">
        <v>16.100000000000001</v>
      </c>
      <c r="I45" s="2"/>
      <c r="J45" s="6">
        <f t="shared" si="25"/>
        <v>0</v>
      </c>
      <c r="K45" s="2"/>
      <c r="L45" s="7">
        <f t="shared" si="26"/>
        <v>-16.100000000000001</v>
      </c>
      <c r="M45" s="2"/>
      <c r="N45" s="6">
        <f t="shared" si="27"/>
        <v>-1</v>
      </c>
      <c r="O45" s="11"/>
      <c r="P45" s="7"/>
      <c r="Q45" s="2"/>
      <c r="R45" s="6">
        <f t="shared" si="28"/>
        <v>0</v>
      </c>
      <c r="S45" s="2"/>
      <c r="T45" s="7">
        <v>16.100000000000001</v>
      </c>
      <c r="U45" s="2"/>
      <c r="V45" s="6">
        <f t="shared" si="29"/>
        <v>0</v>
      </c>
      <c r="W45" s="2"/>
      <c r="X45" s="7">
        <f t="shared" si="30"/>
        <v>-16.100000000000001</v>
      </c>
      <c r="Y45" s="2"/>
      <c r="Z45" s="6">
        <f t="shared" si="31"/>
        <v>-1</v>
      </c>
    </row>
    <row r="46" spans="1:26" s="60" customFormat="1" x14ac:dyDescent="0.25">
      <c r="A46" s="37"/>
      <c r="B46" s="37"/>
      <c r="C46" s="37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6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3</v>
      </c>
      <c r="C49" s="25"/>
      <c r="D49" s="22">
        <f>+D16-D18+D47</f>
        <v>-7471.87</v>
      </c>
      <c r="E49" s="13"/>
      <c r="F49" s="21">
        <f>IF(D$12=0,0,D49/D$12)</f>
        <v>0</v>
      </c>
      <c r="G49" s="13"/>
      <c r="H49" s="22">
        <f>+H16-H18+H47</f>
        <v>-6663.1600000000008</v>
      </c>
      <c r="I49" s="13"/>
      <c r="J49" s="21">
        <f>IF(H$12=0,0,H49/H$12)</f>
        <v>0</v>
      </c>
      <c r="K49" s="15"/>
      <c r="L49" s="22">
        <f>+D49-H49</f>
        <v>-808.70999999999913</v>
      </c>
      <c r="M49" s="15"/>
      <c r="N49" s="21">
        <f>IF(H49=0,0,L49/H49)</f>
        <v>0.12137034079926026</v>
      </c>
      <c r="O49" s="26"/>
      <c r="P49" s="22">
        <f>+P16-P18+P47</f>
        <v>-24127.959999999995</v>
      </c>
      <c r="Q49" s="13"/>
      <c r="R49" s="21">
        <f>IF(P$12=0,0,P49/P$12)</f>
        <v>0</v>
      </c>
      <c r="S49" s="13"/>
      <c r="T49" s="22">
        <f>+T16-T18+T47</f>
        <v>-24123.579999999994</v>
      </c>
      <c r="U49" s="13"/>
      <c r="V49" s="21">
        <f>IF(T$12=0,0,T49/T$12)</f>
        <v>0</v>
      </c>
      <c r="W49" s="15"/>
      <c r="X49" s="22">
        <f>+P49-T49</f>
        <v>-4.3800000000010186</v>
      </c>
      <c r="Y49" s="15"/>
      <c r="Z49" s="21">
        <f>IF(T49=0,0,X49/T49)</f>
        <v>1.8156509108519628E-4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1"/>
      <c r="B51" s="10" t="s">
        <v>13</v>
      </c>
      <c r="C51" s="10"/>
      <c r="D51" s="4"/>
      <c r="E51" s="4"/>
      <c r="F51" s="12">
        <f>IF(D$12=0,0,D51/D$12)</f>
        <v>0</v>
      </c>
      <c r="G51" s="4"/>
      <c r="H51" s="4"/>
      <c r="I51" s="4"/>
      <c r="J51" s="12">
        <f>IF(H$12=0,0,H51/H$12)</f>
        <v>0</v>
      </c>
      <c r="K51" s="4"/>
      <c r="L51" s="4">
        <f>+D51-H51</f>
        <v>0</v>
      </c>
      <c r="M51" s="4"/>
      <c r="N51" s="12">
        <f>IF(H51=0,0,L51/H51)</f>
        <v>0</v>
      </c>
      <c r="O51" s="10"/>
      <c r="P51" s="4"/>
      <c r="Q51" s="4"/>
      <c r="R51" s="12">
        <f>IF(P$12=0,0,P51/P$12)</f>
        <v>0</v>
      </c>
      <c r="S51" s="4"/>
      <c r="T51" s="4"/>
      <c r="U51" s="4"/>
      <c r="V51" s="12">
        <f>IF(T$12=0,0,T51/T$12)</f>
        <v>0</v>
      </c>
      <c r="W51" s="4"/>
      <c r="X51" s="4">
        <f>+P51-T51</f>
        <v>0</v>
      </c>
      <c r="Y51" s="4"/>
      <c r="Z51" s="12">
        <f>IF(T51=0,0,X51/T51)</f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4</v>
      </c>
      <c r="C53" s="25"/>
      <c r="D53" s="33">
        <f>+D49-D51</f>
        <v>-7471.87</v>
      </c>
      <c r="E53" s="13"/>
      <c r="F53" s="32">
        <f>IF(D$12=0,0,D53/D$12)</f>
        <v>0</v>
      </c>
      <c r="G53" s="13"/>
      <c r="H53" s="33">
        <f>+H49-H51</f>
        <v>-6663.1600000000008</v>
      </c>
      <c r="I53" s="13"/>
      <c r="J53" s="32">
        <f>IF(H$12=0,0,H53/H$12)</f>
        <v>0</v>
      </c>
      <c r="K53" s="15"/>
      <c r="L53" s="33">
        <f>D53-H53</f>
        <v>-808.70999999999913</v>
      </c>
      <c r="M53" s="15"/>
      <c r="N53" s="32">
        <f>IF(H53=0,0,L53/H53)</f>
        <v>0.12137034079926026</v>
      </c>
      <c r="O53" s="26"/>
      <c r="P53" s="33">
        <f>+P49-P51</f>
        <v>-24127.959999999995</v>
      </c>
      <c r="Q53" s="13"/>
      <c r="R53" s="32">
        <f>IF(P$12=0,0,P53/P$12)</f>
        <v>0</v>
      </c>
      <c r="S53" s="13"/>
      <c r="T53" s="33">
        <f>+T49-T51</f>
        <v>-24123.579999999994</v>
      </c>
      <c r="U53" s="13"/>
      <c r="V53" s="32">
        <f>IF(T$12=0,0,T53/T$12)</f>
        <v>0</v>
      </c>
      <c r="W53" s="15"/>
      <c r="X53" s="33">
        <f>P53-T53</f>
        <v>-4.3800000000010186</v>
      </c>
      <c r="Y53" s="15"/>
      <c r="Z53" s="32">
        <f>IF(T53=0,0,X53/T53)</f>
        <v>1.8156509108519628E-4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5" t="s">
        <v>5</v>
      </c>
      <c r="C56" s="25"/>
      <c r="D56" s="34">
        <f>SUM(D53:D55)</f>
        <v>-7471.87</v>
      </c>
      <c r="E56" s="13"/>
      <c r="F56" s="31">
        <f>IF(D$12=0,0,D56/D$12)</f>
        <v>0</v>
      </c>
      <c r="G56" s="13"/>
      <c r="H56" s="34">
        <f>SUM(H53:H55)</f>
        <v>-6663.1600000000008</v>
      </c>
      <c r="I56" s="13"/>
      <c r="J56" s="31">
        <f>IF(H$12=0,0,H56/H$12)</f>
        <v>0</v>
      </c>
      <c r="K56" s="15"/>
      <c r="L56" s="34">
        <f>+D56-H56</f>
        <v>-808.70999999999913</v>
      </c>
      <c r="M56" s="15"/>
      <c r="N56" s="31">
        <f>IF(H56=0,0,L56/H56)</f>
        <v>0.12137034079926026</v>
      </c>
      <c r="O56" s="26"/>
      <c r="P56" s="34">
        <f>SUM(P53:P55)</f>
        <v>-24127.959999999995</v>
      </c>
      <c r="Q56" s="13"/>
      <c r="R56" s="31">
        <f>IF(P$12=0,0,P56/P$12)</f>
        <v>0</v>
      </c>
      <c r="S56" s="13"/>
      <c r="T56" s="34">
        <f>SUM(T53:T55)</f>
        <v>-24123.579999999994</v>
      </c>
      <c r="U56" s="13"/>
      <c r="V56" s="31">
        <f>IF(T$12=0,0,T56/T$12)</f>
        <v>0</v>
      </c>
      <c r="W56" s="15"/>
      <c r="X56" s="34">
        <f>+P56-T56</f>
        <v>-4.3800000000010186</v>
      </c>
      <c r="Y56" s="15"/>
      <c r="Z56" s="31">
        <f>IF(T56=0,0,X56/T56)</f>
        <v>1.8156509108519628E-4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4">
        <v>44123.565052430553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9" t="s">
        <v>313</v>
      </c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A60" s="9"/>
      <c r="B60" s="58"/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  <row r="61" spans="1:26" x14ac:dyDescent="0.25">
      <c r="D61" s="18"/>
      <c r="E61" s="18"/>
      <c r="G61" s="18"/>
      <c r="H61" s="18"/>
      <c r="I61" s="18"/>
      <c r="J61" s="42"/>
      <c r="K61" s="18"/>
      <c r="L61" s="18"/>
      <c r="M61" s="18"/>
      <c r="P61" s="18"/>
      <c r="Q61" s="18"/>
      <c r="R61" s="42"/>
      <c r="S61" s="18"/>
      <c r="T61" s="18"/>
      <c r="U61" s="18"/>
      <c r="V61" s="42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","206", " - ", "Graphics")</f>
        <v>Department 206 - Graphics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7691.3700000000008</v>
      </c>
      <c r="E18" s="20"/>
      <c r="F18" s="36">
        <f t="shared" ref="F18:F26" si="0">IF(D$12=0,0,D18/D$12)</f>
        <v>0</v>
      </c>
      <c r="G18" s="20"/>
      <c r="H18" s="20">
        <f>SUM(OSRRefH22x_0)</f>
        <v>11478.149999999996</v>
      </c>
      <c r="I18" s="20"/>
      <c r="J18" s="36">
        <f t="shared" ref="J18:J26" si="1">IF(H$12=0,0,H18/H$12)</f>
        <v>0</v>
      </c>
      <c r="K18" s="4"/>
      <c r="L18" s="20">
        <f t="shared" ref="L18:L26" si="2">+D18-H18</f>
        <v>-3786.7799999999952</v>
      </c>
      <c r="M18" s="4"/>
      <c r="N18" s="36">
        <f t="shared" ref="N18:N26" si="3">IF(H18=0,0,L18/H18)</f>
        <v>-0.32991205028684906</v>
      </c>
      <c r="O18" s="10"/>
      <c r="P18" s="20">
        <f>SUM(OSRRefP22x_0)</f>
        <v>26463.289999999997</v>
      </c>
      <c r="Q18" s="20"/>
      <c r="R18" s="36">
        <f t="shared" ref="R18:R26" si="4">IF(P$12=0,0,P18/P$12)</f>
        <v>0</v>
      </c>
      <c r="S18" s="20"/>
      <c r="T18" s="20">
        <f>SUM(OSRRefT22x_0)</f>
        <v>25426.049999999996</v>
      </c>
      <c r="U18" s="20"/>
      <c r="V18" s="36">
        <f t="shared" ref="V18:V26" si="5">IF(T$12=0,0,T18/T$12)</f>
        <v>0</v>
      </c>
      <c r="W18" s="4"/>
      <c r="X18" s="20">
        <f t="shared" ref="X18:X26" si="6">+P18-T18</f>
        <v>1037.2400000000016</v>
      </c>
      <c r="Y18" s="4"/>
      <c r="Z18" s="36">
        <f t="shared" ref="Z18:Z26" si="7">IF(T18=0,0,X18/T18)</f>
        <v>4.0794382139577395E-2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1489.6699999999998</v>
      </c>
      <c r="E19" s="1"/>
      <c r="F19" s="5">
        <f t="shared" si="0"/>
        <v>0</v>
      </c>
      <c r="G19" s="1"/>
      <c r="H19" s="1">
        <f>SUM(OSRRefH22_0x_0)</f>
        <v>1726.3899999999999</v>
      </c>
      <c r="I19" s="1"/>
      <c r="J19" s="5">
        <f t="shared" si="1"/>
        <v>0</v>
      </c>
      <c r="K19" s="1"/>
      <c r="L19" s="1">
        <f t="shared" si="2"/>
        <v>-236.72000000000003</v>
      </c>
      <c r="M19" s="1"/>
      <c r="N19" s="5">
        <f t="shared" si="3"/>
        <v>-0.13711849582075894</v>
      </c>
      <c r="O19" s="14"/>
      <c r="P19" s="1">
        <f>SUM(OSRRefP22_0x_0)</f>
        <v>4568.2300000000005</v>
      </c>
      <c r="Q19" s="1"/>
      <c r="R19" s="5">
        <f t="shared" si="4"/>
        <v>0</v>
      </c>
      <c r="S19" s="1"/>
      <c r="T19" s="1">
        <f>SUM(OSRRefT22_0x_0)</f>
        <v>5833.15</v>
      </c>
      <c r="U19" s="1"/>
      <c r="V19" s="5">
        <f t="shared" si="5"/>
        <v>0</v>
      </c>
      <c r="W19" s="1"/>
      <c r="X19" s="1">
        <f t="shared" si="6"/>
        <v>-1264.9199999999992</v>
      </c>
      <c r="Y19" s="1"/>
      <c r="Z19" s="5">
        <f t="shared" si="7"/>
        <v>-0.21685024386480706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348.86</v>
      </c>
      <c r="E20" s="2"/>
      <c r="F20" s="6">
        <f t="shared" si="0"/>
        <v>0</v>
      </c>
      <c r="G20" s="2"/>
      <c r="H20" s="7">
        <v>389.05</v>
      </c>
      <c r="I20" s="2"/>
      <c r="J20" s="6">
        <f t="shared" si="1"/>
        <v>0</v>
      </c>
      <c r="K20" s="2"/>
      <c r="L20" s="7">
        <f t="shared" si="2"/>
        <v>-40.19</v>
      </c>
      <c r="M20" s="2"/>
      <c r="N20" s="6">
        <f t="shared" si="3"/>
        <v>-0.10330291736280683</v>
      </c>
      <c r="O20" s="11"/>
      <c r="P20" s="7">
        <v>1138.22</v>
      </c>
      <c r="Q20" s="2"/>
      <c r="R20" s="6">
        <f t="shared" si="4"/>
        <v>0</v>
      </c>
      <c r="S20" s="2"/>
      <c r="T20" s="7">
        <v>1878.21</v>
      </c>
      <c r="U20" s="2"/>
      <c r="V20" s="6">
        <f t="shared" si="5"/>
        <v>0</v>
      </c>
      <c r="W20" s="2"/>
      <c r="X20" s="7">
        <f t="shared" si="6"/>
        <v>-739.99</v>
      </c>
      <c r="Y20" s="2"/>
      <c r="Z20" s="6">
        <f t="shared" si="7"/>
        <v>-0.39398682788399592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18.87</v>
      </c>
      <c r="E21" s="2"/>
      <c r="F21" s="6">
        <f t="shared" si="0"/>
        <v>0</v>
      </c>
      <c r="G21" s="2"/>
      <c r="H21" s="7">
        <v>32.659999999999997</v>
      </c>
      <c r="I21" s="2"/>
      <c r="J21" s="6">
        <f t="shared" si="1"/>
        <v>0</v>
      </c>
      <c r="K21" s="2"/>
      <c r="L21" s="7">
        <f t="shared" si="2"/>
        <v>-13.789999999999996</v>
      </c>
      <c r="M21" s="2"/>
      <c r="N21" s="6">
        <f t="shared" si="3"/>
        <v>-0.4222290263319044</v>
      </c>
      <c r="O21" s="11"/>
      <c r="P21" s="7">
        <v>60.85</v>
      </c>
      <c r="Q21" s="2"/>
      <c r="R21" s="6">
        <f t="shared" si="4"/>
        <v>0</v>
      </c>
      <c r="S21" s="2"/>
      <c r="T21" s="7">
        <v>97.22</v>
      </c>
      <c r="U21" s="2"/>
      <c r="V21" s="6">
        <f t="shared" si="5"/>
        <v>0</v>
      </c>
      <c r="W21" s="2"/>
      <c r="X21" s="7">
        <f t="shared" si="6"/>
        <v>-36.369999999999997</v>
      </c>
      <c r="Y21" s="2"/>
      <c r="Z21" s="6">
        <f t="shared" si="7"/>
        <v>-0.37409997942810119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700.91</v>
      </c>
      <c r="I22" s="2"/>
      <c r="J22" s="6">
        <f t="shared" si="1"/>
        <v>0</v>
      </c>
      <c r="K22" s="2"/>
      <c r="L22" s="7">
        <f t="shared" si="2"/>
        <v>-3.999999999996362E-2</v>
      </c>
      <c r="M22" s="2"/>
      <c r="N22" s="6">
        <f t="shared" si="3"/>
        <v>-5.7068667874568234E-5</v>
      </c>
      <c r="O22" s="11"/>
      <c r="P22" s="7">
        <v>2102.61</v>
      </c>
      <c r="Q22" s="2"/>
      <c r="R22" s="6">
        <f t="shared" si="4"/>
        <v>0</v>
      </c>
      <c r="S22" s="2"/>
      <c r="T22" s="7">
        <v>2102.73</v>
      </c>
      <c r="U22" s="2"/>
      <c r="V22" s="6">
        <f t="shared" si="5"/>
        <v>0</v>
      </c>
      <c r="W22" s="2"/>
      <c r="X22" s="7">
        <f t="shared" si="6"/>
        <v>-0.11999999999989086</v>
      </c>
      <c r="Y22" s="2"/>
      <c r="Z22" s="6">
        <f t="shared" si="7"/>
        <v>-5.7068667874568234E-5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14.87</v>
      </c>
      <c r="E23" s="2"/>
      <c r="F23" s="6">
        <f t="shared" si="0"/>
        <v>0</v>
      </c>
      <c r="G23" s="2"/>
      <c r="H23" s="7">
        <v>24.98</v>
      </c>
      <c r="I23" s="2"/>
      <c r="J23" s="6">
        <f t="shared" si="1"/>
        <v>0</v>
      </c>
      <c r="K23" s="2"/>
      <c r="L23" s="7">
        <f t="shared" si="2"/>
        <v>-10.110000000000001</v>
      </c>
      <c r="M23" s="2"/>
      <c r="N23" s="6">
        <f t="shared" si="3"/>
        <v>-0.4047237790232186</v>
      </c>
      <c r="O23" s="11"/>
      <c r="P23" s="7">
        <v>47.95</v>
      </c>
      <c r="Q23" s="2"/>
      <c r="R23" s="6">
        <f t="shared" si="4"/>
        <v>0</v>
      </c>
      <c r="S23" s="2"/>
      <c r="T23" s="7">
        <v>74.349999999999994</v>
      </c>
      <c r="U23" s="2"/>
      <c r="V23" s="6">
        <f t="shared" si="5"/>
        <v>0</v>
      </c>
      <c r="W23" s="2"/>
      <c r="X23" s="7">
        <f t="shared" si="6"/>
        <v>-26.399999999999991</v>
      </c>
      <c r="Y23" s="2"/>
      <c r="Z23" s="6">
        <f t="shared" si="7"/>
        <v>-0.35507733691997301</v>
      </c>
    </row>
    <row r="24" spans="1:26" s="24" customFormat="1" hidden="1" outlineLevel="2" x14ac:dyDescent="0.25">
      <c r="A24" s="28"/>
      <c r="B24" s="11" t="str">
        <f>CONCATENATE("          ", "6118", " - ", "VACATION")</f>
        <v xml:space="preserve">          6118 - VACATION</v>
      </c>
      <c r="C24" s="11"/>
      <c r="D24" s="7">
        <v>184.8</v>
      </c>
      <c r="E24" s="2"/>
      <c r="F24" s="6">
        <f t="shared" si="0"/>
        <v>0</v>
      </c>
      <c r="G24" s="2"/>
      <c r="H24" s="7">
        <v>184.8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554.4</v>
      </c>
      <c r="Q24" s="2"/>
      <c r="R24" s="6">
        <f t="shared" si="4"/>
        <v>0</v>
      </c>
      <c r="S24" s="2"/>
      <c r="T24" s="7">
        <v>554.4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8"/>
      <c r="B25" s="11" t="str">
        <f>CONCATENATE("          ", "6119", " - ", "SICK LEAVE")</f>
        <v xml:space="preserve">          6119 - SICK LEAVE</v>
      </c>
      <c r="C25" s="11"/>
      <c r="D25" s="7">
        <v>221.4</v>
      </c>
      <c r="E25" s="2"/>
      <c r="F25" s="6">
        <f t="shared" si="0"/>
        <v>0</v>
      </c>
      <c r="G25" s="2"/>
      <c r="H25" s="7">
        <v>221.4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664.2</v>
      </c>
      <c r="Q25" s="2"/>
      <c r="R25" s="6">
        <f t="shared" si="4"/>
        <v>0</v>
      </c>
      <c r="S25" s="2"/>
      <c r="T25" s="7">
        <v>664.2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"6156", " - ", "EMPLOYEE MEALS")</f>
        <v xml:space="preserve">          6156 - EMPLOYEE MEALS</v>
      </c>
      <c r="C26" s="11"/>
      <c r="D26" s="7"/>
      <c r="E26" s="2"/>
      <c r="F26" s="6">
        <f t="shared" si="0"/>
        <v>0</v>
      </c>
      <c r="G26" s="2"/>
      <c r="H26" s="7">
        <v>172.59</v>
      </c>
      <c r="I26" s="2"/>
      <c r="J26" s="6">
        <f t="shared" si="1"/>
        <v>0</v>
      </c>
      <c r="K26" s="2"/>
      <c r="L26" s="7">
        <f t="shared" si="2"/>
        <v>-172.59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462.04</v>
      </c>
      <c r="U26" s="2"/>
      <c r="V26" s="6">
        <f t="shared" si="5"/>
        <v>0</v>
      </c>
      <c r="W26" s="2"/>
      <c r="X26" s="7">
        <f t="shared" si="6"/>
        <v>-462.04</v>
      </c>
      <c r="Y26" s="2"/>
      <c r="Z26" s="6">
        <f t="shared" si="7"/>
        <v>-1</v>
      </c>
    </row>
    <row r="27" spans="1:26" s="27" customFormat="1" outlineLevel="1" collapsed="1" x14ac:dyDescent="0.25">
      <c r="A27" s="29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5757.22</v>
      </c>
      <c r="E27" s="1"/>
      <c r="F27" s="5">
        <f t="shared" ref="F27:F31" si="8">IF(D$12=0,0,D27/D$12)</f>
        <v>0</v>
      </c>
      <c r="G27" s="1"/>
      <c r="H27" s="1">
        <f>SUM(OSRRefH22_1x_0)</f>
        <v>9238.5199999999986</v>
      </c>
      <c r="I27" s="1"/>
      <c r="J27" s="5">
        <f t="shared" ref="J27:J31" si="9">IF(H$12=0,0,H27/H$12)</f>
        <v>0</v>
      </c>
      <c r="K27" s="1"/>
      <c r="L27" s="1">
        <f t="shared" ref="L27:L31" si="10">+D27-H27</f>
        <v>-3481.2999999999984</v>
      </c>
      <c r="M27" s="1"/>
      <c r="N27" s="5">
        <f t="shared" ref="N27:N31" si="11">IF(H27=0,0,L27/H27)</f>
        <v>-0.37682442642327979</v>
      </c>
      <c r="O27" s="14"/>
      <c r="P27" s="1">
        <f>SUM(OSRRefP22_1x_0)</f>
        <v>20662.830000000002</v>
      </c>
      <c r="Q27" s="1"/>
      <c r="R27" s="5">
        <f t="shared" ref="R27:R31" si="12">IF(P$12=0,0,P27/P$12)</f>
        <v>0</v>
      </c>
      <c r="S27" s="1"/>
      <c r="T27" s="1">
        <f>SUM(OSRRefT22_1x_0)</f>
        <v>31527.599999999999</v>
      </c>
      <c r="U27" s="1"/>
      <c r="V27" s="5">
        <f t="shared" ref="V27:V31" si="13">IF(T$12=0,0,T27/T$12)</f>
        <v>0</v>
      </c>
      <c r="W27" s="1"/>
      <c r="X27" s="1">
        <f t="shared" ref="X27:X31" si="14">+P27-T27</f>
        <v>-10864.769999999997</v>
      </c>
      <c r="Y27" s="1"/>
      <c r="Z27" s="5">
        <f t="shared" ref="Z27:Z31" si="15">IF(T27=0,0,X27/T27)</f>
        <v>-0.34461138811707831</v>
      </c>
    </row>
    <row r="28" spans="1:26" s="24" customFormat="1" hidden="1" outlineLevel="2" x14ac:dyDescent="0.25">
      <c r="A28" s="28"/>
      <c r="B28" s="11" t="str">
        <f>CONCATENATE("          ", "6004", " - ", "STAFF HOURLY")</f>
        <v xml:space="preserve">          6004 - STAFF HOURLY</v>
      </c>
      <c r="C28" s="11"/>
      <c r="D28" s="7">
        <v>4593.75</v>
      </c>
      <c r="E28" s="2"/>
      <c r="F28" s="6">
        <f t="shared" si="8"/>
        <v>0</v>
      </c>
      <c r="G28" s="2"/>
      <c r="H28" s="7">
        <v>4597.5</v>
      </c>
      <c r="I28" s="2"/>
      <c r="J28" s="6">
        <f t="shared" si="9"/>
        <v>0</v>
      </c>
      <c r="K28" s="2"/>
      <c r="L28" s="7">
        <f t="shared" si="10"/>
        <v>-3.75</v>
      </c>
      <c r="M28" s="2"/>
      <c r="N28" s="6">
        <f t="shared" si="11"/>
        <v>-8.1566068515497557E-4</v>
      </c>
      <c r="O28" s="11"/>
      <c r="P28" s="7">
        <v>15202.5</v>
      </c>
      <c r="Q28" s="2"/>
      <c r="R28" s="6">
        <f t="shared" si="12"/>
        <v>0</v>
      </c>
      <c r="S28" s="2"/>
      <c r="T28" s="7">
        <v>14718.75</v>
      </c>
      <c r="U28" s="2"/>
      <c r="V28" s="6">
        <f t="shared" si="13"/>
        <v>0</v>
      </c>
      <c r="W28" s="2"/>
      <c r="X28" s="7">
        <f t="shared" si="14"/>
        <v>483.75</v>
      </c>
      <c r="Y28" s="2"/>
      <c r="Z28" s="6">
        <f t="shared" si="15"/>
        <v>3.2866242038216559E-2</v>
      </c>
    </row>
    <row r="29" spans="1:26" s="24" customFormat="1" hidden="1" outlineLevel="2" x14ac:dyDescent="0.25">
      <c r="A29" s="28"/>
      <c r="B29" s="11" t="str">
        <f>CONCATENATE("          ", "6006", " - ", "TEMPORARY PART TIME")</f>
        <v xml:space="preserve">          6006 - TEMPORARY PART TIME</v>
      </c>
      <c r="C29" s="11"/>
      <c r="D29" s="7"/>
      <c r="E29" s="2"/>
      <c r="F29" s="6">
        <f t="shared" si="8"/>
        <v>0</v>
      </c>
      <c r="G29" s="2"/>
      <c r="H29" s="7">
        <v>498.75</v>
      </c>
      <c r="I29" s="2"/>
      <c r="J29" s="6">
        <f t="shared" si="9"/>
        <v>0</v>
      </c>
      <c r="K29" s="2"/>
      <c r="L29" s="7">
        <f t="shared" si="10"/>
        <v>-498.75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2361.4299999999998</v>
      </c>
      <c r="U29" s="2"/>
      <c r="V29" s="6">
        <f t="shared" si="13"/>
        <v>0</v>
      </c>
      <c r="W29" s="2"/>
      <c r="X29" s="7">
        <f t="shared" si="14"/>
        <v>-2361.4299999999998</v>
      </c>
      <c r="Y29" s="2"/>
      <c r="Z29" s="6">
        <f t="shared" si="15"/>
        <v>-1</v>
      </c>
    </row>
    <row r="30" spans="1:26" s="24" customFormat="1" hidden="1" outlineLevel="2" x14ac:dyDescent="0.25">
      <c r="A30" s="28"/>
      <c r="B30" s="11" t="str">
        <f>CONCATENATE("          ", "6007", " - ", "STUDENT HOURLY")</f>
        <v xml:space="preserve">          6007 - STUDENT HOURLY</v>
      </c>
      <c r="C30" s="11"/>
      <c r="D30" s="7">
        <v>-7</v>
      </c>
      <c r="E30" s="2"/>
      <c r="F30" s="6">
        <f t="shared" si="8"/>
        <v>0</v>
      </c>
      <c r="G30" s="2"/>
      <c r="H30" s="7">
        <v>3193.89</v>
      </c>
      <c r="I30" s="2"/>
      <c r="J30" s="6">
        <f t="shared" si="9"/>
        <v>0</v>
      </c>
      <c r="K30" s="2"/>
      <c r="L30" s="7">
        <f t="shared" si="10"/>
        <v>-3200.89</v>
      </c>
      <c r="M30" s="2"/>
      <c r="N30" s="6">
        <f t="shared" si="11"/>
        <v>-1.0021916847480659</v>
      </c>
      <c r="O30" s="11"/>
      <c r="P30" s="7">
        <v>1251</v>
      </c>
      <c r="Q30" s="2"/>
      <c r="R30" s="6">
        <f t="shared" si="12"/>
        <v>0</v>
      </c>
      <c r="S30" s="2"/>
      <c r="T30" s="7">
        <v>13189.85</v>
      </c>
      <c r="U30" s="2"/>
      <c r="V30" s="6">
        <f t="shared" si="13"/>
        <v>0</v>
      </c>
      <c r="W30" s="2"/>
      <c r="X30" s="7">
        <f t="shared" si="14"/>
        <v>-11938.85</v>
      </c>
      <c r="Y30" s="2"/>
      <c r="Z30" s="6">
        <f t="shared" si="15"/>
        <v>-0.90515434216461899</v>
      </c>
    </row>
    <row r="31" spans="1:26" s="24" customFormat="1" hidden="1" outlineLevel="2" x14ac:dyDescent="0.25">
      <c r="A31" s="28"/>
      <c r="B31" s="11" t="str">
        <f>CONCATENATE("          ", "6008", " - ", "STUDENT HOURLY-FICA EXEMPT")</f>
        <v xml:space="preserve">          6008 - STUDENT HOURLY-FICA EXEMPT</v>
      </c>
      <c r="C31" s="11"/>
      <c r="D31" s="7">
        <v>1170.47</v>
      </c>
      <c r="E31" s="2"/>
      <c r="F31" s="6">
        <f t="shared" si="8"/>
        <v>0</v>
      </c>
      <c r="G31" s="2"/>
      <c r="H31" s="7">
        <v>948.38</v>
      </c>
      <c r="I31" s="2"/>
      <c r="J31" s="6">
        <f t="shared" si="9"/>
        <v>0</v>
      </c>
      <c r="K31" s="2"/>
      <c r="L31" s="7">
        <f t="shared" si="10"/>
        <v>222.09000000000003</v>
      </c>
      <c r="M31" s="2"/>
      <c r="N31" s="6">
        <f t="shared" si="11"/>
        <v>0.23417828296674331</v>
      </c>
      <c r="O31" s="11"/>
      <c r="P31" s="7">
        <v>4209.33</v>
      </c>
      <c r="Q31" s="2"/>
      <c r="R31" s="6">
        <f t="shared" si="12"/>
        <v>0</v>
      </c>
      <c r="S31" s="2"/>
      <c r="T31" s="7">
        <v>1257.57</v>
      </c>
      <c r="U31" s="2"/>
      <c r="V31" s="6">
        <f t="shared" si="13"/>
        <v>0</v>
      </c>
      <c r="W31" s="2"/>
      <c r="X31" s="7">
        <f t="shared" si="14"/>
        <v>2951.76</v>
      </c>
      <c r="Y31" s="2"/>
      <c r="Z31" s="6">
        <f t="shared" si="15"/>
        <v>2.3471933967890459</v>
      </c>
    </row>
    <row r="32" spans="1:26" s="27" customFormat="1" outlineLevel="1" collapsed="1" x14ac:dyDescent="0.25">
      <c r="A32" s="29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173.21</v>
      </c>
      <c r="E32" s="1"/>
      <c r="F32" s="5">
        <f t="shared" ref="F32:F40" si="16">IF(D$12=0,0,D32/D$12)</f>
        <v>0</v>
      </c>
      <c r="G32" s="1"/>
      <c r="H32" s="1">
        <f>SUM(OSRRefH22_2x_0)</f>
        <v>-472.7</v>
      </c>
      <c r="I32" s="1"/>
      <c r="J32" s="5">
        <f t="shared" ref="J32:J40" si="17">IF(H$12=0,0,H32/H$12)</f>
        <v>0</v>
      </c>
      <c r="K32" s="1"/>
      <c r="L32" s="1">
        <f t="shared" ref="L32:L40" si="18">+D32-H32</f>
        <v>645.91</v>
      </c>
      <c r="M32" s="1"/>
      <c r="N32" s="5">
        <f t="shared" ref="N32:N40" si="19">IF(H32=0,0,L32/H32)</f>
        <v>-1.3664269092447641</v>
      </c>
      <c r="O32" s="14"/>
      <c r="P32" s="1">
        <f>SUM(OSRRefP22_2x_0)</f>
        <v>346.42</v>
      </c>
      <c r="Q32" s="1"/>
      <c r="R32" s="5">
        <f t="shared" ref="R32:R40" si="20">IF(P$12=0,0,P32/P$12)</f>
        <v>0</v>
      </c>
      <c r="S32" s="1"/>
      <c r="T32" s="1">
        <f>SUM(OSRRefT22_2x_0)</f>
        <v>-14196.94</v>
      </c>
      <c r="U32" s="1"/>
      <c r="V32" s="5">
        <f t="shared" ref="V32:V40" si="21">IF(T$12=0,0,T32/T$12)</f>
        <v>0</v>
      </c>
      <c r="W32" s="1"/>
      <c r="X32" s="1">
        <f t="shared" ref="X32:X40" si="22">+P32-T32</f>
        <v>14543.36</v>
      </c>
      <c r="Y32" s="1"/>
      <c r="Z32" s="5">
        <f t="shared" ref="Z32:Z40" si="23">IF(T32=0,0,X32/T32)</f>
        <v>-1.0244010328986388</v>
      </c>
    </row>
    <row r="33" spans="1:26" s="24" customFormat="1" hidden="1" outlineLevel="2" x14ac:dyDescent="0.25">
      <c r="A33" s="28"/>
      <c r="B33" s="11" t="str">
        <f>CONCATENATE("          ", "6362", " - ", "ADVERTISING EXPENSE")</f>
        <v xml:space="preserve">          6362 - ADVERTISING EXPENSE</v>
      </c>
      <c r="C33" s="11"/>
      <c r="D33" s="7">
        <v>173.21</v>
      </c>
      <c r="E33" s="2"/>
      <c r="F33" s="6">
        <f t="shared" si="16"/>
        <v>0</v>
      </c>
      <c r="G33" s="2"/>
      <c r="H33" s="7">
        <v>-472.7</v>
      </c>
      <c r="I33" s="2"/>
      <c r="J33" s="6">
        <f t="shared" si="17"/>
        <v>0</v>
      </c>
      <c r="K33" s="2"/>
      <c r="L33" s="7">
        <f t="shared" si="18"/>
        <v>645.91</v>
      </c>
      <c r="M33" s="2"/>
      <c r="N33" s="6">
        <f t="shared" si="19"/>
        <v>-1.3664269092447641</v>
      </c>
      <c r="O33" s="11"/>
      <c r="P33" s="7">
        <v>346.42</v>
      </c>
      <c r="Q33" s="2"/>
      <c r="R33" s="6">
        <f t="shared" si="20"/>
        <v>0</v>
      </c>
      <c r="S33" s="2"/>
      <c r="T33" s="7">
        <v>-14196.94</v>
      </c>
      <c r="U33" s="2"/>
      <c r="V33" s="6">
        <f t="shared" si="21"/>
        <v>0</v>
      </c>
      <c r="W33" s="2"/>
      <c r="X33" s="7">
        <f t="shared" si="22"/>
        <v>14543.36</v>
      </c>
      <c r="Y33" s="2"/>
      <c r="Z33" s="6">
        <f t="shared" si="23"/>
        <v>-1.0244010328986388</v>
      </c>
    </row>
    <row r="34" spans="1:26" s="27" customFormat="1" outlineLevel="1" collapsed="1" x14ac:dyDescent="0.25">
      <c r="A34" s="29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271.27</v>
      </c>
      <c r="E34" s="1"/>
      <c r="F34" s="5">
        <f t="shared" si="16"/>
        <v>0</v>
      </c>
      <c r="G34" s="1"/>
      <c r="H34" s="1">
        <f>SUM(OSRRefH22_3x_0)</f>
        <v>295.67</v>
      </c>
      <c r="I34" s="1"/>
      <c r="J34" s="5">
        <f t="shared" si="17"/>
        <v>0</v>
      </c>
      <c r="K34" s="1"/>
      <c r="L34" s="1">
        <f t="shared" si="18"/>
        <v>-24.400000000000034</v>
      </c>
      <c r="M34" s="1"/>
      <c r="N34" s="5">
        <f t="shared" si="19"/>
        <v>-8.2524436026651452E-2</v>
      </c>
      <c r="O34" s="14"/>
      <c r="P34" s="1">
        <f>SUM(OSRRefP22_3x_0)</f>
        <v>813.81</v>
      </c>
      <c r="Q34" s="1"/>
      <c r="R34" s="5">
        <f t="shared" si="20"/>
        <v>0</v>
      </c>
      <c r="S34" s="1"/>
      <c r="T34" s="1">
        <f>SUM(OSRRefT22_3x_0)</f>
        <v>887.01</v>
      </c>
      <c r="U34" s="1"/>
      <c r="V34" s="5">
        <f t="shared" si="21"/>
        <v>0</v>
      </c>
      <c r="W34" s="1"/>
      <c r="X34" s="1">
        <f t="shared" si="22"/>
        <v>-73.200000000000045</v>
      </c>
      <c r="Y34" s="1"/>
      <c r="Z34" s="5">
        <f t="shared" si="23"/>
        <v>-8.2524436026651382E-2</v>
      </c>
    </row>
    <row r="35" spans="1:26" s="24" customFormat="1" hidden="1" outlineLevel="2" x14ac:dyDescent="0.25">
      <c r="A35" s="28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271.27</v>
      </c>
      <c r="E35" s="2"/>
      <c r="F35" s="6">
        <f t="shared" si="16"/>
        <v>0</v>
      </c>
      <c r="G35" s="2"/>
      <c r="H35" s="7">
        <v>295.67</v>
      </c>
      <c r="I35" s="2"/>
      <c r="J35" s="6">
        <f t="shared" si="17"/>
        <v>0</v>
      </c>
      <c r="K35" s="2"/>
      <c r="L35" s="7">
        <f t="shared" si="18"/>
        <v>-24.400000000000034</v>
      </c>
      <c r="M35" s="2"/>
      <c r="N35" s="6">
        <f t="shared" si="19"/>
        <v>-8.2524436026651452E-2</v>
      </c>
      <c r="O35" s="11"/>
      <c r="P35" s="7">
        <v>813.81</v>
      </c>
      <c r="Q35" s="2"/>
      <c r="R35" s="6">
        <f t="shared" si="20"/>
        <v>0</v>
      </c>
      <c r="S35" s="2"/>
      <c r="T35" s="7">
        <v>887.01</v>
      </c>
      <c r="U35" s="2"/>
      <c r="V35" s="6">
        <f t="shared" si="21"/>
        <v>0</v>
      </c>
      <c r="W35" s="2"/>
      <c r="X35" s="7">
        <f t="shared" si="22"/>
        <v>-73.200000000000045</v>
      </c>
      <c r="Y35" s="2"/>
      <c r="Z35" s="6">
        <f t="shared" si="23"/>
        <v>-8.2524436026651382E-2</v>
      </c>
    </row>
    <row r="36" spans="1:26" s="27" customFormat="1" outlineLevel="1" collapsed="1" x14ac:dyDescent="0.25">
      <c r="A36" s="29"/>
      <c r="B36" s="14" t="str">
        <f>CONCATENATE("     ","General                                           ")</f>
        <v xml:space="preserve">     General  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333.96</v>
      </c>
      <c r="I36" s="1"/>
      <c r="J36" s="5">
        <f t="shared" si="17"/>
        <v>0</v>
      </c>
      <c r="K36" s="1"/>
      <c r="L36" s="1">
        <f t="shared" si="18"/>
        <v>-333.96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333.96</v>
      </c>
      <c r="U36" s="1"/>
      <c r="V36" s="5">
        <f t="shared" si="21"/>
        <v>0</v>
      </c>
      <c r="W36" s="1"/>
      <c r="X36" s="1">
        <f t="shared" si="22"/>
        <v>-333.96</v>
      </c>
      <c r="Y36" s="1"/>
      <c r="Z36" s="5">
        <f t="shared" si="23"/>
        <v>-1</v>
      </c>
    </row>
    <row r="37" spans="1:26" s="24" customFormat="1" hidden="1" outlineLevel="2" x14ac:dyDescent="0.25">
      <c r="A37" s="28"/>
      <c r="B37" s="11" t="str">
        <f>CONCATENATE("          ", "6279", " - ", "GENERAL EXPENSE")</f>
        <v xml:space="preserve">          6279 - GENERAL EXPENSE</v>
      </c>
      <c r="C37" s="11"/>
      <c r="D37" s="7"/>
      <c r="E37" s="2"/>
      <c r="F37" s="6">
        <f t="shared" si="16"/>
        <v>0</v>
      </c>
      <c r="G37" s="2"/>
      <c r="H37" s="7">
        <v>333.96</v>
      </c>
      <c r="I37" s="2"/>
      <c r="J37" s="6">
        <f t="shared" si="17"/>
        <v>0</v>
      </c>
      <c r="K37" s="2"/>
      <c r="L37" s="7">
        <f t="shared" si="18"/>
        <v>-333.96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333.96</v>
      </c>
      <c r="U37" s="2"/>
      <c r="V37" s="6">
        <f t="shared" si="21"/>
        <v>0</v>
      </c>
      <c r="W37" s="2"/>
      <c r="X37" s="7">
        <f t="shared" si="22"/>
        <v>-333.96</v>
      </c>
      <c r="Y37" s="2"/>
      <c r="Z37" s="6">
        <f t="shared" si="23"/>
        <v>-1</v>
      </c>
    </row>
    <row r="38" spans="1:26" s="27" customFormat="1" outlineLevel="1" collapsed="1" x14ac:dyDescent="0.25">
      <c r="A38" s="29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SUM(OSRRefD22_5x_0)</f>
        <v>0</v>
      </c>
      <c r="E38" s="1"/>
      <c r="F38" s="5">
        <f t="shared" si="16"/>
        <v>0</v>
      </c>
      <c r="G38" s="1"/>
      <c r="H38" s="1">
        <f>SUM(OSRRefH22_5x_0)</f>
        <v>206.31</v>
      </c>
      <c r="I38" s="1"/>
      <c r="J38" s="5">
        <f t="shared" si="17"/>
        <v>0</v>
      </c>
      <c r="K38" s="1"/>
      <c r="L38" s="1">
        <f t="shared" si="18"/>
        <v>-206.31</v>
      </c>
      <c r="M38" s="1"/>
      <c r="N38" s="5">
        <f t="shared" si="19"/>
        <v>-1</v>
      </c>
      <c r="O38" s="14"/>
      <c r="P38" s="1">
        <f>SUM(OSRRefP22_5x_0)</f>
        <v>0</v>
      </c>
      <c r="Q38" s="1"/>
      <c r="R38" s="5">
        <f t="shared" si="20"/>
        <v>0</v>
      </c>
      <c r="S38" s="1"/>
      <c r="T38" s="1">
        <f>SUM(OSRRefT22_5x_0)</f>
        <v>697.5</v>
      </c>
      <c r="U38" s="1"/>
      <c r="V38" s="5">
        <f t="shared" si="21"/>
        <v>0</v>
      </c>
      <c r="W38" s="1"/>
      <c r="X38" s="1">
        <f t="shared" si="22"/>
        <v>-697.5</v>
      </c>
      <c r="Y38" s="1"/>
      <c r="Z38" s="5">
        <f t="shared" si="23"/>
        <v>-1</v>
      </c>
    </row>
    <row r="39" spans="1:26" s="24" customFormat="1" hidden="1" outlineLevel="2" x14ac:dyDescent="0.25">
      <c r="A39" s="28"/>
      <c r="B39" s="11" t="str">
        <f>CONCATENATE("          ", "6241", " - ", "OFFICE EXPENSE")</f>
        <v xml:space="preserve">          6241 - OFFICE EXPENSE</v>
      </c>
      <c r="C39" s="11"/>
      <c r="D39" s="7"/>
      <c r="E39" s="2"/>
      <c r="F39" s="6">
        <f t="shared" si="16"/>
        <v>0</v>
      </c>
      <c r="G39" s="2"/>
      <c r="H39" s="7">
        <v>206.31</v>
      </c>
      <c r="I39" s="2"/>
      <c r="J39" s="6">
        <f t="shared" si="17"/>
        <v>0</v>
      </c>
      <c r="K39" s="2"/>
      <c r="L39" s="7">
        <f t="shared" si="18"/>
        <v>-206.31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351.08</v>
      </c>
      <c r="U39" s="2"/>
      <c r="V39" s="6">
        <f t="shared" si="21"/>
        <v>0</v>
      </c>
      <c r="W39" s="2"/>
      <c r="X39" s="7">
        <f t="shared" si="22"/>
        <v>-351.08</v>
      </c>
      <c r="Y39" s="2"/>
      <c r="Z39" s="6">
        <f t="shared" si="23"/>
        <v>-1</v>
      </c>
    </row>
    <row r="40" spans="1:26" s="24" customFormat="1" hidden="1" outlineLevel="2" x14ac:dyDescent="0.25">
      <c r="A40" s="28"/>
      <c r="B40" s="11" t="str">
        <f>CONCATENATE("          ", "6245", " - ", "PRINTING")</f>
        <v xml:space="preserve">          6245 - PRINTING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346.42</v>
      </c>
      <c r="U40" s="2"/>
      <c r="V40" s="6">
        <f t="shared" si="21"/>
        <v>0</v>
      </c>
      <c r="W40" s="2"/>
      <c r="X40" s="7">
        <f t="shared" si="22"/>
        <v>-346.42</v>
      </c>
      <c r="Y40" s="2"/>
      <c r="Z40" s="6">
        <f t="shared" si="23"/>
        <v>-1</v>
      </c>
    </row>
    <row r="41" spans="1:26" s="27" customFormat="1" outlineLevel="1" collapsed="1" x14ac:dyDescent="0.25">
      <c r="A41" s="29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SUM(OSRRefD22_6x_0)</f>
        <v>0</v>
      </c>
      <c r="E41" s="1"/>
      <c r="F41" s="5">
        <f t="shared" ref="F41:F44" si="24">IF(D$12=0,0,D41/D$12)</f>
        <v>0</v>
      </c>
      <c r="G41" s="1"/>
      <c r="H41" s="1">
        <f>SUM(OSRRefH22_6x_0)</f>
        <v>150</v>
      </c>
      <c r="I41" s="1"/>
      <c r="J41" s="5">
        <f t="shared" ref="J41:J44" si="25">IF(H$12=0,0,H41/H$12)</f>
        <v>0</v>
      </c>
      <c r="K41" s="1"/>
      <c r="L41" s="1">
        <f t="shared" ref="L41:L44" si="26">+D41-H41</f>
        <v>-150</v>
      </c>
      <c r="M41" s="1"/>
      <c r="N41" s="5">
        <f t="shared" ref="N41:N44" si="27">IF(H41=0,0,L41/H41)</f>
        <v>-1</v>
      </c>
      <c r="O41" s="14"/>
      <c r="P41" s="1">
        <f>SUM(OSRRefP22_6x_0)</f>
        <v>72</v>
      </c>
      <c r="Q41" s="1"/>
      <c r="R41" s="5">
        <f t="shared" ref="R41:R44" si="28">IF(P$12=0,0,P41/P$12)</f>
        <v>0</v>
      </c>
      <c r="S41" s="1"/>
      <c r="T41" s="1">
        <f>SUM(OSRRefT22_6x_0)</f>
        <v>225.45</v>
      </c>
      <c r="U41" s="1"/>
      <c r="V41" s="5">
        <f t="shared" ref="V41:V44" si="29">IF(T$12=0,0,T41/T$12)</f>
        <v>0</v>
      </c>
      <c r="W41" s="1"/>
      <c r="X41" s="1">
        <f t="shared" ref="X41:X44" si="30">+P41-T41</f>
        <v>-153.44999999999999</v>
      </c>
      <c r="Y41" s="1"/>
      <c r="Z41" s="5">
        <f t="shared" ref="Z41:Z44" si="31">IF(T41=0,0,X41/T41)</f>
        <v>-0.68063872255489022</v>
      </c>
    </row>
    <row r="42" spans="1:26" s="24" customFormat="1" hidden="1" outlineLevel="2" x14ac:dyDescent="0.25">
      <c r="A42" s="28"/>
      <c r="B42" s="11" t="str">
        <f>CONCATENATE("          ", "6309", " - ", "TELEPHONE")</f>
        <v xml:space="preserve">          6309 - TELEPHONE</v>
      </c>
      <c r="C42" s="11"/>
      <c r="D42" s="7"/>
      <c r="E42" s="2"/>
      <c r="F42" s="6">
        <f t="shared" si="24"/>
        <v>0</v>
      </c>
      <c r="G42" s="2"/>
      <c r="H42" s="7">
        <v>150</v>
      </c>
      <c r="I42" s="2"/>
      <c r="J42" s="6">
        <f t="shared" si="25"/>
        <v>0</v>
      </c>
      <c r="K42" s="2"/>
      <c r="L42" s="7">
        <f t="shared" si="26"/>
        <v>-150</v>
      </c>
      <c r="M42" s="2"/>
      <c r="N42" s="6">
        <f t="shared" si="27"/>
        <v>-1</v>
      </c>
      <c r="O42" s="11"/>
      <c r="P42" s="7">
        <v>72</v>
      </c>
      <c r="Q42" s="2"/>
      <c r="R42" s="6">
        <f t="shared" si="28"/>
        <v>0</v>
      </c>
      <c r="S42" s="2"/>
      <c r="T42" s="7">
        <v>225.45</v>
      </c>
      <c r="U42" s="2"/>
      <c r="V42" s="6">
        <f t="shared" si="29"/>
        <v>0</v>
      </c>
      <c r="W42" s="2"/>
      <c r="X42" s="7">
        <f t="shared" si="30"/>
        <v>-153.44999999999999</v>
      </c>
      <c r="Y42" s="2"/>
      <c r="Z42" s="6">
        <f t="shared" si="31"/>
        <v>-0.68063872255489022</v>
      </c>
    </row>
    <row r="43" spans="1:26" s="27" customFormat="1" outlineLevel="1" collapsed="1" x14ac:dyDescent="0.25">
      <c r="A43" s="29"/>
      <c r="B43" s="14" t="str">
        <f>CONCATENATE("     ","Travel                                            ")</f>
        <v xml:space="preserve">     Travel                                            </v>
      </c>
      <c r="C43" s="14"/>
      <c r="D43" s="1">
        <f>SUM(OSRRefD22_7x_0)</f>
        <v>0</v>
      </c>
      <c r="E43" s="1"/>
      <c r="F43" s="5">
        <f t="shared" si="24"/>
        <v>0</v>
      </c>
      <c r="G43" s="1"/>
      <c r="H43" s="1">
        <f>SUM(OSRRefH22_7x_0)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SUM(OSRRefP22_7x_0)</f>
        <v>0</v>
      </c>
      <c r="Q43" s="1"/>
      <c r="R43" s="5">
        <f t="shared" si="28"/>
        <v>0</v>
      </c>
      <c r="S43" s="1"/>
      <c r="T43" s="1">
        <f>SUM(OSRRefT22_7x_0)</f>
        <v>118.32</v>
      </c>
      <c r="U43" s="1"/>
      <c r="V43" s="5">
        <f t="shared" si="29"/>
        <v>0</v>
      </c>
      <c r="W43" s="1"/>
      <c r="X43" s="1">
        <f t="shared" si="30"/>
        <v>-118.32</v>
      </c>
      <c r="Y43" s="1"/>
      <c r="Z43" s="5">
        <f t="shared" si="31"/>
        <v>-1</v>
      </c>
    </row>
    <row r="44" spans="1:26" s="24" customFormat="1" hidden="1" outlineLevel="2" x14ac:dyDescent="0.25">
      <c r="A44" s="28"/>
      <c r="B44" s="11" t="str">
        <f>CONCATENATE("          ", "6292", " - ", "TRAVEL/CONFERENCE")</f>
        <v xml:space="preserve">          6292 - TRAVEL/CONFERENCE</v>
      </c>
      <c r="C44" s="11"/>
      <c r="D44" s="7"/>
      <c r="E44" s="2"/>
      <c r="F44" s="6">
        <f t="shared" si="24"/>
        <v>0</v>
      </c>
      <c r="G44" s="2"/>
      <c r="H44" s="7"/>
      <c r="I44" s="2"/>
      <c r="J44" s="6">
        <f t="shared" si="25"/>
        <v>0</v>
      </c>
      <c r="K44" s="2"/>
      <c r="L44" s="7">
        <f t="shared" si="26"/>
        <v>0</v>
      </c>
      <c r="M44" s="2"/>
      <c r="N44" s="6">
        <f t="shared" si="27"/>
        <v>0</v>
      </c>
      <c r="O44" s="11"/>
      <c r="P44" s="7"/>
      <c r="Q44" s="2"/>
      <c r="R44" s="6">
        <f t="shared" si="28"/>
        <v>0</v>
      </c>
      <c r="S44" s="2"/>
      <c r="T44" s="7">
        <v>118.32</v>
      </c>
      <c r="U44" s="2"/>
      <c r="V44" s="6">
        <f t="shared" si="29"/>
        <v>0</v>
      </c>
      <c r="W44" s="2"/>
      <c r="X44" s="7">
        <f t="shared" si="30"/>
        <v>-118.32</v>
      </c>
      <c r="Y44" s="2"/>
      <c r="Z44" s="6">
        <f t="shared" si="31"/>
        <v>-1</v>
      </c>
    </row>
    <row r="45" spans="1:26" s="60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6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3</v>
      </c>
      <c r="C48" s="25"/>
      <c r="D48" s="22">
        <f>+D16-D18+D46</f>
        <v>-7691.3700000000008</v>
      </c>
      <c r="E48" s="13"/>
      <c r="F48" s="21">
        <f>IF(D$12=0,0,D48/D$12)</f>
        <v>0</v>
      </c>
      <c r="G48" s="13"/>
      <c r="H48" s="22">
        <f>+H16-H18+H46</f>
        <v>-11478.149999999996</v>
      </c>
      <c r="I48" s="13"/>
      <c r="J48" s="21">
        <f>IF(H$12=0,0,H48/H$12)</f>
        <v>0</v>
      </c>
      <c r="K48" s="15"/>
      <c r="L48" s="22">
        <f>+D48-H48</f>
        <v>3786.7799999999952</v>
      </c>
      <c r="M48" s="15"/>
      <c r="N48" s="21">
        <f>IF(H48=0,0,L48/H48)</f>
        <v>-0.32991205028684906</v>
      </c>
      <c r="O48" s="26"/>
      <c r="P48" s="22">
        <f>+P16-P18+P46</f>
        <v>-26463.289999999997</v>
      </c>
      <c r="Q48" s="13"/>
      <c r="R48" s="21">
        <f>IF(P$12=0,0,P48/P$12)</f>
        <v>0</v>
      </c>
      <c r="S48" s="13"/>
      <c r="T48" s="22">
        <f>+T16-T18+T46</f>
        <v>-25426.049999999996</v>
      </c>
      <c r="U48" s="13"/>
      <c r="V48" s="21">
        <f>IF(T$12=0,0,T48/T$12)</f>
        <v>0</v>
      </c>
      <c r="W48" s="15"/>
      <c r="X48" s="22">
        <f>+P48-T48</f>
        <v>-1037.2400000000016</v>
      </c>
      <c r="Y48" s="15"/>
      <c r="Z48" s="21">
        <f>IF(T48=0,0,X48/T48)</f>
        <v>4.0794382139577395E-2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5" t="s">
        <v>4</v>
      </c>
      <c r="C52" s="25"/>
      <c r="D52" s="33">
        <f>+D48-D50</f>
        <v>-7691.3700000000008</v>
      </c>
      <c r="E52" s="13"/>
      <c r="F52" s="32">
        <f>IF(D$12=0,0,D52/D$12)</f>
        <v>0</v>
      </c>
      <c r="G52" s="13"/>
      <c r="H52" s="33">
        <f>+H48-H50</f>
        <v>-11478.149999999996</v>
      </c>
      <c r="I52" s="13"/>
      <c r="J52" s="32">
        <f>IF(H$12=0,0,H52/H$12)</f>
        <v>0</v>
      </c>
      <c r="K52" s="15"/>
      <c r="L52" s="33">
        <f>D52-H52</f>
        <v>3786.7799999999952</v>
      </c>
      <c r="M52" s="15"/>
      <c r="N52" s="32">
        <f>IF(H52=0,0,L52/H52)</f>
        <v>-0.32991205028684906</v>
      </c>
      <c r="O52" s="26"/>
      <c r="P52" s="33">
        <f>+P48-P50</f>
        <v>-26463.289999999997</v>
      </c>
      <c r="Q52" s="13"/>
      <c r="R52" s="32">
        <f>IF(P$12=0,0,P52/P$12)</f>
        <v>0</v>
      </c>
      <c r="S52" s="13"/>
      <c r="T52" s="33">
        <f>+T48-T50</f>
        <v>-25426.049999999996</v>
      </c>
      <c r="U52" s="13"/>
      <c r="V52" s="32">
        <f>IF(T$12=0,0,T52/T$12)</f>
        <v>0</v>
      </c>
      <c r="W52" s="15"/>
      <c r="X52" s="33">
        <f>P52-T52</f>
        <v>-1037.2400000000016</v>
      </c>
      <c r="Y52" s="15"/>
      <c r="Z52" s="32">
        <f>IF(T52=0,0,X52/T52)</f>
        <v>4.0794382139577395E-2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5</v>
      </c>
      <c r="C55" s="25"/>
      <c r="D55" s="34">
        <f>SUM(D52:D54)</f>
        <v>-7691.3700000000008</v>
      </c>
      <c r="E55" s="13"/>
      <c r="F55" s="31">
        <f>IF(D$12=0,0,D55/D$12)</f>
        <v>0</v>
      </c>
      <c r="G55" s="13"/>
      <c r="H55" s="34">
        <f>SUM(H52:H54)</f>
        <v>-11478.149999999996</v>
      </c>
      <c r="I55" s="13"/>
      <c r="J55" s="31">
        <f>IF(H$12=0,0,H55/H$12)</f>
        <v>0</v>
      </c>
      <c r="K55" s="15"/>
      <c r="L55" s="34">
        <f>+D55-H55</f>
        <v>3786.7799999999952</v>
      </c>
      <c r="M55" s="15"/>
      <c r="N55" s="31">
        <f>IF(H55=0,0,L55/H55)</f>
        <v>-0.32991205028684906</v>
      </c>
      <c r="O55" s="26"/>
      <c r="P55" s="34">
        <f>SUM(P52:P54)</f>
        <v>-26463.289999999997</v>
      </c>
      <c r="Q55" s="13"/>
      <c r="R55" s="31">
        <f>IF(P$12=0,0,P55/P$12)</f>
        <v>0</v>
      </c>
      <c r="S55" s="13"/>
      <c r="T55" s="34">
        <f>SUM(T52:T54)</f>
        <v>-25426.049999999996</v>
      </c>
      <c r="U55" s="13"/>
      <c r="V55" s="31">
        <f>IF(T$12=0,0,T55/T$12)</f>
        <v>0</v>
      </c>
      <c r="W55" s="15"/>
      <c r="X55" s="34">
        <f>+P55-T55</f>
        <v>-1037.2400000000016</v>
      </c>
      <c r="Y55" s="15"/>
      <c r="Z55" s="31">
        <f>IF(T55=0,0,X55/T55)</f>
        <v>4.0794382139577395E-2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4">
        <v>44123.565069444441</v>
      </c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9" t="s">
        <v>313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8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","207", " - ", "Communications")</f>
        <v>Department 207 - Communications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60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6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2">
        <f>IF(D$12=0,0,D26/D$12)</f>
        <v>0</v>
      </c>
      <c r="G26" s="13"/>
      <c r="H26" s="33">
        <f>+H22-H24</f>
        <v>0</v>
      </c>
      <c r="I26" s="13"/>
      <c r="J26" s="32">
        <f>IF(H$12=0,0,H26/H$12)</f>
        <v>0</v>
      </c>
      <c r="K26" s="15"/>
      <c r="L26" s="33">
        <f>D26-H26</f>
        <v>0</v>
      </c>
      <c r="M26" s="15"/>
      <c r="N26" s="32">
        <f>IF(H26=0,0,L26/H26)</f>
        <v>0</v>
      </c>
      <c r="O26" s="26"/>
      <c r="P26" s="33">
        <f>+P22-P24</f>
        <v>0</v>
      </c>
      <c r="Q26" s="13"/>
      <c r="R26" s="32">
        <f>IF(P$12=0,0,P26/P$12)</f>
        <v>0</v>
      </c>
      <c r="S26" s="13"/>
      <c r="T26" s="33">
        <f>+T22-T24</f>
        <v>0</v>
      </c>
      <c r="U26" s="13"/>
      <c r="V26" s="32">
        <f>IF(T$12=0,0,T26/T$12)</f>
        <v>0</v>
      </c>
      <c r="W26" s="15"/>
      <c r="X26" s="33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5</v>
      </c>
      <c r="C29" s="25"/>
      <c r="D29" s="34">
        <f>SUM(D26:D28)</f>
        <v>0</v>
      </c>
      <c r="E29" s="13"/>
      <c r="F29" s="31">
        <f>IF(D$12=0,0,D29/D$12)</f>
        <v>0</v>
      </c>
      <c r="G29" s="13"/>
      <c r="H29" s="34">
        <f>SUM(H26:H28)</f>
        <v>0</v>
      </c>
      <c r="I29" s="13"/>
      <c r="J29" s="31">
        <f>IF(H$12=0,0,H29/H$12)</f>
        <v>0</v>
      </c>
      <c r="K29" s="15"/>
      <c r="L29" s="34">
        <f>+D29-H29</f>
        <v>0</v>
      </c>
      <c r="M29" s="15"/>
      <c r="N29" s="31">
        <f>IF(H29=0,0,L29/H29)</f>
        <v>0</v>
      </c>
      <c r="O29" s="26"/>
      <c r="P29" s="34">
        <f>SUM(P26:P28)</f>
        <v>0</v>
      </c>
      <c r="Q29" s="13"/>
      <c r="R29" s="31">
        <f>IF(P$12=0,0,P29/P$12)</f>
        <v>0</v>
      </c>
      <c r="S29" s="13"/>
      <c r="T29" s="34">
        <f>SUM(T26:T28)</f>
        <v>0</v>
      </c>
      <c r="U29" s="13"/>
      <c r="V29" s="31">
        <f>IF(T$12=0,0,T29/T$12)</f>
        <v>0</v>
      </c>
      <c r="W29" s="15"/>
      <c r="X29" s="34">
        <f>+P29-T29</f>
        <v>0</v>
      </c>
      <c r="Y29" s="15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54">
        <v>44123.565086608796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59" t="s">
        <v>313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8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370907.34</v>
      </c>
      <c r="E12" s="4"/>
      <c r="F12" s="12"/>
      <c r="G12" s="4"/>
      <c r="H12" s="4">
        <f>SUM(OSRRefH13x_0)</f>
        <v>1488001.7999999996</v>
      </c>
      <c r="I12" s="4"/>
      <c r="J12" s="12"/>
      <c r="K12" s="4"/>
      <c r="L12" s="4">
        <f t="shared" ref="L12:L104" si="0">+D12-H12</f>
        <v>-1117094.4599999995</v>
      </c>
      <c r="M12" s="4"/>
      <c r="N12" s="12">
        <f t="shared" ref="N12:N104" si="1">IF(H12=0,0,L12/H12)</f>
        <v>-0.75073461604683533</v>
      </c>
      <c r="O12" s="10"/>
      <c r="P12" s="4">
        <f>SUM(OSRRefP13x_0)</f>
        <v>2196487.6999999993</v>
      </c>
      <c r="Q12" s="4"/>
      <c r="R12" s="12"/>
      <c r="S12" s="4"/>
      <c r="T12" s="4">
        <f>SUM(OSRRefT13x_0)</f>
        <v>4730489.1699999981</v>
      </c>
      <c r="U12" s="4"/>
      <c r="V12" s="12"/>
      <c r="W12" s="4"/>
      <c r="X12" s="4">
        <f t="shared" ref="X12:X104" si="2">+P12-T12</f>
        <v>-2534001.4699999988</v>
      </c>
      <c r="Y12" s="4"/>
      <c r="Z12" s="12">
        <f t="shared" ref="Z12:Z104" si="3">IF(T12=0,0,X12/T12)</f>
        <v>-0.53567429898586993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-8123.23</f>
        <v>-8123.23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-8123.23</v>
      </c>
      <c r="M13" s="2"/>
      <c r="N13" s="19">
        <f t="shared" si="1"/>
        <v>0</v>
      </c>
      <c r="O13" s="11"/>
      <c r="P13" s="2">
        <f>-36077.08</f>
        <v>-36077.08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-36077.08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19"/>
      <c r="G14" s="2"/>
      <c r="H14" s="2">
        <f>--336733.45</f>
        <v>336733.45</v>
      </c>
      <c r="I14" s="2"/>
      <c r="J14" s="19"/>
      <c r="K14" s="2"/>
      <c r="L14" s="2">
        <f t="shared" si="0"/>
        <v>-226234.13</v>
      </c>
      <c r="M14" s="2"/>
      <c r="N14" s="19">
        <f t="shared" si="1"/>
        <v>-0.67184929207359712</v>
      </c>
      <c r="O14" s="11"/>
      <c r="P14" s="2">
        <f>--694696.64</f>
        <v>694696.64</v>
      </c>
      <c r="Q14" s="2"/>
      <c r="R14" s="19"/>
      <c r="S14" s="2"/>
      <c r="T14" s="2">
        <f>--1463955.42</f>
        <v>1463955.42</v>
      </c>
      <c r="U14" s="2"/>
      <c r="V14" s="19"/>
      <c r="W14" s="2"/>
      <c r="X14" s="2">
        <f t="shared" si="2"/>
        <v>-769258.77999999991</v>
      </c>
      <c r="Y14" s="2"/>
      <c r="Z14" s="19">
        <f t="shared" si="3"/>
        <v>-0.5254659872088181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19"/>
      <c r="G15" s="2"/>
      <c r="H15" s="2">
        <f>--101849.66</f>
        <v>101849.66</v>
      </c>
      <c r="I15" s="2"/>
      <c r="J15" s="19"/>
      <c r="K15" s="2"/>
      <c r="L15" s="2">
        <f t="shared" si="0"/>
        <v>-63805.920000000006</v>
      </c>
      <c r="M15" s="2"/>
      <c r="N15" s="19">
        <f t="shared" si="1"/>
        <v>-0.62647160530530988</v>
      </c>
      <c r="O15" s="11"/>
      <c r="P15" s="2">
        <f>--316655.9</f>
        <v>316655.90000000002</v>
      </c>
      <c r="Q15" s="2"/>
      <c r="R15" s="19"/>
      <c r="S15" s="2"/>
      <c r="T15" s="2">
        <f>--657310.58</f>
        <v>657310.57999999996</v>
      </c>
      <c r="U15" s="2"/>
      <c r="V15" s="19"/>
      <c r="W15" s="2"/>
      <c r="X15" s="2">
        <f t="shared" si="2"/>
        <v>-340654.67999999993</v>
      </c>
      <c r="Y15" s="2"/>
      <c r="Z15" s="19">
        <f t="shared" si="3"/>
        <v>-0.51825528200078563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19"/>
      <c r="G16" s="2"/>
      <c r="H16" s="2">
        <f>--2800.64</f>
        <v>2800.64</v>
      </c>
      <c r="I16" s="2"/>
      <c r="J16" s="19"/>
      <c r="K16" s="2"/>
      <c r="L16" s="2">
        <f t="shared" si="0"/>
        <v>-1260.8499999999999</v>
      </c>
      <c r="M16" s="2"/>
      <c r="N16" s="19">
        <f t="shared" si="1"/>
        <v>-0.45020066841864714</v>
      </c>
      <c r="O16" s="11"/>
      <c r="P16" s="2">
        <f>--10595.63</f>
        <v>10595.63</v>
      </c>
      <c r="Q16" s="2"/>
      <c r="R16" s="19"/>
      <c r="S16" s="2"/>
      <c r="T16" s="2">
        <f>--15536.69</f>
        <v>15536.69</v>
      </c>
      <c r="U16" s="2"/>
      <c r="V16" s="19"/>
      <c r="W16" s="2"/>
      <c r="X16" s="2">
        <f t="shared" si="2"/>
        <v>-4941.0600000000013</v>
      </c>
      <c r="Y16" s="2"/>
      <c r="Z16" s="19">
        <f t="shared" si="3"/>
        <v>-0.31802526793029928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19"/>
      <c r="G17" s="2"/>
      <c r="H17" s="2">
        <f>--7290.37</f>
        <v>7290.37</v>
      </c>
      <c r="I17" s="2"/>
      <c r="J17" s="19"/>
      <c r="K17" s="2"/>
      <c r="L17" s="2">
        <f t="shared" si="0"/>
        <v>-7006.15</v>
      </c>
      <c r="M17" s="2"/>
      <c r="N17" s="19">
        <f t="shared" si="1"/>
        <v>-0.96101432437585466</v>
      </c>
      <c r="O17" s="11"/>
      <c r="P17" s="2">
        <f>--2105.11</f>
        <v>2105.11</v>
      </c>
      <c r="Q17" s="2"/>
      <c r="R17" s="19"/>
      <c r="S17" s="2"/>
      <c r="T17" s="2">
        <f>--29700.44</f>
        <v>29700.44</v>
      </c>
      <c r="U17" s="2"/>
      <c r="V17" s="19"/>
      <c r="W17" s="2"/>
      <c r="X17" s="2">
        <f t="shared" si="2"/>
        <v>-27595.329999999998</v>
      </c>
      <c r="Y17" s="2"/>
      <c r="Z17" s="19">
        <f t="shared" si="3"/>
        <v>-0.92912192546642403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ref="D18:D19" si="4">0</f>
        <v>0</v>
      </c>
      <c r="E18" s="2"/>
      <c r="F18" s="19"/>
      <c r="G18" s="2"/>
      <c r="H18" s="2">
        <f>--9.6</f>
        <v>9.6</v>
      </c>
      <c r="I18" s="2"/>
      <c r="J18" s="19"/>
      <c r="K18" s="2"/>
      <c r="L18" s="2">
        <f t="shared" si="0"/>
        <v>-9.6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--29.95</f>
        <v>29.95</v>
      </c>
      <c r="I19" s="2"/>
      <c r="J19" s="19"/>
      <c r="K19" s="2"/>
      <c r="L19" s="2">
        <f t="shared" si="0"/>
        <v>-29.95</v>
      </c>
      <c r="M19" s="2"/>
      <c r="N19" s="19">
        <f t="shared" si="1"/>
        <v>-1</v>
      </c>
      <c r="O19" s="11"/>
      <c r="P19" s="2">
        <f>--39.9</f>
        <v>39.9</v>
      </c>
      <c r="Q19" s="2"/>
      <c r="R19" s="19"/>
      <c r="S19" s="2"/>
      <c r="T19" s="2">
        <f>--140.76</f>
        <v>140.76</v>
      </c>
      <c r="U19" s="2"/>
      <c r="V19" s="19"/>
      <c r="W19" s="2"/>
      <c r="X19" s="2">
        <f t="shared" si="2"/>
        <v>-100.85999999999999</v>
      </c>
      <c r="Y19" s="2"/>
      <c r="Z19" s="19">
        <f t="shared" si="3"/>
        <v>-0.71653878942881499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--97.51</f>
        <v>97.51</v>
      </c>
      <c r="E20" s="2"/>
      <c r="F20" s="19"/>
      <c r="G20" s="2"/>
      <c r="H20" s="2">
        <f>--97.44</f>
        <v>97.44</v>
      </c>
      <c r="I20" s="2"/>
      <c r="J20" s="19"/>
      <c r="K20" s="2"/>
      <c r="L20" s="2">
        <f t="shared" si="0"/>
        <v>7.000000000000739E-2</v>
      </c>
      <c r="M20" s="2"/>
      <c r="N20" s="19">
        <f t="shared" si="1"/>
        <v>7.1839080459777703E-4</v>
      </c>
      <c r="O20" s="11"/>
      <c r="P20" s="2">
        <f>--304.44</f>
        <v>304.44</v>
      </c>
      <c r="Q20" s="2"/>
      <c r="R20" s="19"/>
      <c r="S20" s="2"/>
      <c r="T20" s="2">
        <f>--523.09</f>
        <v>523.09</v>
      </c>
      <c r="U20" s="2"/>
      <c r="V20" s="19"/>
      <c r="W20" s="2"/>
      <c r="X20" s="2">
        <f t="shared" si="2"/>
        <v>-218.65000000000003</v>
      </c>
      <c r="Y20" s="2"/>
      <c r="Z20" s="19">
        <f t="shared" si="3"/>
        <v>-0.41799690301860104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--65.39</f>
        <v>65.39</v>
      </c>
      <c r="I21" s="2"/>
      <c r="J21" s="19"/>
      <c r="K21" s="2"/>
      <c r="L21" s="2">
        <f t="shared" si="0"/>
        <v>-65.39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--222.69</f>
        <v>222.69</v>
      </c>
      <c r="U21" s="2"/>
      <c r="V21" s="19"/>
      <c r="W21" s="2"/>
      <c r="X21" s="2">
        <f t="shared" si="2"/>
        <v>-222.69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--48.87</f>
        <v>48.87</v>
      </c>
      <c r="E22" s="2"/>
      <c r="F22" s="19"/>
      <c r="G22" s="2"/>
      <c r="H22" s="2">
        <f>--696.02</f>
        <v>696.02</v>
      </c>
      <c r="I22" s="2"/>
      <c r="J22" s="19"/>
      <c r="K22" s="2"/>
      <c r="L22" s="2">
        <f t="shared" si="0"/>
        <v>-647.15</v>
      </c>
      <c r="M22" s="2"/>
      <c r="N22" s="19">
        <f t="shared" si="1"/>
        <v>-0.92978650038791988</v>
      </c>
      <c r="O22" s="11"/>
      <c r="P22" s="2">
        <f>--183.89</f>
        <v>183.89</v>
      </c>
      <c r="Q22" s="2"/>
      <c r="R22" s="19"/>
      <c r="S22" s="2"/>
      <c r="T22" s="2">
        <f>--2060.15</f>
        <v>2060.15</v>
      </c>
      <c r="U22" s="2"/>
      <c r="V22" s="19"/>
      <c r="W22" s="2"/>
      <c r="X22" s="2">
        <f t="shared" si="2"/>
        <v>-1876.2600000000002</v>
      </c>
      <c r="Y22" s="2"/>
      <c r="Z22" s="19">
        <f t="shared" si="3"/>
        <v>-0.91073950925903457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--14.95</f>
        <v>14.95</v>
      </c>
      <c r="U23" s="2"/>
      <c r="V23" s="19"/>
      <c r="W23" s="2"/>
      <c r="X23" s="2">
        <f t="shared" si="2"/>
        <v>-14.95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--11837.54</f>
        <v>11837.54</v>
      </c>
      <c r="I24" s="2"/>
      <c r="J24" s="19"/>
      <c r="K24" s="2"/>
      <c r="L24" s="2">
        <f t="shared" si="0"/>
        <v>-11837.54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--16296.07</f>
        <v>16296.07</v>
      </c>
      <c r="U24" s="2"/>
      <c r="V24" s="19"/>
      <c r="W24" s="2"/>
      <c r="X24" s="2">
        <f t="shared" si="2"/>
        <v>-16296.07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--21.47</f>
        <v>21.47</v>
      </c>
      <c r="E25" s="2"/>
      <c r="F25" s="19"/>
      <c r="G25" s="2"/>
      <c r="H25" s="2">
        <f>--11722.76</f>
        <v>11722.76</v>
      </c>
      <c r="I25" s="2"/>
      <c r="J25" s="19"/>
      <c r="K25" s="2"/>
      <c r="L25" s="2">
        <f t="shared" si="0"/>
        <v>-11701.29</v>
      </c>
      <c r="M25" s="2"/>
      <c r="N25" s="19">
        <f t="shared" si="1"/>
        <v>-0.99816852004135548</v>
      </c>
      <c r="O25" s="11"/>
      <c r="P25" s="2">
        <f>--258.03</f>
        <v>258.02999999999997</v>
      </c>
      <c r="Q25" s="2"/>
      <c r="R25" s="19"/>
      <c r="S25" s="2"/>
      <c r="T25" s="2">
        <f>--24499.3</f>
        <v>24499.3</v>
      </c>
      <c r="U25" s="2"/>
      <c r="V25" s="19"/>
      <c r="W25" s="2"/>
      <c r="X25" s="2">
        <f t="shared" si="2"/>
        <v>-24241.27</v>
      </c>
      <c r="Y25" s="2"/>
      <c r="Z25" s="19">
        <f t="shared" si="3"/>
        <v>-0.9894678623470875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--10773.55</f>
        <v>10773.55</v>
      </c>
      <c r="E26" s="2"/>
      <c r="F26" s="19"/>
      <c r="G26" s="2"/>
      <c r="H26" s="2">
        <f>--44221.34</f>
        <v>44221.34</v>
      </c>
      <c r="I26" s="2"/>
      <c r="J26" s="19"/>
      <c r="K26" s="2"/>
      <c r="L26" s="2">
        <f t="shared" si="0"/>
        <v>-33447.789999999994</v>
      </c>
      <c r="M26" s="2"/>
      <c r="N26" s="19">
        <f t="shared" si="1"/>
        <v>-0.75637214973585143</v>
      </c>
      <c r="O26" s="11"/>
      <c r="P26" s="2">
        <f>--32674.61</f>
        <v>32674.61</v>
      </c>
      <c r="Q26" s="2"/>
      <c r="R26" s="19"/>
      <c r="S26" s="2"/>
      <c r="T26" s="2">
        <f>--123320.59</f>
        <v>123320.59</v>
      </c>
      <c r="U26" s="2"/>
      <c r="V26" s="19"/>
      <c r="W26" s="2"/>
      <c r="X26" s="2">
        <f t="shared" si="2"/>
        <v>-90645.98</v>
      </c>
      <c r="Y26" s="2"/>
      <c r="Z26" s="19">
        <f t="shared" si="3"/>
        <v>-0.73504335326323045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--2807.8</f>
        <v>2807.8</v>
      </c>
      <c r="E27" s="2"/>
      <c r="F27" s="19"/>
      <c r="G27" s="2"/>
      <c r="H27" s="2">
        <f>--51812.13</f>
        <v>51812.13</v>
      </c>
      <c r="I27" s="2"/>
      <c r="J27" s="19"/>
      <c r="K27" s="2"/>
      <c r="L27" s="2">
        <f t="shared" si="0"/>
        <v>-49004.329999999994</v>
      </c>
      <c r="M27" s="2"/>
      <c r="N27" s="19">
        <f t="shared" si="1"/>
        <v>-0.94580805691640157</v>
      </c>
      <c r="O27" s="11"/>
      <c r="P27" s="2">
        <f>--12498.9</f>
        <v>12498.9</v>
      </c>
      <c r="Q27" s="2"/>
      <c r="R27" s="19"/>
      <c r="S27" s="2"/>
      <c r="T27" s="2">
        <f>--100727.68</f>
        <v>100727.67999999999</v>
      </c>
      <c r="U27" s="2"/>
      <c r="V27" s="19"/>
      <c r="W27" s="2"/>
      <c r="X27" s="2">
        <f t="shared" si="2"/>
        <v>-88228.78</v>
      </c>
      <c r="Y27" s="2"/>
      <c r="Z27" s="19">
        <f t="shared" si="3"/>
        <v>-0.87591394937320111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--685.9</f>
        <v>685.9</v>
      </c>
      <c r="E28" s="2"/>
      <c r="F28" s="19"/>
      <c r="G28" s="2"/>
      <c r="H28" s="2">
        <f>--88.48</f>
        <v>88.48</v>
      </c>
      <c r="I28" s="2"/>
      <c r="J28" s="19"/>
      <c r="K28" s="2"/>
      <c r="L28" s="2">
        <f t="shared" si="0"/>
        <v>597.41999999999996</v>
      </c>
      <c r="M28" s="2"/>
      <c r="N28" s="19">
        <f t="shared" si="1"/>
        <v>6.7520343580470152</v>
      </c>
      <c r="O28" s="11"/>
      <c r="P28" s="2">
        <f>--1238.16</f>
        <v>1238.1600000000001</v>
      </c>
      <c r="Q28" s="2"/>
      <c r="R28" s="19"/>
      <c r="S28" s="2"/>
      <c r="T28" s="2">
        <f>--120.82</f>
        <v>120.82</v>
      </c>
      <c r="U28" s="2"/>
      <c r="V28" s="19"/>
      <c r="W28" s="2"/>
      <c r="X28" s="2">
        <f t="shared" si="2"/>
        <v>1117.3400000000001</v>
      </c>
      <c r="Y28" s="2"/>
      <c r="Z28" s="19">
        <f t="shared" si="3"/>
        <v>9.2479721900347638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>--356.39</f>
        <v>356.39</v>
      </c>
      <c r="E29" s="2"/>
      <c r="F29" s="19"/>
      <c r="G29" s="2"/>
      <c r="H29" s="2">
        <f>--47924.5</f>
        <v>47924.5</v>
      </c>
      <c r="I29" s="2"/>
      <c r="J29" s="19"/>
      <c r="K29" s="2"/>
      <c r="L29" s="2">
        <f t="shared" si="0"/>
        <v>-47568.11</v>
      </c>
      <c r="M29" s="2"/>
      <c r="N29" s="19">
        <f t="shared" si="1"/>
        <v>-0.9925635113564043</v>
      </c>
      <c r="O29" s="11"/>
      <c r="P29" s="2">
        <f>--444.59</f>
        <v>444.59</v>
      </c>
      <c r="Q29" s="2"/>
      <c r="R29" s="19"/>
      <c r="S29" s="2"/>
      <c r="T29" s="2">
        <f>--72677.69</f>
        <v>72677.69</v>
      </c>
      <c r="U29" s="2"/>
      <c r="V29" s="19"/>
      <c r="W29" s="2"/>
      <c r="X29" s="2">
        <f t="shared" si="2"/>
        <v>-72233.100000000006</v>
      </c>
      <c r="Y29" s="2"/>
      <c r="Z29" s="19">
        <f t="shared" si="3"/>
        <v>-0.99388271696582542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ref="D30:D33" si="7">0</f>
        <v>0</v>
      </c>
      <c r="E30" s="2"/>
      <c r="F30" s="19"/>
      <c r="G30" s="2"/>
      <c r="H30" s="2">
        <f>--27.97</f>
        <v>27.97</v>
      </c>
      <c r="I30" s="2"/>
      <c r="J30" s="19"/>
      <c r="K30" s="2"/>
      <c r="L30" s="2">
        <f t="shared" si="0"/>
        <v>-27.97</v>
      </c>
      <c r="M30" s="2"/>
      <c r="N30" s="19">
        <f t="shared" si="1"/>
        <v>-1</v>
      </c>
      <c r="O30" s="11"/>
      <c r="P30" s="2">
        <f>0</f>
        <v>0</v>
      </c>
      <c r="Q30" s="2"/>
      <c r="R30" s="19"/>
      <c r="S30" s="2"/>
      <c r="T30" s="2">
        <f>--40.97</f>
        <v>40.97</v>
      </c>
      <c r="U30" s="2"/>
      <c r="V30" s="19"/>
      <c r="W30" s="2"/>
      <c r="X30" s="2">
        <f t="shared" si="2"/>
        <v>-40.97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--2047.94</f>
        <v>2047.94</v>
      </c>
      <c r="I31" s="2"/>
      <c r="J31" s="19"/>
      <c r="K31" s="2"/>
      <c r="L31" s="2">
        <f t="shared" si="0"/>
        <v>-2047.94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--3009.88</f>
        <v>3009.88</v>
      </c>
      <c r="U31" s="2"/>
      <c r="V31" s="19"/>
      <c r="W31" s="2"/>
      <c r="X31" s="2">
        <f t="shared" si="2"/>
        <v>-3003.1</v>
      </c>
      <c r="Y31" s="2"/>
      <c r="Z31" s="19">
        <f t="shared" si="3"/>
        <v>-0.99774741850173421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--339.98</f>
        <v>339.98</v>
      </c>
      <c r="I32" s="2"/>
      <c r="J32" s="19"/>
      <c r="K32" s="2"/>
      <c r="L32" s="2">
        <f t="shared" si="0"/>
        <v>-339.98</v>
      </c>
      <c r="M32" s="2"/>
      <c r="N32" s="19">
        <f t="shared" si="1"/>
        <v>-1</v>
      </c>
      <c r="O32" s="11"/>
      <c r="P32" s="2">
        <f t="shared" ref="P32:P33" si="8">0</f>
        <v>0</v>
      </c>
      <c r="Q32" s="2"/>
      <c r="R32" s="19"/>
      <c r="S32" s="2"/>
      <c r="T32" s="2">
        <f>--438.43</f>
        <v>438.43</v>
      </c>
      <c r="U32" s="2"/>
      <c r="V32" s="19"/>
      <c r="W32" s="2"/>
      <c r="X32" s="2">
        <f t="shared" si="2"/>
        <v>-438.43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--131.98</f>
        <v>131.97999999999999</v>
      </c>
      <c r="I33" s="2"/>
      <c r="J33" s="19"/>
      <c r="K33" s="2"/>
      <c r="L33" s="2">
        <f t="shared" si="0"/>
        <v>-131.97999999999999</v>
      </c>
      <c r="M33" s="2"/>
      <c r="N33" s="19">
        <f t="shared" si="1"/>
        <v>-1</v>
      </c>
      <c r="O33" s="11"/>
      <c r="P33" s="2">
        <f t="shared" si="8"/>
        <v>0</v>
      </c>
      <c r="Q33" s="2"/>
      <c r="R33" s="19"/>
      <c r="S33" s="2"/>
      <c r="T33" s="2">
        <f>--174.15</f>
        <v>174.15</v>
      </c>
      <c r="U33" s="2"/>
      <c r="V33" s="19"/>
      <c r="W33" s="2"/>
      <c r="X33" s="2">
        <f t="shared" si="2"/>
        <v>-174.15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--78841.84</f>
        <v>78841.84</v>
      </c>
      <c r="E34" s="2"/>
      <c r="F34" s="19"/>
      <c r="G34" s="2"/>
      <c r="H34" s="2">
        <f>--243145.84</f>
        <v>243145.84</v>
      </c>
      <c r="I34" s="2"/>
      <c r="J34" s="19"/>
      <c r="K34" s="2"/>
      <c r="L34" s="2">
        <f t="shared" si="0"/>
        <v>-164304</v>
      </c>
      <c r="M34" s="2"/>
      <c r="N34" s="19">
        <f t="shared" si="1"/>
        <v>-0.67574259135998382</v>
      </c>
      <c r="O34" s="11"/>
      <c r="P34" s="2">
        <f>--328420.19</f>
        <v>328420.19</v>
      </c>
      <c r="Q34" s="2"/>
      <c r="R34" s="19"/>
      <c r="S34" s="2"/>
      <c r="T34" s="2">
        <f>--632899.52</f>
        <v>632899.52</v>
      </c>
      <c r="U34" s="2"/>
      <c r="V34" s="19"/>
      <c r="W34" s="2"/>
      <c r="X34" s="2">
        <f t="shared" si="2"/>
        <v>-304479.33</v>
      </c>
      <c r="Y34" s="2"/>
      <c r="Z34" s="19">
        <f t="shared" si="3"/>
        <v>-0.48108636581048442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--27724.06</f>
        <v>27724.06</v>
      </c>
      <c r="E35" s="2"/>
      <c r="F35" s="19"/>
      <c r="G35" s="2"/>
      <c r="H35" s="2">
        <f>--49940.2</f>
        <v>49940.2</v>
      </c>
      <c r="I35" s="2"/>
      <c r="J35" s="19"/>
      <c r="K35" s="2"/>
      <c r="L35" s="2">
        <f t="shared" si="0"/>
        <v>-22216.139999999996</v>
      </c>
      <c r="M35" s="2"/>
      <c r="N35" s="19">
        <f t="shared" si="1"/>
        <v>-0.44485484639628992</v>
      </c>
      <c r="O35" s="11"/>
      <c r="P35" s="2">
        <f>--131033.62</f>
        <v>131033.62</v>
      </c>
      <c r="Q35" s="2"/>
      <c r="R35" s="19"/>
      <c r="S35" s="2"/>
      <c r="T35" s="2">
        <f>--201632.61</f>
        <v>201632.61</v>
      </c>
      <c r="U35" s="2"/>
      <c r="V35" s="19"/>
      <c r="W35" s="2"/>
      <c r="X35" s="2">
        <f t="shared" si="2"/>
        <v>-70598.989999999991</v>
      </c>
      <c r="Y35" s="2"/>
      <c r="Z35" s="19">
        <f t="shared" si="3"/>
        <v>-0.35013676607171823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--8004.46</f>
        <v>8004.46</v>
      </c>
      <c r="E36" s="2"/>
      <c r="F36" s="19"/>
      <c r="G36" s="2"/>
      <c r="H36" s="2">
        <f>--35079.3</f>
        <v>35079.300000000003</v>
      </c>
      <c r="I36" s="2"/>
      <c r="J36" s="19"/>
      <c r="K36" s="2"/>
      <c r="L36" s="2">
        <f t="shared" si="0"/>
        <v>-27074.840000000004</v>
      </c>
      <c r="M36" s="2"/>
      <c r="N36" s="19">
        <f t="shared" si="1"/>
        <v>-0.77181813776215602</v>
      </c>
      <c r="O36" s="11"/>
      <c r="P36" s="2">
        <f>--47929.5</f>
        <v>47929.5</v>
      </c>
      <c r="Q36" s="2"/>
      <c r="R36" s="19"/>
      <c r="S36" s="2"/>
      <c r="T36" s="2">
        <f>--95118.27</f>
        <v>95118.27</v>
      </c>
      <c r="U36" s="2"/>
      <c r="V36" s="19"/>
      <c r="W36" s="2"/>
      <c r="X36" s="2">
        <f t="shared" si="2"/>
        <v>-47188.770000000004</v>
      </c>
      <c r="Y36" s="2"/>
      <c r="Z36" s="19">
        <f t="shared" si="3"/>
        <v>-0.49610626854336187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--2805.53</f>
        <v>2805.53</v>
      </c>
      <c r="E37" s="2"/>
      <c r="F37" s="19"/>
      <c r="G37" s="2"/>
      <c r="H37" s="2">
        <f>--272.36</f>
        <v>272.36</v>
      </c>
      <c r="I37" s="2"/>
      <c r="J37" s="19"/>
      <c r="K37" s="2"/>
      <c r="L37" s="2">
        <f t="shared" si="0"/>
        <v>2533.17</v>
      </c>
      <c r="M37" s="2"/>
      <c r="N37" s="19">
        <f t="shared" si="1"/>
        <v>9.3008150976648558</v>
      </c>
      <c r="O37" s="11"/>
      <c r="P37" s="2">
        <f>--9791.16</f>
        <v>9791.16</v>
      </c>
      <c r="Q37" s="2"/>
      <c r="R37" s="19"/>
      <c r="S37" s="2"/>
      <c r="T37" s="2">
        <f>--457.81</f>
        <v>457.81</v>
      </c>
      <c r="U37" s="2"/>
      <c r="V37" s="19"/>
      <c r="W37" s="2"/>
      <c r="X37" s="2">
        <f t="shared" si="2"/>
        <v>9333.35</v>
      </c>
      <c r="Y37" s="2"/>
      <c r="Z37" s="19">
        <f t="shared" si="3"/>
        <v>20.38695091850331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--2962.32</f>
        <v>2962.32</v>
      </c>
      <c r="E38" s="2"/>
      <c r="F38" s="19"/>
      <c r="G38" s="2"/>
      <c r="H38" s="2">
        <f>--6451.34</f>
        <v>6451.34</v>
      </c>
      <c r="I38" s="2"/>
      <c r="J38" s="19"/>
      <c r="K38" s="2"/>
      <c r="L38" s="2">
        <f t="shared" si="0"/>
        <v>-3489.02</v>
      </c>
      <c r="M38" s="2"/>
      <c r="N38" s="19">
        <f t="shared" si="1"/>
        <v>-0.54082097672731555</v>
      </c>
      <c r="O38" s="11"/>
      <c r="P38" s="2">
        <f>--11331.52</f>
        <v>11331.52</v>
      </c>
      <c r="Q38" s="2"/>
      <c r="R38" s="19"/>
      <c r="S38" s="2"/>
      <c r="T38" s="2">
        <f>--28228.41</f>
        <v>28228.41</v>
      </c>
      <c r="U38" s="2"/>
      <c r="V38" s="19"/>
      <c r="W38" s="2"/>
      <c r="X38" s="2">
        <f t="shared" si="2"/>
        <v>-16896.89</v>
      </c>
      <c r="Y38" s="2"/>
      <c r="Z38" s="19">
        <f t="shared" si="3"/>
        <v>-0.59857746150066549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--2575.36</f>
        <v>2575.36</v>
      </c>
      <c r="E39" s="2"/>
      <c r="F39" s="19"/>
      <c r="G39" s="2"/>
      <c r="H39" s="2">
        <f>--5803.07</f>
        <v>5803.07</v>
      </c>
      <c r="I39" s="2"/>
      <c r="J39" s="19"/>
      <c r="K39" s="2"/>
      <c r="L39" s="2">
        <f t="shared" si="0"/>
        <v>-3227.7099999999996</v>
      </c>
      <c r="M39" s="2"/>
      <c r="N39" s="19">
        <f t="shared" si="1"/>
        <v>-0.55620731785072375</v>
      </c>
      <c r="O39" s="11"/>
      <c r="P39" s="2">
        <f>--92006.44</f>
        <v>92006.44</v>
      </c>
      <c r="Q39" s="2"/>
      <c r="R39" s="19"/>
      <c r="S39" s="2"/>
      <c r="T39" s="2">
        <f>--31327.11</f>
        <v>31327.11</v>
      </c>
      <c r="U39" s="2"/>
      <c r="V39" s="19"/>
      <c r="W39" s="2"/>
      <c r="X39" s="2">
        <f t="shared" si="2"/>
        <v>60679.33</v>
      </c>
      <c r="Y39" s="2"/>
      <c r="Z39" s="19">
        <f t="shared" si="3"/>
        <v>1.9369590747438881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 t="shared" ref="D40:D41" si="9">0</f>
        <v>0</v>
      </c>
      <c r="E40" s="2"/>
      <c r="F40" s="19"/>
      <c r="G40" s="2"/>
      <c r="H40" s="2">
        <f>--488.97</f>
        <v>488.97</v>
      </c>
      <c r="I40" s="2"/>
      <c r="J40" s="19"/>
      <c r="K40" s="2"/>
      <c r="L40" s="2">
        <f t="shared" si="0"/>
        <v>-488.97</v>
      </c>
      <c r="M40" s="2"/>
      <c r="N40" s="19">
        <f t="shared" si="1"/>
        <v>-1</v>
      </c>
      <c r="O40" s="11"/>
      <c r="P40" s="2">
        <f t="shared" ref="P40:P41" si="10">0</f>
        <v>0</v>
      </c>
      <c r="Q40" s="2"/>
      <c r="R40" s="19"/>
      <c r="S40" s="2"/>
      <c r="T40" s="2">
        <f>--971.35</f>
        <v>971.35</v>
      </c>
      <c r="U40" s="2"/>
      <c r="V40" s="19"/>
      <c r="W40" s="2"/>
      <c r="X40" s="2">
        <f t="shared" si="2"/>
        <v>-971.35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"4051", " - ", "TAXABLE SALES-FOOD")</f>
        <v xml:space="preserve">          4051 - TAXABLE SALES-FOOD</v>
      </c>
      <c r="C41" s="11"/>
      <c r="D41" s="2">
        <f t="shared" si="9"/>
        <v>0</v>
      </c>
      <c r="E41" s="2"/>
      <c r="F41" s="19"/>
      <c r="G41" s="2"/>
      <c r="H41" s="2">
        <f>--27751.99</f>
        <v>27751.99</v>
      </c>
      <c r="I41" s="2"/>
      <c r="J41" s="19"/>
      <c r="K41" s="2"/>
      <c r="L41" s="2">
        <f t="shared" si="0"/>
        <v>-27751.99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--38918.87</f>
        <v>38918.870000000003</v>
      </c>
      <c r="U41" s="2"/>
      <c r="V41" s="19"/>
      <c r="W41" s="2"/>
      <c r="X41" s="2">
        <f t="shared" si="2"/>
        <v>-38918.870000000003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"4081", " - ", "TAXABLE SALES-ELECTRONICS")</f>
        <v xml:space="preserve">          4081 - TAXABLE SALES-ELECTRONICS</v>
      </c>
      <c r="C42" s="11"/>
      <c r="D42" s="2">
        <f>--71.95</f>
        <v>71.95</v>
      </c>
      <c r="E42" s="2"/>
      <c r="F42" s="19"/>
      <c r="G42" s="2"/>
      <c r="H42" s="2">
        <f>--650.56</f>
        <v>650.55999999999995</v>
      </c>
      <c r="I42" s="2"/>
      <c r="J42" s="19"/>
      <c r="K42" s="2"/>
      <c r="L42" s="2">
        <f t="shared" si="0"/>
        <v>-578.6099999999999</v>
      </c>
      <c r="M42" s="2"/>
      <c r="N42" s="19">
        <f t="shared" si="1"/>
        <v>-0.88940297589768802</v>
      </c>
      <c r="O42" s="11"/>
      <c r="P42" s="2">
        <f>--71.95</f>
        <v>71.95</v>
      </c>
      <c r="Q42" s="2"/>
      <c r="R42" s="19"/>
      <c r="S42" s="2"/>
      <c r="T42" s="2">
        <f>--919.42</f>
        <v>919.42</v>
      </c>
      <c r="U42" s="2"/>
      <c r="V42" s="19"/>
      <c r="W42" s="2"/>
      <c r="X42" s="2">
        <f t="shared" si="2"/>
        <v>-847.46999999999991</v>
      </c>
      <c r="Y42" s="2"/>
      <c r="Z42" s="19">
        <f t="shared" si="3"/>
        <v>-0.92174414304670327</v>
      </c>
    </row>
    <row r="43" spans="1:26" s="24" customFormat="1" hidden="1" outlineLevel="1" x14ac:dyDescent="0.25">
      <c r="A43" s="44"/>
      <c r="B43" s="11" t="str">
        <f>CONCATENATE("          ", "4082", " - ", "TAXABLE SALES-COMPUTER HARDWAR")</f>
        <v xml:space="preserve">          4082 - TAXABLE SALES-COMPUTER HARDWAR</v>
      </c>
      <c r="C43" s="11"/>
      <c r="D43" s="2">
        <f>0</f>
        <v>0</v>
      </c>
      <c r="E43" s="2"/>
      <c r="F43" s="19"/>
      <c r="G43" s="2"/>
      <c r="H43" s="2">
        <f>--124</f>
        <v>124</v>
      </c>
      <c r="I43" s="2"/>
      <c r="J43" s="19"/>
      <c r="K43" s="2"/>
      <c r="L43" s="2">
        <f t="shared" si="0"/>
        <v>-124</v>
      </c>
      <c r="M43" s="2"/>
      <c r="N43" s="19">
        <f t="shared" si="1"/>
        <v>-1</v>
      </c>
      <c r="O43" s="11"/>
      <c r="P43" s="2">
        <f>0</f>
        <v>0</v>
      </c>
      <c r="Q43" s="2"/>
      <c r="R43" s="19"/>
      <c r="S43" s="2"/>
      <c r="T43" s="2">
        <f>--162</f>
        <v>162</v>
      </c>
      <c r="U43" s="2"/>
      <c r="V43" s="19"/>
      <c r="W43" s="2"/>
      <c r="X43" s="2">
        <f t="shared" si="2"/>
        <v>-162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"4083", " - ", "TAXABLE SALES-COMPUTER EQUIPME")</f>
        <v xml:space="preserve">          4083 - TAXABLE SALES-COMPUTER EQUIPME</v>
      </c>
      <c r="C44" s="11"/>
      <c r="D44" s="2">
        <f>--9.99</f>
        <v>9.99</v>
      </c>
      <c r="E44" s="2"/>
      <c r="F44" s="19"/>
      <c r="G44" s="2"/>
      <c r="H44" s="2">
        <f>--269.82</f>
        <v>269.82</v>
      </c>
      <c r="I44" s="2"/>
      <c r="J44" s="19"/>
      <c r="K44" s="2"/>
      <c r="L44" s="2">
        <f t="shared" si="0"/>
        <v>-259.83</v>
      </c>
      <c r="M44" s="2"/>
      <c r="N44" s="19">
        <f t="shared" si="1"/>
        <v>-0.9629753168779186</v>
      </c>
      <c r="O44" s="11"/>
      <c r="P44" s="2">
        <f>--9.99</f>
        <v>9.99</v>
      </c>
      <c r="Q44" s="2"/>
      <c r="R44" s="19"/>
      <c r="S44" s="2"/>
      <c r="T44" s="2">
        <f>--299.8</f>
        <v>299.8</v>
      </c>
      <c r="U44" s="2"/>
      <c r="V44" s="19"/>
      <c r="W44" s="2"/>
      <c r="X44" s="2">
        <f t="shared" si="2"/>
        <v>-289.81</v>
      </c>
      <c r="Y44" s="2"/>
      <c r="Z44" s="19">
        <f t="shared" si="3"/>
        <v>-0.9666777851901267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 t="shared" ref="D45:D47" si="11">0</f>
        <v>0</v>
      </c>
      <c r="E45" s="2"/>
      <c r="F45" s="19"/>
      <c r="G45" s="2"/>
      <c r="H45" s="2">
        <f>--344.87</f>
        <v>344.87</v>
      </c>
      <c r="I45" s="2"/>
      <c r="J45" s="19"/>
      <c r="K45" s="2"/>
      <c r="L45" s="2">
        <f t="shared" si="0"/>
        <v>-344.87</v>
      </c>
      <c r="M45" s="2"/>
      <c r="N45" s="19">
        <f t="shared" si="1"/>
        <v>-1</v>
      </c>
      <c r="O45" s="11"/>
      <c r="P45" s="2">
        <f t="shared" ref="P45:P47" si="12">0</f>
        <v>0</v>
      </c>
      <c r="Q45" s="2"/>
      <c r="R45" s="19"/>
      <c r="S45" s="2"/>
      <c r="T45" s="2">
        <f>--453.82</f>
        <v>453.82</v>
      </c>
      <c r="U45" s="2"/>
      <c r="V45" s="19"/>
      <c r="W45" s="2"/>
      <c r="X45" s="2">
        <f t="shared" si="2"/>
        <v>-453.82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"4092", " - ", "TAXABLE SALES-GRAD MERCH")</f>
        <v xml:space="preserve">          4092 - TAXABLE SALES-GRAD MERCH</v>
      </c>
      <c r="C46" s="11"/>
      <c r="D46" s="2">
        <f t="shared" si="11"/>
        <v>0</v>
      </c>
      <c r="E46" s="2"/>
      <c r="F46" s="19"/>
      <c r="G46" s="2"/>
      <c r="H46" s="2">
        <f>--49.9</f>
        <v>49.9</v>
      </c>
      <c r="I46" s="2"/>
      <c r="J46" s="19"/>
      <c r="K46" s="2"/>
      <c r="L46" s="2">
        <f t="shared" si="0"/>
        <v>-49.9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--3872.63</f>
        <v>3872.63</v>
      </c>
      <c r="U46" s="2"/>
      <c r="V46" s="19"/>
      <c r="W46" s="2"/>
      <c r="X46" s="2">
        <f t="shared" si="2"/>
        <v>-3872.63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"4095", " - ", "TAXABLE SALES-CUSTOMER SERVICE")</f>
        <v xml:space="preserve">          4095 - TAXABLE SALES-CUSTOMER SERVICE</v>
      </c>
      <c r="C47" s="11"/>
      <c r="D47" s="2">
        <f t="shared" si="11"/>
        <v>0</v>
      </c>
      <c r="E47" s="2"/>
      <c r="F47" s="19"/>
      <c r="G47" s="2"/>
      <c r="H47" s="2">
        <f>--26.83</f>
        <v>26.83</v>
      </c>
      <c r="I47" s="2"/>
      <c r="J47" s="19"/>
      <c r="K47" s="2"/>
      <c r="L47" s="2">
        <f t="shared" si="0"/>
        <v>-26.83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--200.85</f>
        <v>200.85</v>
      </c>
      <c r="U47" s="2"/>
      <c r="V47" s="19"/>
      <c r="W47" s="2"/>
      <c r="X47" s="2">
        <f t="shared" si="2"/>
        <v>-200.85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"4100", " - ", "NON-TAXABLE SALES")</f>
        <v xml:space="preserve">          4100 - NON-TAXABLE SALES</v>
      </c>
      <c r="C48" s="11"/>
      <c r="D48" s="2">
        <f>--10945.69</f>
        <v>10945.69</v>
      </c>
      <c r="E48" s="2"/>
      <c r="F48" s="19"/>
      <c r="G48" s="2"/>
      <c r="H48" s="2">
        <f>--66153.34</f>
        <v>66153.34</v>
      </c>
      <c r="I48" s="2"/>
      <c r="J48" s="19"/>
      <c r="K48" s="2"/>
      <c r="L48" s="2">
        <f t="shared" si="0"/>
        <v>-55207.649999999994</v>
      </c>
      <c r="M48" s="2"/>
      <c r="N48" s="19">
        <f t="shared" si="1"/>
        <v>-0.83454062939225737</v>
      </c>
      <c r="O48" s="11"/>
      <c r="P48" s="2">
        <f>--164344.02</f>
        <v>164344.01999999999</v>
      </c>
      <c r="Q48" s="2"/>
      <c r="R48" s="19"/>
      <c r="S48" s="2"/>
      <c r="T48" s="2">
        <f>--331667.77</f>
        <v>331667.77</v>
      </c>
      <c r="U48" s="2"/>
      <c r="V48" s="19"/>
      <c r="W48" s="2"/>
      <c r="X48" s="2">
        <f t="shared" si="2"/>
        <v>-167323.75000000003</v>
      </c>
      <c r="Y48" s="2"/>
      <c r="Z48" s="19">
        <f t="shared" si="3"/>
        <v>-0.50449204033301165</v>
      </c>
    </row>
    <row r="49" spans="1:26" s="24" customFormat="1" hidden="1" outlineLevel="1" x14ac:dyDescent="0.25">
      <c r="A49" s="44"/>
      <c r="B49" s="11" t="str">
        <f>CONCATENATE("          ", "4101", " - ", "NON-TAXABLE SALES-NEW TEXT")</f>
        <v xml:space="preserve">          4101 - NON-TAXABLE SALES-NEW TEXT</v>
      </c>
      <c r="C49" s="11"/>
      <c r="D49" s="2">
        <f>--18824.16</f>
        <v>18824.16</v>
      </c>
      <c r="E49" s="2"/>
      <c r="F49" s="19"/>
      <c r="G49" s="2"/>
      <c r="H49" s="2">
        <f>--27999.53</f>
        <v>27999.53</v>
      </c>
      <c r="I49" s="2"/>
      <c r="J49" s="19"/>
      <c r="K49" s="2"/>
      <c r="L49" s="2">
        <f t="shared" si="0"/>
        <v>-9175.369999999999</v>
      </c>
      <c r="M49" s="2"/>
      <c r="N49" s="19">
        <f t="shared" si="1"/>
        <v>-0.32769728634730655</v>
      </c>
      <c r="O49" s="11"/>
      <c r="P49" s="2">
        <f>--70404.84</f>
        <v>70404.84</v>
      </c>
      <c r="Q49" s="2"/>
      <c r="R49" s="19"/>
      <c r="S49" s="2"/>
      <c r="T49" s="2">
        <f>--83892.55</f>
        <v>83892.55</v>
      </c>
      <c r="U49" s="2"/>
      <c r="V49" s="19"/>
      <c r="W49" s="2"/>
      <c r="X49" s="2">
        <f t="shared" si="2"/>
        <v>-13487.710000000006</v>
      </c>
      <c r="Y49" s="2"/>
      <c r="Z49" s="19">
        <f t="shared" si="3"/>
        <v>-0.16077363246200058</v>
      </c>
    </row>
    <row r="50" spans="1:26" s="24" customFormat="1" hidden="1" outlineLevel="1" x14ac:dyDescent="0.25">
      <c r="A50" s="44"/>
      <c r="B50" s="11" t="str">
        <f>CONCATENATE("          ", "4102", " - ", "NON-TAXABLE SALES-USED TEXT")</f>
        <v xml:space="preserve">          4102 - NON-TAXABLE SALES-USED TEXT</v>
      </c>
      <c r="C50" s="11"/>
      <c r="D50" s="2">
        <f>--8807.08</f>
        <v>8807.08</v>
      </c>
      <c r="E50" s="2"/>
      <c r="F50" s="19"/>
      <c r="G50" s="2"/>
      <c r="H50" s="2">
        <f>--3969.18</f>
        <v>3969.18</v>
      </c>
      <c r="I50" s="2"/>
      <c r="J50" s="19"/>
      <c r="K50" s="2"/>
      <c r="L50" s="2">
        <f t="shared" si="0"/>
        <v>4837.8999999999996</v>
      </c>
      <c r="M50" s="2"/>
      <c r="N50" s="19">
        <f t="shared" si="1"/>
        <v>1.2188663653449832</v>
      </c>
      <c r="O50" s="11"/>
      <c r="P50" s="2">
        <f>--30370.82</f>
        <v>30370.82</v>
      </c>
      <c r="Q50" s="2"/>
      <c r="R50" s="19"/>
      <c r="S50" s="2"/>
      <c r="T50" s="2">
        <f>--36443.51</f>
        <v>36443.51</v>
      </c>
      <c r="U50" s="2"/>
      <c r="V50" s="19"/>
      <c r="W50" s="2"/>
      <c r="X50" s="2">
        <f t="shared" si="2"/>
        <v>-6072.6900000000023</v>
      </c>
      <c r="Y50" s="2"/>
      <c r="Z50" s="19">
        <f t="shared" si="3"/>
        <v>-0.16663296153416621</v>
      </c>
    </row>
    <row r="51" spans="1:26" s="24" customFormat="1" hidden="1" outlineLevel="1" x14ac:dyDescent="0.25">
      <c r="A51" s="44"/>
      <c r="B51" s="11" t="str">
        <f>CONCATENATE("          ", "4103", " - ", "NON-TAXABLE SALES-RENTAL TEXT")</f>
        <v xml:space="preserve">          4103 - NON-TAXABLE SALES-RENTAL TEXT</v>
      </c>
      <c r="C51" s="11"/>
      <c r="D51" s="2">
        <f>--284.97</f>
        <v>284.97000000000003</v>
      </c>
      <c r="E51" s="2"/>
      <c r="F51" s="19"/>
      <c r="G51" s="2"/>
      <c r="H51" s="2">
        <f>-144.99</f>
        <v>-144.99</v>
      </c>
      <c r="I51" s="2"/>
      <c r="J51" s="19"/>
      <c r="K51" s="2"/>
      <c r="L51" s="2">
        <f t="shared" si="0"/>
        <v>429.96000000000004</v>
      </c>
      <c r="M51" s="2"/>
      <c r="N51" s="19">
        <f t="shared" si="1"/>
        <v>-2.9654458928201946</v>
      </c>
      <c r="O51" s="11"/>
      <c r="P51" s="2">
        <f>--284.97</f>
        <v>284.97000000000003</v>
      </c>
      <c r="Q51" s="2"/>
      <c r="R51" s="19"/>
      <c r="S51" s="2"/>
      <c r="T51" s="2">
        <f>--329.98</f>
        <v>329.98</v>
      </c>
      <c r="U51" s="2"/>
      <c r="V51" s="19"/>
      <c r="W51" s="2"/>
      <c r="X51" s="2">
        <f t="shared" si="2"/>
        <v>-45.009999999999991</v>
      </c>
      <c r="Y51" s="2"/>
      <c r="Z51" s="19">
        <f t="shared" si="3"/>
        <v>-0.13640220619431478</v>
      </c>
    </row>
    <row r="52" spans="1:26" s="24" customFormat="1" hidden="1" outlineLevel="1" x14ac:dyDescent="0.25">
      <c r="A52" s="44"/>
      <c r="B52" s="11" t="str">
        <f>CONCATENATE("          ", "4104", " - ", "NON-TAXABLE SALES-DIGITAL TEXT")</f>
        <v xml:space="preserve">          4104 - NON-TAXABLE SALES-DIGITAL TEXT</v>
      </c>
      <c r="C52" s="11"/>
      <c r="D52" s="2">
        <f>--73817.67</f>
        <v>73817.67</v>
      </c>
      <c r="E52" s="2"/>
      <c r="F52" s="19"/>
      <c r="G52" s="2"/>
      <c r="H52" s="2">
        <f>--59065.75</f>
        <v>59065.75</v>
      </c>
      <c r="I52" s="2"/>
      <c r="J52" s="19"/>
      <c r="K52" s="2"/>
      <c r="L52" s="2">
        <f t="shared" si="0"/>
        <v>14751.919999999998</v>
      </c>
      <c r="M52" s="2"/>
      <c r="N52" s="19">
        <f t="shared" si="1"/>
        <v>0.24975421458290123</v>
      </c>
      <c r="O52" s="11"/>
      <c r="P52" s="2">
        <f>--286707.85</f>
        <v>286707.84999999998</v>
      </c>
      <c r="Q52" s="2"/>
      <c r="R52" s="19"/>
      <c r="S52" s="2"/>
      <c r="T52" s="2">
        <f>--318933.82</f>
        <v>318933.82</v>
      </c>
      <c r="U52" s="2"/>
      <c r="V52" s="19"/>
      <c r="W52" s="2"/>
      <c r="X52" s="2">
        <f t="shared" si="2"/>
        <v>-32225.97000000003</v>
      </c>
      <c r="Y52" s="2"/>
      <c r="Z52" s="19">
        <f t="shared" si="3"/>
        <v>-0.10104281195390326</v>
      </c>
    </row>
    <row r="53" spans="1:26" s="24" customFormat="1" hidden="1" outlineLevel="1" x14ac:dyDescent="0.25">
      <c r="A53" s="44"/>
      <c r="B53" s="11" t="str">
        <f>CONCATENATE("          ", "4111", " - ", "NON-TAXABLE SALES-NO VALUE TEX")</f>
        <v xml:space="preserve">          4111 - NON-TAXABLE SALES-NO VALUE TEX</v>
      </c>
      <c r="C53" s="11"/>
      <c r="D53" s="2">
        <f t="shared" ref="D53:D54" si="13">0</f>
        <v>0</v>
      </c>
      <c r="E53" s="2"/>
      <c r="F53" s="19"/>
      <c r="G53" s="2"/>
      <c r="H53" s="2">
        <f>--594.06</f>
        <v>594.05999999999995</v>
      </c>
      <c r="I53" s="2"/>
      <c r="J53" s="19"/>
      <c r="K53" s="2"/>
      <c r="L53" s="2">
        <f t="shared" si="0"/>
        <v>-594.05999999999995</v>
      </c>
      <c r="M53" s="2"/>
      <c r="N53" s="19">
        <f t="shared" si="1"/>
        <v>-1</v>
      </c>
      <c r="O53" s="11"/>
      <c r="P53" s="2">
        <f t="shared" ref="P53:P54" si="14">0</f>
        <v>0</v>
      </c>
      <c r="Q53" s="2"/>
      <c r="R53" s="19"/>
      <c r="S53" s="2"/>
      <c r="T53" s="2">
        <f>--6342.17</f>
        <v>6342.17</v>
      </c>
      <c r="U53" s="2"/>
      <c r="V53" s="19"/>
      <c r="W53" s="2"/>
      <c r="X53" s="2">
        <f t="shared" si="2"/>
        <v>-6342.17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"4113", " - ", "NON-TAXABLE SALES-TRADE BOOKS")</f>
        <v xml:space="preserve">          4113 - NON-TAXABLE SALES-TRADE BOOKS</v>
      </c>
      <c r="C54" s="11"/>
      <c r="D54" s="2">
        <f t="shared" si="13"/>
        <v>0</v>
      </c>
      <c r="E54" s="2"/>
      <c r="F54" s="19"/>
      <c r="G54" s="2"/>
      <c r="H54" s="2">
        <f>0</f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14"/>
        <v>0</v>
      </c>
      <c r="Q54" s="2"/>
      <c r="R54" s="19"/>
      <c r="S54" s="2"/>
      <c r="T54" s="2">
        <f>--1146.72</f>
        <v>1146.72</v>
      </c>
      <c r="U54" s="2"/>
      <c r="V54" s="19"/>
      <c r="W54" s="2"/>
      <c r="X54" s="2">
        <f t="shared" si="2"/>
        <v>-1146.72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"4118", " - ", "NON-TAXABLE SALES-STUDY GUIDES")</f>
        <v xml:space="preserve">          4118 - NON-TAXABLE SALES-STUDY GUIDES</v>
      </c>
      <c r="C55" s="11"/>
      <c r="D55" s="2">
        <f>--6.5</f>
        <v>6.5</v>
      </c>
      <c r="E55" s="2"/>
      <c r="F55" s="19"/>
      <c r="G55" s="2"/>
      <c r="H55" s="2">
        <f>--6.95</f>
        <v>6.95</v>
      </c>
      <c r="I55" s="2"/>
      <c r="J55" s="19"/>
      <c r="K55" s="2"/>
      <c r="L55" s="2">
        <f t="shared" si="0"/>
        <v>-0.45000000000000018</v>
      </c>
      <c r="M55" s="2"/>
      <c r="N55" s="19">
        <f t="shared" si="1"/>
        <v>-6.4748201438848949E-2</v>
      </c>
      <c r="O55" s="11"/>
      <c r="P55" s="2">
        <f>--108.33</f>
        <v>108.33</v>
      </c>
      <c r="Q55" s="2"/>
      <c r="R55" s="19"/>
      <c r="S55" s="2"/>
      <c r="T55" s="2">
        <f>--20.92</f>
        <v>20.92</v>
      </c>
      <c r="U55" s="2"/>
      <c r="V55" s="19"/>
      <c r="W55" s="2"/>
      <c r="X55" s="2">
        <f t="shared" si="2"/>
        <v>87.41</v>
      </c>
      <c r="Y55" s="2"/>
      <c r="Z55" s="19">
        <f t="shared" si="3"/>
        <v>4.1782982791586996</v>
      </c>
    </row>
    <row r="56" spans="1:26" s="24" customFormat="1" hidden="1" outlineLevel="1" x14ac:dyDescent="0.25">
      <c r="A56" s="44"/>
      <c r="B56" s="11" t="str">
        <f>CONCATENATE("          ", "4125", " - ", "NON-TAXABLE SALES-TEST FORMS")</f>
        <v xml:space="preserve">          4125 - NON-TAXABLE SALES-TEST FORMS</v>
      </c>
      <c r="C56" s="11"/>
      <c r="D56" s="2">
        <f t="shared" ref="D56:D57" si="15">0</f>
        <v>0</v>
      </c>
      <c r="E56" s="2"/>
      <c r="F56" s="19"/>
      <c r="G56" s="2"/>
      <c r="H56" s="2">
        <f>--42.03</f>
        <v>42.03</v>
      </c>
      <c r="I56" s="2"/>
      <c r="J56" s="19"/>
      <c r="K56" s="2"/>
      <c r="L56" s="2">
        <f t="shared" si="0"/>
        <v>-42.03</v>
      </c>
      <c r="M56" s="2"/>
      <c r="N56" s="19">
        <f t="shared" si="1"/>
        <v>-1</v>
      </c>
      <c r="O56" s="11"/>
      <c r="P56" s="2">
        <f>0</f>
        <v>0</v>
      </c>
      <c r="Q56" s="2"/>
      <c r="R56" s="19"/>
      <c r="S56" s="2"/>
      <c r="T56" s="2">
        <f>--124.18</f>
        <v>124.18</v>
      </c>
      <c r="U56" s="2"/>
      <c r="V56" s="19"/>
      <c r="W56" s="2"/>
      <c r="X56" s="2">
        <f t="shared" si="2"/>
        <v>-124.18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"4126", " - ", "NON-TAXABLE SALES-WRITING INST")</f>
        <v xml:space="preserve">          4126 - NON-TAXABLE SALES-WRITING INST</v>
      </c>
      <c r="C57" s="11"/>
      <c r="D57" s="2">
        <f t="shared" si="15"/>
        <v>0</v>
      </c>
      <c r="E57" s="2"/>
      <c r="F57" s="19"/>
      <c r="G57" s="2"/>
      <c r="H57" s="2">
        <f>--332.14</f>
        <v>332.14</v>
      </c>
      <c r="I57" s="2"/>
      <c r="J57" s="19"/>
      <c r="K57" s="2"/>
      <c r="L57" s="2">
        <f t="shared" si="0"/>
        <v>-332.14</v>
      </c>
      <c r="M57" s="2"/>
      <c r="N57" s="19">
        <f t="shared" si="1"/>
        <v>-1</v>
      </c>
      <c r="O57" s="11"/>
      <c r="P57" s="2">
        <f>--52.68</f>
        <v>52.68</v>
      </c>
      <c r="Q57" s="2"/>
      <c r="R57" s="19"/>
      <c r="S57" s="2"/>
      <c r="T57" s="2">
        <f>--1343.26</f>
        <v>1343.26</v>
      </c>
      <c r="U57" s="2"/>
      <c r="V57" s="19"/>
      <c r="W57" s="2"/>
      <c r="X57" s="2">
        <f t="shared" si="2"/>
        <v>-1290.58</v>
      </c>
      <c r="Y57" s="2"/>
      <c r="Z57" s="19">
        <f t="shared" si="3"/>
        <v>-0.96078197817250566</v>
      </c>
    </row>
    <row r="58" spans="1:26" s="24" customFormat="1" hidden="1" outlineLevel="1" x14ac:dyDescent="0.25">
      <c r="A58" s="44"/>
      <c r="B58" s="11" t="str">
        <f>CONCATENATE("          ", "4127", " - ", "NON-TAXABLE SALES-SCHOOL SUPPL")</f>
        <v xml:space="preserve">          4127 - NON-TAXABLE SALES-SCHOOL SUPPL</v>
      </c>
      <c r="C58" s="11"/>
      <c r="D58" s="2">
        <f>--810.33</f>
        <v>810.33</v>
      </c>
      <c r="E58" s="2"/>
      <c r="F58" s="19"/>
      <c r="G58" s="2"/>
      <c r="H58" s="2">
        <f>--547.21</f>
        <v>547.21</v>
      </c>
      <c r="I58" s="2"/>
      <c r="J58" s="19"/>
      <c r="K58" s="2"/>
      <c r="L58" s="2">
        <f t="shared" si="0"/>
        <v>263.12</v>
      </c>
      <c r="M58" s="2"/>
      <c r="N58" s="19">
        <f t="shared" si="1"/>
        <v>0.48083916595091464</v>
      </c>
      <c r="O58" s="11"/>
      <c r="P58" s="2">
        <f>--2670.74</f>
        <v>2670.74</v>
      </c>
      <c r="Q58" s="2"/>
      <c r="R58" s="19"/>
      <c r="S58" s="2"/>
      <c r="T58" s="2">
        <f>--2417.49</f>
        <v>2417.4899999999998</v>
      </c>
      <c r="U58" s="2"/>
      <c r="V58" s="19"/>
      <c r="W58" s="2"/>
      <c r="X58" s="2">
        <f t="shared" si="2"/>
        <v>253.25</v>
      </c>
      <c r="Y58" s="2"/>
      <c r="Z58" s="19">
        <f t="shared" si="3"/>
        <v>0.10475741368113209</v>
      </c>
    </row>
    <row r="59" spans="1:26" s="24" customFormat="1" hidden="1" outlineLevel="1" x14ac:dyDescent="0.25">
      <c r="A59" s="44"/>
      <c r="B59" s="11" t="str">
        <f>CONCATENATE("          ", "4128", " - ", "NON-TAXABLE SALES-ART/TECH")</f>
        <v xml:space="preserve">          4128 - NON-TAXABLE SALES-ART/TECH</v>
      </c>
      <c r="C59" s="11"/>
      <c r="D59" s="2">
        <f>0</f>
        <v>0</v>
      </c>
      <c r="E59" s="2"/>
      <c r="F59" s="19"/>
      <c r="G59" s="2"/>
      <c r="H59" s="2">
        <f>--132.8</f>
        <v>132.80000000000001</v>
      </c>
      <c r="I59" s="2"/>
      <c r="J59" s="19"/>
      <c r="K59" s="2"/>
      <c r="L59" s="2">
        <f t="shared" si="0"/>
        <v>-132.80000000000001</v>
      </c>
      <c r="M59" s="2"/>
      <c r="N59" s="19">
        <f t="shared" si="1"/>
        <v>-1</v>
      </c>
      <c r="O59" s="11"/>
      <c r="P59" s="2">
        <f>0</f>
        <v>0</v>
      </c>
      <c r="Q59" s="2"/>
      <c r="R59" s="19"/>
      <c r="S59" s="2"/>
      <c r="T59" s="2">
        <f>--262.9</f>
        <v>262.89999999999998</v>
      </c>
      <c r="U59" s="2"/>
      <c r="V59" s="19"/>
      <c r="W59" s="2"/>
      <c r="X59" s="2">
        <f t="shared" si="2"/>
        <v>-262.89999999999998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"4131", " - ", "NON-TAXABLE SALES-FOOD")</f>
        <v xml:space="preserve">          4131 - NON-TAXABLE SALES-FOOD</v>
      </c>
      <c r="C60" s="11"/>
      <c r="D60" s="2">
        <f>--2168.74</f>
        <v>2168.7399999999998</v>
      </c>
      <c r="E60" s="2"/>
      <c r="F60" s="19"/>
      <c r="G60" s="2"/>
      <c r="H60" s="2">
        <f>--10548.09</f>
        <v>10548.09</v>
      </c>
      <c r="I60" s="2"/>
      <c r="J60" s="19"/>
      <c r="K60" s="2"/>
      <c r="L60" s="2">
        <f t="shared" si="0"/>
        <v>-8379.35</v>
      </c>
      <c r="M60" s="2"/>
      <c r="N60" s="19">
        <f t="shared" si="1"/>
        <v>-0.79439500421403308</v>
      </c>
      <c r="O60" s="11"/>
      <c r="P60" s="2">
        <f>--4003.96</f>
        <v>4003.96</v>
      </c>
      <c r="Q60" s="2"/>
      <c r="R60" s="19"/>
      <c r="S60" s="2"/>
      <c r="T60" s="2">
        <f>--13265.29</f>
        <v>13265.29</v>
      </c>
      <c r="U60" s="2"/>
      <c r="V60" s="19"/>
      <c r="W60" s="2"/>
      <c r="X60" s="2">
        <f t="shared" si="2"/>
        <v>-9261.3300000000017</v>
      </c>
      <c r="Y60" s="2"/>
      <c r="Z60" s="19">
        <f t="shared" si="3"/>
        <v>-0.69816264853614218</v>
      </c>
    </row>
    <row r="61" spans="1:26" s="24" customFormat="1" hidden="1" outlineLevel="1" x14ac:dyDescent="0.25">
      <c r="A61" s="44"/>
      <c r="B61" s="11" t="str">
        <f>CONCATENATE("          ", "4132", " - ", "NON-TAXABLE SALES-JUICE")</f>
        <v xml:space="preserve">          4132 - NON-TAXABLE SALES-JUICE</v>
      </c>
      <c r="C61" s="11"/>
      <c r="D61" s="2">
        <f>--1406.08</f>
        <v>1406.08</v>
      </c>
      <c r="E61" s="2"/>
      <c r="F61" s="19"/>
      <c r="G61" s="2"/>
      <c r="H61" s="2">
        <f>--184994.61</f>
        <v>184994.61</v>
      </c>
      <c r="I61" s="2"/>
      <c r="J61" s="19"/>
      <c r="K61" s="2"/>
      <c r="L61" s="2">
        <f t="shared" si="0"/>
        <v>-183588.53</v>
      </c>
      <c r="M61" s="2"/>
      <c r="N61" s="19">
        <f t="shared" si="1"/>
        <v>-0.99239934612148972</v>
      </c>
      <c r="O61" s="11"/>
      <c r="P61" s="2">
        <f>--2054.37</f>
        <v>2054.37</v>
      </c>
      <c r="Q61" s="2"/>
      <c r="R61" s="19"/>
      <c r="S61" s="2"/>
      <c r="T61" s="2">
        <f>--279752.36</f>
        <v>279752.36</v>
      </c>
      <c r="U61" s="2"/>
      <c r="V61" s="19"/>
      <c r="W61" s="2"/>
      <c r="X61" s="2">
        <f t="shared" si="2"/>
        <v>-277697.99</v>
      </c>
      <c r="Y61" s="2"/>
      <c r="Z61" s="19">
        <f t="shared" si="3"/>
        <v>-0.99265646945748731</v>
      </c>
    </row>
    <row r="62" spans="1:26" s="24" customFormat="1" hidden="1" outlineLevel="1" x14ac:dyDescent="0.25">
      <c r="A62" s="44"/>
      <c r="B62" s="11" t="str">
        <f>CONCATENATE("          ", "4133", " - ", "NON-TAXABLE SALES-CANDY")</f>
        <v xml:space="preserve">          4133 - NON-TAXABLE SALES-CANDY</v>
      </c>
      <c r="C62" s="11"/>
      <c r="D62" s="2">
        <f t="shared" ref="D62:D65" si="16">0</f>
        <v>0</v>
      </c>
      <c r="E62" s="2"/>
      <c r="F62" s="19"/>
      <c r="G62" s="2"/>
      <c r="H62" s="2">
        <f>--3292.63</f>
        <v>3292.63</v>
      </c>
      <c r="I62" s="2"/>
      <c r="J62" s="19"/>
      <c r="K62" s="2"/>
      <c r="L62" s="2">
        <f t="shared" si="0"/>
        <v>-3292.63</v>
      </c>
      <c r="M62" s="2"/>
      <c r="N62" s="19">
        <f t="shared" si="1"/>
        <v>-1</v>
      </c>
      <c r="O62" s="11"/>
      <c r="P62" s="2">
        <f>--80.71</f>
        <v>80.709999999999994</v>
      </c>
      <c r="Q62" s="2"/>
      <c r="R62" s="19"/>
      <c r="S62" s="2"/>
      <c r="T62" s="2">
        <f>--4664.98</f>
        <v>4664.9799999999996</v>
      </c>
      <c r="U62" s="2"/>
      <c r="V62" s="19"/>
      <c r="W62" s="2"/>
      <c r="X62" s="2">
        <f t="shared" si="2"/>
        <v>-4584.2699999999995</v>
      </c>
      <c r="Y62" s="2"/>
      <c r="Z62" s="19">
        <f t="shared" si="3"/>
        <v>-0.9826987468327838</v>
      </c>
    </row>
    <row r="63" spans="1:26" s="24" customFormat="1" hidden="1" outlineLevel="1" x14ac:dyDescent="0.25">
      <c r="A63" s="44"/>
      <c r="B63" s="11" t="str">
        <f>CONCATENATE("          ", "4134", " - ", "NON-TAXABLE SALES-SODA")</f>
        <v xml:space="preserve">          4134 - NON-TAXABLE SALES-SODA</v>
      </c>
      <c r="C63" s="11"/>
      <c r="D63" s="2">
        <f t="shared" si="16"/>
        <v>0</v>
      </c>
      <c r="E63" s="2"/>
      <c r="F63" s="19"/>
      <c r="G63" s="2"/>
      <c r="H63" s="2">
        <f>--3.78</f>
        <v>3.78</v>
      </c>
      <c r="I63" s="2"/>
      <c r="J63" s="19"/>
      <c r="K63" s="2"/>
      <c r="L63" s="2">
        <f t="shared" si="0"/>
        <v>-3.78</v>
      </c>
      <c r="M63" s="2"/>
      <c r="N63" s="19">
        <f t="shared" si="1"/>
        <v>-1</v>
      </c>
      <c r="O63" s="11"/>
      <c r="P63" s="2">
        <f>--45.53</f>
        <v>45.53</v>
      </c>
      <c r="Q63" s="2"/>
      <c r="R63" s="19"/>
      <c r="S63" s="2"/>
      <c r="T63" s="2">
        <f>--0.39</f>
        <v>0.39</v>
      </c>
      <c r="U63" s="2"/>
      <c r="V63" s="19"/>
      <c r="W63" s="2"/>
      <c r="X63" s="2">
        <f t="shared" si="2"/>
        <v>45.14</v>
      </c>
      <c r="Y63" s="2"/>
      <c r="Z63" s="19">
        <f t="shared" si="3"/>
        <v>115.74358974358974</v>
      </c>
    </row>
    <row r="64" spans="1:26" s="24" customFormat="1" hidden="1" outlineLevel="1" x14ac:dyDescent="0.25">
      <c r="A64" s="44"/>
      <c r="B64" s="11" t="str">
        <f>CONCATENATE("          ", "4135", " - ", "NON-TAXABLE SALES")</f>
        <v xml:space="preserve">          4135 - NON-TAXABLE SALES</v>
      </c>
      <c r="C64" s="11"/>
      <c r="D64" s="2">
        <f t="shared" si="16"/>
        <v>0</v>
      </c>
      <c r="E64" s="2"/>
      <c r="F64" s="19"/>
      <c r="G64" s="2"/>
      <c r="H64" s="2">
        <f>--32.31</f>
        <v>32.31</v>
      </c>
      <c r="I64" s="2"/>
      <c r="J64" s="19"/>
      <c r="K64" s="2"/>
      <c r="L64" s="2">
        <f t="shared" si="0"/>
        <v>-32.31</v>
      </c>
      <c r="M64" s="2"/>
      <c r="N64" s="19">
        <f t="shared" si="1"/>
        <v>-1</v>
      </c>
      <c r="O64" s="11"/>
      <c r="P64" s="2">
        <f>0</f>
        <v>0</v>
      </c>
      <c r="Q64" s="2"/>
      <c r="R64" s="19"/>
      <c r="S64" s="2"/>
      <c r="T64" s="2">
        <f>--86.06</f>
        <v>86.06</v>
      </c>
      <c r="U64" s="2"/>
      <c r="V64" s="19"/>
      <c r="W64" s="2"/>
      <c r="X64" s="2">
        <f t="shared" si="2"/>
        <v>-86.06</v>
      </c>
      <c r="Y64" s="2"/>
      <c r="Z64" s="19">
        <f t="shared" si="3"/>
        <v>-1</v>
      </c>
    </row>
    <row r="65" spans="1:26" s="24" customFormat="1" hidden="1" outlineLevel="1" x14ac:dyDescent="0.25">
      <c r="A65" s="44"/>
      <c r="B65" s="11" t="str">
        <f>CONCATENATE("          ", "4137", " - ", "NON-TAXABLE SALES-WATER")</f>
        <v xml:space="preserve">          4137 - NON-TAXABLE SALES-WATER</v>
      </c>
      <c r="C65" s="11"/>
      <c r="D65" s="2">
        <f t="shared" si="16"/>
        <v>0</v>
      </c>
      <c r="E65" s="2"/>
      <c r="F65" s="19"/>
      <c r="G65" s="2"/>
      <c r="H65" s="2">
        <f>--1871.72</f>
        <v>1871.72</v>
      </c>
      <c r="I65" s="2"/>
      <c r="J65" s="19"/>
      <c r="K65" s="2"/>
      <c r="L65" s="2">
        <f t="shared" si="0"/>
        <v>-1871.72</v>
      </c>
      <c r="M65" s="2"/>
      <c r="N65" s="19">
        <f t="shared" si="1"/>
        <v>-1</v>
      </c>
      <c r="O65" s="11"/>
      <c r="P65" s="2">
        <f>--68.25</f>
        <v>68.25</v>
      </c>
      <c r="Q65" s="2"/>
      <c r="R65" s="19"/>
      <c r="S65" s="2"/>
      <c r="T65" s="2">
        <f>--2861.96</f>
        <v>2861.96</v>
      </c>
      <c r="U65" s="2"/>
      <c r="V65" s="19"/>
      <c r="W65" s="2"/>
      <c r="X65" s="2">
        <f t="shared" si="2"/>
        <v>-2793.71</v>
      </c>
      <c r="Y65" s="2"/>
      <c r="Z65" s="19">
        <f t="shared" si="3"/>
        <v>-0.97615270653677899</v>
      </c>
    </row>
    <row r="66" spans="1:26" s="24" customFormat="1" hidden="1" outlineLevel="1" x14ac:dyDescent="0.25">
      <c r="A66" s="44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--3339.7</f>
        <v>3339.7</v>
      </c>
      <c r="E66" s="2"/>
      <c r="F66" s="19"/>
      <c r="G66" s="2"/>
      <c r="H66" s="2">
        <f>--3114.74</f>
        <v>3114.74</v>
      </c>
      <c r="I66" s="2"/>
      <c r="J66" s="19"/>
      <c r="K66" s="2"/>
      <c r="L66" s="2">
        <f t="shared" si="0"/>
        <v>224.96000000000004</v>
      </c>
      <c r="M66" s="2"/>
      <c r="N66" s="19">
        <f t="shared" si="1"/>
        <v>7.2224326910111297E-2</v>
      </c>
      <c r="O66" s="11"/>
      <c r="P66" s="2">
        <f>--17452.44</f>
        <v>17452.439999999999</v>
      </c>
      <c r="Q66" s="2"/>
      <c r="R66" s="19"/>
      <c r="S66" s="2"/>
      <c r="T66" s="2">
        <f>--8257.7</f>
        <v>8257.7000000000007</v>
      </c>
      <c r="U66" s="2"/>
      <c r="V66" s="19"/>
      <c r="W66" s="2"/>
      <c r="X66" s="2">
        <f t="shared" si="2"/>
        <v>9194.739999999998</v>
      </c>
      <c r="Y66" s="2"/>
      <c r="Z66" s="19">
        <f t="shared" si="3"/>
        <v>1.1134746963440179</v>
      </c>
    </row>
    <row r="67" spans="1:26" s="24" customFormat="1" hidden="1" outlineLevel="1" x14ac:dyDescent="0.25">
      <c r="A67" s="44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--555.74</f>
        <v>555.74</v>
      </c>
      <c r="E67" s="2"/>
      <c r="F67" s="19"/>
      <c r="G67" s="2"/>
      <c r="H67" s="2">
        <f>--120.34</f>
        <v>120.34</v>
      </c>
      <c r="I67" s="2"/>
      <c r="J67" s="19"/>
      <c r="K67" s="2"/>
      <c r="L67" s="2">
        <f t="shared" si="0"/>
        <v>435.4</v>
      </c>
      <c r="M67" s="2"/>
      <c r="N67" s="19">
        <f t="shared" si="1"/>
        <v>3.6180821007146418</v>
      </c>
      <c r="O67" s="11"/>
      <c r="P67" s="2">
        <f>--2944.99</f>
        <v>2944.99</v>
      </c>
      <c r="Q67" s="2"/>
      <c r="R67" s="19"/>
      <c r="S67" s="2"/>
      <c r="T67" s="2">
        <f>--814.64</f>
        <v>814.64</v>
      </c>
      <c r="U67" s="2"/>
      <c r="V67" s="19"/>
      <c r="W67" s="2"/>
      <c r="X67" s="2">
        <f t="shared" si="2"/>
        <v>2130.35</v>
      </c>
      <c r="Y67" s="2"/>
      <c r="Z67" s="19">
        <f t="shared" si="3"/>
        <v>2.6150815083963468</v>
      </c>
    </row>
    <row r="68" spans="1:26" s="24" customFormat="1" hidden="1" outlineLevel="1" x14ac:dyDescent="0.25">
      <c r="A68" s="44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--30.16</f>
        <v>30.16</v>
      </c>
      <c r="E68" s="2"/>
      <c r="F68" s="19"/>
      <c r="G68" s="2"/>
      <c r="H68" s="2">
        <f>--2116.4</f>
        <v>2116.4</v>
      </c>
      <c r="I68" s="2"/>
      <c r="J68" s="19"/>
      <c r="K68" s="2"/>
      <c r="L68" s="2">
        <f t="shared" si="0"/>
        <v>-2086.2400000000002</v>
      </c>
      <c r="M68" s="2"/>
      <c r="N68" s="19">
        <f t="shared" si="1"/>
        <v>-0.98574938574938586</v>
      </c>
      <c r="O68" s="11"/>
      <c r="P68" s="2">
        <f>--1009.73</f>
        <v>1009.73</v>
      </c>
      <c r="Q68" s="2"/>
      <c r="R68" s="19"/>
      <c r="S68" s="2"/>
      <c r="T68" s="2">
        <f>--3036.5</f>
        <v>3036.5</v>
      </c>
      <c r="U68" s="2"/>
      <c r="V68" s="19"/>
      <c r="W68" s="2"/>
      <c r="X68" s="2">
        <f t="shared" si="2"/>
        <v>-2026.77</v>
      </c>
      <c r="Y68" s="2"/>
      <c r="Z68" s="19">
        <f t="shared" si="3"/>
        <v>-0.66746912563807015</v>
      </c>
    </row>
    <row r="69" spans="1:26" s="24" customFormat="1" hidden="1" outlineLevel="1" x14ac:dyDescent="0.25">
      <c r="A69" s="44"/>
      <c r="B69" s="11" t="str">
        <f>CONCATENATE("          ", "4143", " - ", "NON-TAXABLE SALES-CARDS")</f>
        <v xml:space="preserve">          4143 - NON-TAXABLE SALES-CARDS</v>
      </c>
      <c r="C69" s="11"/>
      <c r="D69" s="2">
        <f>0</f>
        <v>0</v>
      </c>
      <c r="E69" s="2"/>
      <c r="F69" s="19"/>
      <c r="G69" s="2"/>
      <c r="H69" s="2">
        <f t="shared" ref="H69:H71" si="17">0</f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--19.98</f>
        <v>19.98</v>
      </c>
      <c r="Q69" s="2"/>
      <c r="R69" s="19"/>
      <c r="S69" s="2"/>
      <c r="T69" s="2">
        <f>0</f>
        <v>0</v>
      </c>
      <c r="U69" s="2"/>
      <c r="V69" s="19"/>
      <c r="W69" s="2"/>
      <c r="X69" s="2">
        <f t="shared" si="2"/>
        <v>19.98</v>
      </c>
      <c r="Y69" s="2"/>
      <c r="Z69" s="19">
        <f t="shared" si="3"/>
        <v>0</v>
      </c>
    </row>
    <row r="70" spans="1:26" s="24" customFormat="1" hidden="1" outlineLevel="1" x14ac:dyDescent="0.25">
      <c r="A70" s="44"/>
      <c r="B70" s="11" t="str">
        <f>CONCATENATE("          ", "4144", " - ", "NON-TAXABLE SALES-ACCESSORIES")</f>
        <v xml:space="preserve">          4144 - NON-TAXABLE SALES-ACCESSORIES</v>
      </c>
      <c r="C70" s="11"/>
      <c r="D70" s="2">
        <f>--59.95</f>
        <v>59.95</v>
      </c>
      <c r="E70" s="2"/>
      <c r="F70" s="19"/>
      <c r="G70" s="2"/>
      <c r="H70" s="2">
        <f t="shared" si="17"/>
        <v>0</v>
      </c>
      <c r="I70" s="2"/>
      <c r="J70" s="19"/>
      <c r="K70" s="2"/>
      <c r="L70" s="2">
        <f t="shared" si="0"/>
        <v>59.95</v>
      </c>
      <c r="M70" s="2"/>
      <c r="N70" s="19">
        <f t="shared" si="1"/>
        <v>0</v>
      </c>
      <c r="O70" s="11"/>
      <c r="P70" s="2">
        <f>--215.75</f>
        <v>215.75</v>
      </c>
      <c r="Q70" s="2"/>
      <c r="R70" s="19"/>
      <c r="S70" s="2"/>
      <c r="T70" s="2">
        <f>--139.76</f>
        <v>139.76</v>
      </c>
      <c r="U70" s="2"/>
      <c r="V70" s="19"/>
      <c r="W70" s="2"/>
      <c r="X70" s="2">
        <f t="shared" si="2"/>
        <v>75.990000000000009</v>
      </c>
      <c r="Y70" s="2"/>
      <c r="Z70" s="19">
        <f t="shared" si="3"/>
        <v>0.54371780194619357</v>
      </c>
    </row>
    <row r="71" spans="1:26" s="24" customFormat="1" hidden="1" outlineLevel="1" x14ac:dyDescent="0.25">
      <c r="A71" s="44"/>
      <c r="B71" s="11" t="str">
        <f>CONCATENATE("          ", "4145", " - ", "NON-TAXABLE SALES-SPECIAL ORDE")</f>
        <v xml:space="preserve">          4145 - NON-TAXABLE SALES-SPECIAL ORDE</v>
      </c>
      <c r="C71" s="11"/>
      <c r="D71" s="2">
        <f>0</f>
        <v>0</v>
      </c>
      <c r="E71" s="2"/>
      <c r="F71" s="19"/>
      <c r="G71" s="2"/>
      <c r="H71" s="2">
        <f t="shared" si="17"/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--35846</f>
        <v>35846</v>
      </c>
      <c r="Q71" s="2"/>
      <c r="R71" s="19"/>
      <c r="S71" s="2"/>
      <c r="T71" s="2">
        <f>--90</f>
        <v>90</v>
      </c>
      <c r="U71" s="2"/>
      <c r="V71" s="19"/>
      <c r="W71" s="2"/>
      <c r="X71" s="2">
        <f t="shared" si="2"/>
        <v>35756</v>
      </c>
      <c r="Y71" s="2"/>
      <c r="Z71" s="19">
        <f t="shared" si="3"/>
        <v>397.28888888888889</v>
      </c>
    </row>
    <row r="72" spans="1:26" s="24" customFormat="1" hidden="1" outlineLevel="1" x14ac:dyDescent="0.25">
      <c r="A72" s="44"/>
      <c r="B72" s="11" t="str">
        <f>CONCATENATE("          ", "4146", " - ", "NON-TAXABLE SALES-COIN OP MACH")</f>
        <v xml:space="preserve">          4146 - NON-TAXABLE SALES-COIN OP MACH</v>
      </c>
      <c r="C72" s="11"/>
      <c r="D72" s="2">
        <f>--49.7</f>
        <v>49.7</v>
      </c>
      <c r="E72" s="2"/>
      <c r="F72" s="19"/>
      <c r="G72" s="2"/>
      <c r="H72" s="2">
        <f>--34744.75</f>
        <v>34744.75</v>
      </c>
      <c r="I72" s="2"/>
      <c r="J72" s="19"/>
      <c r="K72" s="2"/>
      <c r="L72" s="2">
        <f t="shared" si="0"/>
        <v>-34695.050000000003</v>
      </c>
      <c r="M72" s="2"/>
      <c r="N72" s="19">
        <f t="shared" si="1"/>
        <v>-0.99856956806424002</v>
      </c>
      <c r="O72" s="11"/>
      <c r="P72" s="2">
        <f>--65.2</f>
        <v>65.2</v>
      </c>
      <c r="Q72" s="2"/>
      <c r="R72" s="19"/>
      <c r="S72" s="2"/>
      <c r="T72" s="2">
        <f>--50093.5</f>
        <v>50093.5</v>
      </c>
      <c r="U72" s="2"/>
      <c r="V72" s="19"/>
      <c r="W72" s="2"/>
      <c r="X72" s="2">
        <f t="shared" si="2"/>
        <v>-50028.3</v>
      </c>
      <c r="Y72" s="2"/>
      <c r="Z72" s="19">
        <f t="shared" si="3"/>
        <v>-0.99869843392855362</v>
      </c>
    </row>
    <row r="73" spans="1:26" s="24" customFormat="1" hidden="1" outlineLevel="1" x14ac:dyDescent="0.25">
      <c r="A73" s="44"/>
      <c r="B73" s="11" t="str">
        <f>CONCATENATE("          ", "4147", " - ", "NON-TAXABLE SALES-MISC")</f>
        <v xml:space="preserve">          4147 - NON-TAXABLE SALES-MISC</v>
      </c>
      <c r="C73" s="11"/>
      <c r="D73" s="2">
        <f>--24</f>
        <v>24</v>
      </c>
      <c r="E73" s="2"/>
      <c r="F73" s="19"/>
      <c r="G73" s="2"/>
      <c r="H73" s="2">
        <f>--344.5</f>
        <v>344.5</v>
      </c>
      <c r="I73" s="2"/>
      <c r="J73" s="19"/>
      <c r="K73" s="2"/>
      <c r="L73" s="2">
        <f t="shared" si="0"/>
        <v>-320.5</v>
      </c>
      <c r="M73" s="2"/>
      <c r="N73" s="19">
        <f t="shared" si="1"/>
        <v>-0.93033381712626995</v>
      </c>
      <c r="O73" s="11"/>
      <c r="P73" s="2">
        <f>--48</f>
        <v>48</v>
      </c>
      <c r="Q73" s="2"/>
      <c r="R73" s="19"/>
      <c r="S73" s="2"/>
      <c r="T73" s="2">
        <f>--414.9</f>
        <v>414.9</v>
      </c>
      <c r="U73" s="2"/>
      <c r="V73" s="19"/>
      <c r="W73" s="2"/>
      <c r="X73" s="2">
        <f t="shared" si="2"/>
        <v>-366.9</v>
      </c>
      <c r="Y73" s="2"/>
      <c r="Z73" s="19">
        <f t="shared" si="3"/>
        <v>-0.88430947216196676</v>
      </c>
    </row>
    <row r="74" spans="1:26" s="24" customFormat="1" hidden="1" outlineLevel="1" x14ac:dyDescent="0.25">
      <c r="A74" s="44"/>
      <c r="B74" s="11" t="str">
        <f>CONCATENATE("          ", "4151", " - ", "NON-TAXABLE SALES-FOOD")</f>
        <v xml:space="preserve">          4151 - NON-TAXABLE SALES-FOOD</v>
      </c>
      <c r="C74" s="11"/>
      <c r="D74" s="2">
        <f t="shared" ref="D74:D76" si="18">0</f>
        <v>0</v>
      </c>
      <c r="E74" s="2"/>
      <c r="F74" s="19"/>
      <c r="G74" s="2"/>
      <c r="H74" s="2">
        <f>--140653.16</f>
        <v>140653.16</v>
      </c>
      <c r="I74" s="2"/>
      <c r="J74" s="19"/>
      <c r="K74" s="2"/>
      <c r="L74" s="2">
        <f t="shared" si="0"/>
        <v>-140653.16</v>
      </c>
      <c r="M74" s="2"/>
      <c r="N74" s="19">
        <f t="shared" si="1"/>
        <v>-1</v>
      </c>
      <c r="O74" s="11"/>
      <c r="P74" s="2">
        <f>0</f>
        <v>0</v>
      </c>
      <c r="Q74" s="2"/>
      <c r="R74" s="19"/>
      <c r="S74" s="2"/>
      <c r="T74" s="2">
        <f>--196790.33</f>
        <v>196790.33</v>
      </c>
      <c r="U74" s="2"/>
      <c r="V74" s="19"/>
      <c r="W74" s="2"/>
      <c r="X74" s="2">
        <f t="shared" si="2"/>
        <v>-196790.33</v>
      </c>
      <c r="Y74" s="2"/>
      <c r="Z74" s="19">
        <f t="shared" si="3"/>
        <v>-1</v>
      </c>
    </row>
    <row r="75" spans="1:26" s="24" customFormat="1" hidden="1" outlineLevel="1" x14ac:dyDescent="0.25">
      <c r="A75" s="44"/>
      <c r="B75" s="11" t="str">
        <f>CONCATENATE("          ", "4153", " - ", "NON-TAXABLE SALES-FOOD")</f>
        <v xml:space="preserve">          4153 - NON-TAXABLE SALES-FOOD</v>
      </c>
      <c r="C75" s="11"/>
      <c r="D75" s="2">
        <f t="shared" si="18"/>
        <v>0</v>
      </c>
      <c r="E75" s="2"/>
      <c r="F75" s="19"/>
      <c r="G75" s="2"/>
      <c r="H75" s="2">
        <f>--1942</f>
        <v>1942</v>
      </c>
      <c r="I75" s="2"/>
      <c r="J75" s="19"/>
      <c r="K75" s="2"/>
      <c r="L75" s="2">
        <f t="shared" si="0"/>
        <v>-1942</v>
      </c>
      <c r="M75" s="2"/>
      <c r="N75" s="19">
        <f t="shared" si="1"/>
        <v>-1</v>
      </c>
      <c r="O75" s="11"/>
      <c r="P75" s="2">
        <f>--110</f>
        <v>110</v>
      </c>
      <c r="Q75" s="2"/>
      <c r="R75" s="19"/>
      <c r="S75" s="2"/>
      <c r="T75" s="2">
        <f>--2406.5</f>
        <v>2406.5</v>
      </c>
      <c r="U75" s="2"/>
      <c r="V75" s="19"/>
      <c r="W75" s="2"/>
      <c r="X75" s="2">
        <f t="shared" si="2"/>
        <v>-2296.5</v>
      </c>
      <c r="Y75" s="2"/>
      <c r="Z75" s="19">
        <f t="shared" si="3"/>
        <v>-0.95429046332848533</v>
      </c>
    </row>
    <row r="76" spans="1:26" s="24" customFormat="1" hidden="1" outlineLevel="1" x14ac:dyDescent="0.25">
      <c r="A76" s="44"/>
      <c r="B76" s="11" t="str">
        <f>CONCATENATE("          ", "4186", " - ", "NON-TAXABLE SALES-COMPUTER SUP")</f>
        <v xml:space="preserve">          4186 - NON-TAXABLE SALES-COMPUTER SUP</v>
      </c>
      <c r="C76" s="11"/>
      <c r="D76" s="2">
        <f t="shared" si="18"/>
        <v>0</v>
      </c>
      <c r="E76" s="2"/>
      <c r="F76" s="19"/>
      <c r="G76" s="2"/>
      <c r="H76" s="2">
        <f>-34.98</f>
        <v>-34.979999999999997</v>
      </c>
      <c r="I76" s="2"/>
      <c r="J76" s="19"/>
      <c r="K76" s="2"/>
      <c r="L76" s="2">
        <f t="shared" si="0"/>
        <v>34.979999999999997</v>
      </c>
      <c r="M76" s="2"/>
      <c r="N76" s="19">
        <f t="shared" si="1"/>
        <v>-1</v>
      </c>
      <c r="O76" s="11"/>
      <c r="P76" s="2">
        <f>0</f>
        <v>0</v>
      </c>
      <c r="Q76" s="2"/>
      <c r="R76" s="19"/>
      <c r="S76" s="2"/>
      <c r="T76" s="2">
        <f>-34.98</f>
        <v>-34.979999999999997</v>
      </c>
      <c r="U76" s="2"/>
      <c r="V76" s="19"/>
      <c r="W76" s="2"/>
      <c r="X76" s="2">
        <f t="shared" si="2"/>
        <v>34.979999999999997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"4201", " - ", "SALES RETURN TAXABLE-NEW TEXT")</f>
        <v xml:space="preserve">          4201 - SALES RETURN TAXABLE-NEW TEXT</v>
      </c>
      <c r="C77" s="11"/>
      <c r="D77" s="2">
        <f>-13393.2</f>
        <v>-13393.2</v>
      </c>
      <c r="E77" s="2"/>
      <c r="F77" s="19"/>
      <c r="G77" s="2"/>
      <c r="H77" s="2">
        <f>-14069.34</f>
        <v>-14069.34</v>
      </c>
      <c r="I77" s="2"/>
      <c r="J77" s="19"/>
      <c r="K77" s="2"/>
      <c r="L77" s="2">
        <f t="shared" si="0"/>
        <v>676.13999999999942</v>
      </c>
      <c r="M77" s="2"/>
      <c r="N77" s="19">
        <f t="shared" si="1"/>
        <v>-4.8057691405566955E-2</v>
      </c>
      <c r="O77" s="11"/>
      <c r="P77" s="2">
        <f>-32248.99</f>
        <v>-32248.99</v>
      </c>
      <c r="Q77" s="2"/>
      <c r="R77" s="19"/>
      <c r="S77" s="2"/>
      <c r="T77" s="2">
        <f>-73239.75</f>
        <v>-73239.75</v>
      </c>
      <c r="U77" s="2"/>
      <c r="V77" s="19"/>
      <c r="W77" s="2"/>
      <c r="X77" s="2">
        <f t="shared" si="2"/>
        <v>40990.759999999995</v>
      </c>
      <c r="Y77" s="2"/>
      <c r="Z77" s="19">
        <f t="shared" si="3"/>
        <v>-0.55967913598831232</v>
      </c>
    </row>
    <row r="78" spans="1:26" s="24" customFormat="1" hidden="1" outlineLevel="1" x14ac:dyDescent="0.25">
      <c r="A78" s="44"/>
      <c r="B78" s="11" t="str">
        <f>CONCATENATE("          ", "4202", " - ", "SALES RETURN TAXABLE-USED TEXT")</f>
        <v xml:space="preserve">          4202 - SALES RETURN TAXABLE-USED TEXT</v>
      </c>
      <c r="C78" s="11"/>
      <c r="D78" s="2">
        <f>-1345.2</f>
        <v>-1345.2</v>
      </c>
      <c r="E78" s="2"/>
      <c r="F78" s="19"/>
      <c r="G78" s="2"/>
      <c r="H78" s="2">
        <f>-2096.65</f>
        <v>-2096.65</v>
      </c>
      <c r="I78" s="2"/>
      <c r="J78" s="19"/>
      <c r="K78" s="2"/>
      <c r="L78" s="2">
        <f t="shared" si="0"/>
        <v>751.45</v>
      </c>
      <c r="M78" s="2"/>
      <c r="N78" s="19">
        <f t="shared" si="1"/>
        <v>-0.35840507476212052</v>
      </c>
      <c r="O78" s="11"/>
      <c r="P78" s="2">
        <f>-10392.95</f>
        <v>-10392.950000000001</v>
      </c>
      <c r="Q78" s="2"/>
      <c r="R78" s="19"/>
      <c r="S78" s="2"/>
      <c r="T78" s="2">
        <f>-23351.1</f>
        <v>-23351.1</v>
      </c>
      <c r="U78" s="2"/>
      <c r="V78" s="19"/>
      <c r="W78" s="2"/>
      <c r="X78" s="2">
        <f t="shared" si="2"/>
        <v>12958.149999999998</v>
      </c>
      <c r="Y78" s="2"/>
      <c r="Z78" s="19">
        <f t="shared" si="3"/>
        <v>-0.55492674863282665</v>
      </c>
    </row>
    <row r="79" spans="1:26" s="24" customFormat="1" hidden="1" outlineLevel="1" x14ac:dyDescent="0.25">
      <c r="A79" s="44"/>
      <c r="B79" s="11" t="str">
        <f>CONCATENATE("          ", "4203", " - ", "SALES RETURN TAXABLE-RENTAL TE")</f>
        <v xml:space="preserve">          4203 - SALES RETURN TAXABLE-RENTAL TE</v>
      </c>
      <c r="C79" s="11"/>
      <c r="D79" s="2">
        <f>0</f>
        <v>0</v>
      </c>
      <c r="E79" s="2"/>
      <c r="F79" s="19"/>
      <c r="G79" s="2"/>
      <c r="H79" s="2">
        <f>-144.99</f>
        <v>-144.99</v>
      </c>
      <c r="I79" s="2"/>
      <c r="J79" s="19"/>
      <c r="K79" s="2"/>
      <c r="L79" s="2">
        <f t="shared" si="0"/>
        <v>144.99</v>
      </c>
      <c r="M79" s="2"/>
      <c r="N79" s="19">
        <f t="shared" si="1"/>
        <v>-1</v>
      </c>
      <c r="O79" s="11"/>
      <c r="P79" s="2">
        <f>0</f>
        <v>0</v>
      </c>
      <c r="Q79" s="2"/>
      <c r="R79" s="19"/>
      <c r="S79" s="2"/>
      <c r="T79" s="2">
        <f>-144.99</f>
        <v>-144.99</v>
      </c>
      <c r="U79" s="2"/>
      <c r="V79" s="19"/>
      <c r="W79" s="2"/>
      <c r="X79" s="2">
        <f t="shared" si="2"/>
        <v>144.99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"4204", " - ", "SALES RETURN TAXABLE-DIGITAL T")</f>
        <v xml:space="preserve">          4204 - SALES RETURN TAXABLE-DIGITAL T</v>
      </c>
      <c r="C80" s="11"/>
      <c r="D80" s="2">
        <f>-105.87</f>
        <v>-105.87</v>
      </c>
      <c r="E80" s="2"/>
      <c r="F80" s="19"/>
      <c r="G80" s="2"/>
      <c r="H80" s="2">
        <f>-4208.35</f>
        <v>-4208.3500000000004</v>
      </c>
      <c r="I80" s="2"/>
      <c r="J80" s="19"/>
      <c r="K80" s="2"/>
      <c r="L80" s="2">
        <f t="shared" si="0"/>
        <v>4102.4800000000005</v>
      </c>
      <c r="M80" s="2"/>
      <c r="N80" s="19">
        <f t="shared" si="1"/>
        <v>-0.97484287190941821</v>
      </c>
      <c r="O80" s="11"/>
      <c r="P80" s="2">
        <f>-1246.95</f>
        <v>-1246.95</v>
      </c>
      <c r="Q80" s="2"/>
      <c r="R80" s="19"/>
      <c r="S80" s="2"/>
      <c r="T80" s="2">
        <f>-11056.72</f>
        <v>-11056.72</v>
      </c>
      <c r="U80" s="2"/>
      <c r="V80" s="19"/>
      <c r="W80" s="2"/>
      <c r="X80" s="2">
        <f t="shared" si="2"/>
        <v>9809.7699999999986</v>
      </c>
      <c r="Y80" s="2"/>
      <c r="Z80" s="19">
        <f t="shared" si="3"/>
        <v>-0.88722243124543254</v>
      </c>
    </row>
    <row r="81" spans="1:26" s="24" customFormat="1" hidden="1" outlineLevel="1" x14ac:dyDescent="0.25">
      <c r="A81" s="44"/>
      <c r="B81" s="11" t="str">
        <f>CONCATENATE("          ", "4218", " - ", "SALES RETURN TAXABLE-STUDY GUI")</f>
        <v xml:space="preserve">          4218 - SALES RETURN TAXABLE-STUDY GUI</v>
      </c>
      <c r="C81" s="11"/>
      <c r="D81" s="2">
        <f t="shared" ref="D81:D82" si="19">0</f>
        <v>0</v>
      </c>
      <c r="E81" s="2"/>
      <c r="F81" s="19"/>
      <c r="G81" s="2"/>
      <c r="H81" s="2">
        <f>-5.95</f>
        <v>-5.95</v>
      </c>
      <c r="I81" s="2"/>
      <c r="J81" s="19"/>
      <c r="K81" s="2"/>
      <c r="L81" s="2">
        <f t="shared" si="0"/>
        <v>5.95</v>
      </c>
      <c r="M81" s="2"/>
      <c r="N81" s="19">
        <f t="shared" si="1"/>
        <v>-1</v>
      </c>
      <c r="O81" s="11"/>
      <c r="P81" s="2">
        <f t="shared" ref="P81:P82" si="20">0</f>
        <v>0</v>
      </c>
      <c r="Q81" s="2"/>
      <c r="R81" s="19"/>
      <c r="S81" s="2"/>
      <c r="T81" s="2">
        <f>-32.75</f>
        <v>-32.75</v>
      </c>
      <c r="U81" s="2"/>
      <c r="V81" s="19"/>
      <c r="W81" s="2"/>
      <c r="X81" s="2">
        <f t="shared" si="2"/>
        <v>32.75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"4225", " - ", "SALES RETURN TAXABLE-TEST FORM")</f>
        <v xml:space="preserve">          4225 - SALES RETURN TAXABLE-TEST FORM</v>
      </c>
      <c r="C82" s="11"/>
      <c r="D82" s="2">
        <f t="shared" si="19"/>
        <v>0</v>
      </c>
      <c r="E82" s="2"/>
      <c r="F82" s="19"/>
      <c r="G82" s="2"/>
      <c r="H82" s="2">
        <f>-20.41</f>
        <v>-20.41</v>
      </c>
      <c r="I82" s="2"/>
      <c r="J82" s="19"/>
      <c r="K82" s="2"/>
      <c r="L82" s="2">
        <f t="shared" si="0"/>
        <v>20.41</v>
      </c>
      <c r="M82" s="2"/>
      <c r="N82" s="19">
        <f t="shared" si="1"/>
        <v>-1</v>
      </c>
      <c r="O82" s="11"/>
      <c r="P82" s="2">
        <f t="shared" si="20"/>
        <v>0</v>
      </c>
      <c r="Q82" s="2"/>
      <c r="R82" s="19"/>
      <c r="S82" s="2"/>
      <c r="T82" s="2">
        <f>-33.1</f>
        <v>-33.1</v>
      </c>
      <c r="U82" s="2"/>
      <c r="V82" s="19"/>
      <c r="W82" s="2"/>
      <c r="X82" s="2">
        <f t="shared" si="2"/>
        <v>33.1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"4226", " - ", "SALES RETURN TAXABLE-WRITING I")</f>
        <v xml:space="preserve">          4226 - SALES RETURN TAXABLE-WRITING I</v>
      </c>
      <c r="C83" s="11"/>
      <c r="D83" s="2">
        <f>-22.49</f>
        <v>-22.49</v>
      </c>
      <c r="E83" s="2"/>
      <c r="F83" s="19"/>
      <c r="G83" s="2"/>
      <c r="H83" s="2">
        <f>-184.86</f>
        <v>-184.86</v>
      </c>
      <c r="I83" s="2"/>
      <c r="J83" s="19"/>
      <c r="K83" s="2"/>
      <c r="L83" s="2">
        <f t="shared" si="0"/>
        <v>162.37</v>
      </c>
      <c r="M83" s="2"/>
      <c r="N83" s="19">
        <f t="shared" si="1"/>
        <v>-0.8783403656821378</v>
      </c>
      <c r="O83" s="11"/>
      <c r="P83" s="2">
        <f>-28.87</f>
        <v>-28.87</v>
      </c>
      <c r="Q83" s="2"/>
      <c r="R83" s="19"/>
      <c r="S83" s="2"/>
      <c r="T83" s="2">
        <f>-309.07</f>
        <v>-309.07</v>
      </c>
      <c r="U83" s="2"/>
      <c r="V83" s="19"/>
      <c r="W83" s="2"/>
      <c r="X83" s="2">
        <f t="shared" si="2"/>
        <v>280.2</v>
      </c>
      <c r="Y83" s="2"/>
      <c r="Z83" s="19">
        <f t="shared" si="3"/>
        <v>-0.90659073996182094</v>
      </c>
    </row>
    <row r="84" spans="1:26" s="24" customFormat="1" hidden="1" outlineLevel="1" x14ac:dyDescent="0.25">
      <c r="A84" s="44"/>
      <c r="B84" s="11" t="str">
        <f>CONCATENATE("          ", "4227", " - ", "SALES RETURN TAXABLE-SCHOOL SU")</f>
        <v xml:space="preserve">          4227 - SALES RETURN TAXABLE-SCHOOL SU</v>
      </c>
      <c r="C84" s="11"/>
      <c r="D84" s="2">
        <f>-152.29</f>
        <v>-152.29</v>
      </c>
      <c r="E84" s="2"/>
      <c r="F84" s="19"/>
      <c r="G84" s="2"/>
      <c r="H84" s="2">
        <f>-2805.04</f>
        <v>-2805.04</v>
      </c>
      <c r="I84" s="2"/>
      <c r="J84" s="19"/>
      <c r="K84" s="2"/>
      <c r="L84" s="2">
        <f t="shared" si="0"/>
        <v>2652.75</v>
      </c>
      <c r="M84" s="2"/>
      <c r="N84" s="19">
        <f t="shared" si="1"/>
        <v>-0.94570843909534263</v>
      </c>
      <c r="O84" s="11"/>
      <c r="P84" s="2">
        <f>-568.67</f>
        <v>-568.66999999999996</v>
      </c>
      <c r="Q84" s="2"/>
      <c r="R84" s="19"/>
      <c r="S84" s="2"/>
      <c r="T84" s="2">
        <f>-4501.63</f>
        <v>-4501.63</v>
      </c>
      <c r="U84" s="2"/>
      <c r="V84" s="19"/>
      <c r="W84" s="2"/>
      <c r="X84" s="2">
        <f t="shared" si="2"/>
        <v>3932.96</v>
      </c>
      <c r="Y84" s="2"/>
      <c r="Z84" s="19">
        <f t="shared" si="3"/>
        <v>-0.87367464673907003</v>
      </c>
    </row>
    <row r="85" spans="1:26" s="24" customFormat="1" hidden="1" outlineLevel="1" x14ac:dyDescent="0.25">
      <c r="A85" s="44"/>
      <c r="B85" s="11" t="str">
        <f>CONCATENATE("          ", "4228", " - ", "SALES RETURN TAXABLE-ART/TECH")</f>
        <v xml:space="preserve">          4228 - SALES RETURN TAXABLE-ART/TECH</v>
      </c>
      <c r="C85" s="11"/>
      <c r="D85" s="2">
        <f>-57.76</f>
        <v>-57.76</v>
      </c>
      <c r="E85" s="2"/>
      <c r="F85" s="19"/>
      <c r="G85" s="2"/>
      <c r="H85" s="2">
        <f>-1058.54</f>
        <v>-1058.54</v>
      </c>
      <c r="I85" s="2"/>
      <c r="J85" s="19"/>
      <c r="K85" s="2"/>
      <c r="L85" s="2">
        <f t="shared" si="0"/>
        <v>1000.78</v>
      </c>
      <c r="M85" s="2"/>
      <c r="N85" s="19">
        <f t="shared" si="1"/>
        <v>-0.94543427740094843</v>
      </c>
      <c r="O85" s="11"/>
      <c r="P85" s="2">
        <f>-222.2</f>
        <v>-222.2</v>
      </c>
      <c r="Q85" s="2"/>
      <c r="R85" s="19"/>
      <c r="S85" s="2"/>
      <c r="T85" s="2">
        <f>-1927.27</f>
        <v>-1927.27</v>
      </c>
      <c r="U85" s="2"/>
      <c r="V85" s="19"/>
      <c r="W85" s="2"/>
      <c r="X85" s="2">
        <f t="shared" si="2"/>
        <v>1705.07</v>
      </c>
      <c r="Y85" s="2"/>
      <c r="Z85" s="19">
        <f t="shared" si="3"/>
        <v>-0.88470738401988303</v>
      </c>
    </row>
    <row r="86" spans="1:26" s="24" customFormat="1" hidden="1" outlineLevel="1" x14ac:dyDescent="0.25">
      <c r="A86" s="44"/>
      <c r="B86" s="11" t="str">
        <f>CONCATENATE("          ", "4240", " - ", "SALES RETURN TAXABLE-LOGO CLOT")</f>
        <v xml:space="preserve">          4240 - SALES RETURN TAXABLE-LOGO CLOT</v>
      </c>
      <c r="C86" s="11"/>
      <c r="D86" s="2">
        <f>-3453.14</f>
        <v>-3453.14</v>
      </c>
      <c r="E86" s="2"/>
      <c r="F86" s="19"/>
      <c r="G86" s="2"/>
      <c r="H86" s="2">
        <f>-9538.49</f>
        <v>-9538.49</v>
      </c>
      <c r="I86" s="2"/>
      <c r="J86" s="19"/>
      <c r="K86" s="2"/>
      <c r="L86" s="2">
        <f t="shared" si="0"/>
        <v>6085.35</v>
      </c>
      <c r="M86" s="2"/>
      <c r="N86" s="19">
        <f t="shared" si="1"/>
        <v>-0.63797833829044226</v>
      </c>
      <c r="O86" s="11"/>
      <c r="P86" s="2">
        <f>-11609.96</f>
        <v>-11609.96</v>
      </c>
      <c r="Q86" s="2"/>
      <c r="R86" s="19"/>
      <c r="S86" s="2"/>
      <c r="T86" s="2">
        <f>-20792.98</f>
        <v>-20792.98</v>
      </c>
      <c r="U86" s="2"/>
      <c r="V86" s="19"/>
      <c r="W86" s="2"/>
      <c r="X86" s="2">
        <f t="shared" si="2"/>
        <v>9183.02</v>
      </c>
      <c r="Y86" s="2"/>
      <c r="Z86" s="19">
        <f t="shared" si="3"/>
        <v>-0.4416403997887749</v>
      </c>
    </row>
    <row r="87" spans="1:26" s="24" customFormat="1" hidden="1" outlineLevel="1" x14ac:dyDescent="0.25">
      <c r="A87" s="44"/>
      <c r="B87" s="11" t="str">
        <f>CONCATENATE("          ", "4241", " - ", "SALES RETURN TAXABLE-LOGO GIFT")</f>
        <v xml:space="preserve">          4241 - SALES RETURN TAXABLE-LOGO GIFT</v>
      </c>
      <c r="C87" s="11"/>
      <c r="D87" s="2">
        <f>-988.92</f>
        <v>-988.92</v>
      </c>
      <c r="E87" s="2"/>
      <c r="F87" s="19"/>
      <c r="G87" s="2"/>
      <c r="H87" s="2">
        <f>-700.87</f>
        <v>-700.87</v>
      </c>
      <c r="I87" s="2"/>
      <c r="J87" s="19"/>
      <c r="K87" s="2"/>
      <c r="L87" s="2">
        <f t="shared" si="0"/>
        <v>-288.04999999999995</v>
      </c>
      <c r="M87" s="2"/>
      <c r="N87" s="19">
        <f t="shared" si="1"/>
        <v>0.41098919913821386</v>
      </c>
      <c r="O87" s="11"/>
      <c r="P87" s="2">
        <f>-2317.11</f>
        <v>-2317.11</v>
      </c>
      <c r="Q87" s="2"/>
      <c r="R87" s="19"/>
      <c r="S87" s="2"/>
      <c r="T87" s="2">
        <f>-2390.88</f>
        <v>-2390.88</v>
      </c>
      <c r="U87" s="2"/>
      <c r="V87" s="19"/>
      <c r="W87" s="2"/>
      <c r="X87" s="2">
        <f t="shared" si="2"/>
        <v>73.769999999999982</v>
      </c>
      <c r="Y87" s="2"/>
      <c r="Z87" s="19">
        <f t="shared" si="3"/>
        <v>-3.0854748042561726E-2</v>
      </c>
    </row>
    <row r="88" spans="1:26" s="24" customFormat="1" hidden="1" outlineLevel="1" x14ac:dyDescent="0.25">
      <c r="A88" s="44"/>
      <c r="B88" s="11" t="str">
        <f>CONCATENATE("          ", "4242", " - ", "SALES RETURN TAXABLE-EVERYDAY")</f>
        <v xml:space="preserve">          4242 - SALES RETURN TAXABLE-EVERYDAY</v>
      </c>
      <c r="C88" s="11"/>
      <c r="D88" s="2">
        <f>-405.07</f>
        <v>-405.07</v>
      </c>
      <c r="E88" s="2"/>
      <c r="F88" s="19"/>
      <c r="G88" s="2"/>
      <c r="H88" s="2">
        <f>-169.66</f>
        <v>-169.66</v>
      </c>
      <c r="I88" s="2"/>
      <c r="J88" s="19"/>
      <c r="K88" s="2"/>
      <c r="L88" s="2">
        <f t="shared" si="0"/>
        <v>-235.41</v>
      </c>
      <c r="M88" s="2"/>
      <c r="N88" s="19">
        <f t="shared" si="1"/>
        <v>1.3875397854532594</v>
      </c>
      <c r="O88" s="11"/>
      <c r="P88" s="2">
        <f>-1054.56</f>
        <v>-1054.56</v>
      </c>
      <c r="Q88" s="2"/>
      <c r="R88" s="19"/>
      <c r="S88" s="2"/>
      <c r="T88" s="2">
        <f>-994.47</f>
        <v>-994.47</v>
      </c>
      <c r="U88" s="2"/>
      <c r="V88" s="19"/>
      <c r="W88" s="2"/>
      <c r="X88" s="2">
        <f t="shared" si="2"/>
        <v>-60.089999999999918</v>
      </c>
      <c r="Y88" s="2"/>
      <c r="Z88" s="19">
        <f t="shared" si="3"/>
        <v>6.0424145524751796E-2</v>
      </c>
    </row>
    <row r="89" spans="1:26" s="24" customFormat="1" hidden="1" outlineLevel="1" x14ac:dyDescent="0.25">
      <c r="A89" s="44"/>
      <c r="B89" s="11" t="str">
        <f>CONCATENATE("          ", "4243", " - ", "SALES RETURN TAXABLE-CARDS")</f>
        <v xml:space="preserve">          4243 - SALES RETURN TAXABLE-CARDS</v>
      </c>
      <c r="C89" s="11"/>
      <c r="D89" s="2">
        <f>-59.94</f>
        <v>-59.94</v>
      </c>
      <c r="E89" s="2"/>
      <c r="F89" s="19"/>
      <c r="G89" s="2"/>
      <c r="H89" s="2">
        <f>-4.5</f>
        <v>-4.5</v>
      </c>
      <c r="I89" s="2"/>
      <c r="J89" s="19"/>
      <c r="K89" s="2"/>
      <c r="L89" s="2">
        <f t="shared" si="0"/>
        <v>-55.44</v>
      </c>
      <c r="M89" s="2"/>
      <c r="N89" s="19">
        <f t="shared" si="1"/>
        <v>12.32</v>
      </c>
      <c r="O89" s="11"/>
      <c r="P89" s="2">
        <f>-153.37</f>
        <v>-153.37</v>
      </c>
      <c r="Q89" s="2"/>
      <c r="R89" s="19"/>
      <c r="S89" s="2"/>
      <c r="T89" s="2">
        <f>-4.5</f>
        <v>-4.5</v>
      </c>
      <c r="U89" s="2"/>
      <c r="V89" s="19"/>
      <c r="W89" s="2"/>
      <c r="X89" s="2">
        <f t="shared" si="2"/>
        <v>-148.87</v>
      </c>
      <c r="Y89" s="2"/>
      <c r="Z89" s="19">
        <f t="shared" si="3"/>
        <v>33.082222222222221</v>
      </c>
    </row>
    <row r="90" spans="1:26" s="24" customFormat="1" hidden="1" outlineLevel="1" x14ac:dyDescent="0.25">
      <c r="A90" s="44"/>
      <c r="B90" s="11" t="str">
        <f>CONCATENATE("          ", "4244", " - ", "SALES RETURN TAXABLE-ACCESSORI")</f>
        <v xml:space="preserve">          4244 - SALES RETURN TAXABLE-ACCESSORI</v>
      </c>
      <c r="C90" s="11"/>
      <c r="D90" s="2">
        <f>-60</f>
        <v>-60</v>
      </c>
      <c r="E90" s="2"/>
      <c r="F90" s="19"/>
      <c r="G90" s="2"/>
      <c r="H90" s="2">
        <f>-704.04</f>
        <v>-704.04</v>
      </c>
      <c r="I90" s="2"/>
      <c r="J90" s="19"/>
      <c r="K90" s="2"/>
      <c r="L90" s="2">
        <f t="shared" si="0"/>
        <v>644.04</v>
      </c>
      <c r="M90" s="2"/>
      <c r="N90" s="19">
        <f t="shared" si="1"/>
        <v>-0.91477756945628086</v>
      </c>
      <c r="O90" s="11"/>
      <c r="P90" s="2">
        <f>-410.99</f>
        <v>-410.99</v>
      </c>
      <c r="Q90" s="2"/>
      <c r="R90" s="19"/>
      <c r="S90" s="2"/>
      <c r="T90" s="2">
        <f>-1254.51</f>
        <v>-1254.51</v>
      </c>
      <c r="U90" s="2"/>
      <c r="V90" s="19"/>
      <c r="W90" s="2"/>
      <c r="X90" s="2">
        <f t="shared" si="2"/>
        <v>843.52</v>
      </c>
      <c r="Y90" s="2"/>
      <c r="Z90" s="19">
        <f t="shared" si="3"/>
        <v>-0.67239001681931587</v>
      </c>
    </row>
    <row r="91" spans="1:26" s="24" customFormat="1" hidden="1" outlineLevel="1" x14ac:dyDescent="0.25">
      <c r="A91" s="44"/>
      <c r="B91" s="11" t="str">
        <f>CONCATENATE("          ", "4245", " - ", "SALES RETURN TAXABLE-SPECIAL O")</f>
        <v xml:space="preserve">          4245 - SALES RETURN TAXABLE-SPECIAL O</v>
      </c>
      <c r="C91" s="11"/>
      <c r="D91" s="2">
        <f>-3.99</f>
        <v>-3.99</v>
      </c>
      <c r="E91" s="2"/>
      <c r="F91" s="19"/>
      <c r="G91" s="2"/>
      <c r="H91" s="2">
        <f>-71.98</f>
        <v>-71.98</v>
      </c>
      <c r="I91" s="2"/>
      <c r="J91" s="19"/>
      <c r="K91" s="2"/>
      <c r="L91" s="2">
        <f t="shared" si="0"/>
        <v>67.990000000000009</v>
      </c>
      <c r="M91" s="2"/>
      <c r="N91" s="19">
        <f t="shared" si="1"/>
        <v>-0.94456793553764939</v>
      </c>
      <c r="O91" s="11"/>
      <c r="P91" s="2">
        <f>-1182.95</f>
        <v>-1182.95</v>
      </c>
      <c r="Q91" s="2"/>
      <c r="R91" s="19"/>
      <c r="S91" s="2"/>
      <c r="T91" s="2">
        <f>-91.96</f>
        <v>-91.96</v>
      </c>
      <c r="U91" s="2"/>
      <c r="V91" s="19"/>
      <c r="W91" s="2"/>
      <c r="X91" s="2">
        <f t="shared" si="2"/>
        <v>-1090.99</v>
      </c>
      <c r="Y91" s="2"/>
      <c r="Z91" s="19">
        <f t="shared" si="3"/>
        <v>11.863745106568073</v>
      </c>
    </row>
    <row r="92" spans="1:26" s="24" customFormat="1" hidden="1" outlineLevel="1" x14ac:dyDescent="0.25">
      <c r="A92" s="44"/>
      <c r="B92" s="11" t="str">
        <f>CONCATENATE("          ", "4281", " - ", "SALES RETURN TAXABLE-ELECTRONI")</f>
        <v xml:space="preserve">          4281 - SALES RETURN TAXABLE-ELECTRONI</v>
      </c>
      <c r="C92" s="11"/>
      <c r="D92" s="2">
        <f t="shared" ref="D92:D94" si="21">0</f>
        <v>0</v>
      </c>
      <c r="E92" s="2"/>
      <c r="F92" s="19"/>
      <c r="G92" s="2"/>
      <c r="H92" s="2">
        <f>-24.99</f>
        <v>-24.99</v>
      </c>
      <c r="I92" s="2"/>
      <c r="J92" s="19"/>
      <c r="K92" s="2"/>
      <c r="L92" s="2">
        <f t="shared" si="0"/>
        <v>24.99</v>
      </c>
      <c r="M92" s="2"/>
      <c r="N92" s="19">
        <f t="shared" si="1"/>
        <v>-1</v>
      </c>
      <c r="O92" s="11"/>
      <c r="P92" s="2">
        <f t="shared" ref="P92:P94" si="22">0</f>
        <v>0</v>
      </c>
      <c r="Q92" s="2"/>
      <c r="R92" s="19"/>
      <c r="S92" s="2"/>
      <c r="T92" s="2">
        <f>-24.99</f>
        <v>-24.99</v>
      </c>
      <c r="U92" s="2"/>
      <c r="V92" s="19"/>
      <c r="W92" s="2"/>
      <c r="X92" s="2">
        <f t="shared" si="2"/>
        <v>24.99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"4292", " - ", "SALES RETURN TAXABLE-GRAD MERC")</f>
        <v xml:space="preserve">          4292 - SALES RETURN TAXABLE-GRAD MERC</v>
      </c>
      <c r="C93" s="11"/>
      <c r="D93" s="2">
        <f t="shared" si="21"/>
        <v>0</v>
      </c>
      <c r="E93" s="2"/>
      <c r="F93" s="19"/>
      <c r="G93" s="2"/>
      <c r="H93" s="2">
        <f t="shared" ref="H93:H94" si="23">0</f>
        <v>0</v>
      </c>
      <c r="I93" s="2"/>
      <c r="J93" s="19"/>
      <c r="K93" s="2"/>
      <c r="L93" s="2">
        <f t="shared" si="0"/>
        <v>0</v>
      </c>
      <c r="M93" s="2"/>
      <c r="N93" s="19">
        <f t="shared" si="1"/>
        <v>0</v>
      </c>
      <c r="O93" s="11"/>
      <c r="P93" s="2">
        <f t="shared" si="22"/>
        <v>0</v>
      </c>
      <c r="Q93" s="2"/>
      <c r="R93" s="19"/>
      <c r="S93" s="2"/>
      <c r="T93" s="2">
        <f>-369.15</f>
        <v>-369.15</v>
      </c>
      <c r="U93" s="2"/>
      <c r="V93" s="19"/>
      <c r="W93" s="2"/>
      <c r="X93" s="2">
        <f t="shared" si="2"/>
        <v>369.15</v>
      </c>
      <c r="Y93" s="2"/>
      <c r="Z93" s="19">
        <f t="shared" si="3"/>
        <v>-1</v>
      </c>
    </row>
    <row r="94" spans="1:26" s="24" customFormat="1" hidden="1" outlineLevel="1" x14ac:dyDescent="0.25">
      <c r="A94" s="44"/>
      <c r="B94" s="11" t="str">
        <f>CONCATENATE("          ", "4295", " - ", "SALES RETURN TAXABLE-CUSTOMER")</f>
        <v xml:space="preserve">          4295 - SALES RETURN TAXABLE-CUSTOMER</v>
      </c>
      <c r="C94" s="11"/>
      <c r="D94" s="2">
        <f t="shared" si="21"/>
        <v>0</v>
      </c>
      <c r="E94" s="2"/>
      <c r="F94" s="19"/>
      <c r="G94" s="2"/>
      <c r="H94" s="2">
        <f t="shared" si="23"/>
        <v>0</v>
      </c>
      <c r="I94" s="2"/>
      <c r="J94" s="19"/>
      <c r="K94" s="2"/>
      <c r="L94" s="2">
        <f t="shared" si="0"/>
        <v>0</v>
      </c>
      <c r="M94" s="2"/>
      <c r="N94" s="19">
        <f t="shared" si="1"/>
        <v>0</v>
      </c>
      <c r="O94" s="11"/>
      <c r="P94" s="2">
        <f t="shared" si="22"/>
        <v>0</v>
      </c>
      <c r="Q94" s="2"/>
      <c r="R94" s="19"/>
      <c r="S94" s="2"/>
      <c r="T94" s="2">
        <f>--0.99</f>
        <v>0.99</v>
      </c>
      <c r="U94" s="2"/>
      <c r="V94" s="19"/>
      <c r="W94" s="2"/>
      <c r="X94" s="2">
        <f t="shared" si="2"/>
        <v>-0.99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"4301", " - ", "SALES RETURN NON TAXABLE-NEW T")</f>
        <v xml:space="preserve">          4301 - SALES RETURN NON TAXABLE-NEW T</v>
      </c>
      <c r="C95" s="11"/>
      <c r="D95" s="2">
        <f>-1820.43</f>
        <v>-1820.43</v>
      </c>
      <c r="E95" s="2"/>
      <c r="F95" s="19"/>
      <c r="G95" s="2"/>
      <c r="H95" s="2">
        <f>-3805.44</f>
        <v>-3805.44</v>
      </c>
      <c r="I95" s="2"/>
      <c r="J95" s="19"/>
      <c r="K95" s="2"/>
      <c r="L95" s="2">
        <f t="shared" si="0"/>
        <v>1985.01</v>
      </c>
      <c r="M95" s="2"/>
      <c r="N95" s="19">
        <f t="shared" si="1"/>
        <v>-0.52162430625630674</v>
      </c>
      <c r="O95" s="11"/>
      <c r="P95" s="2">
        <f>-1840.68</f>
        <v>-1840.68</v>
      </c>
      <c r="Q95" s="2"/>
      <c r="R95" s="19"/>
      <c r="S95" s="2"/>
      <c r="T95" s="2">
        <f>-6725.22</f>
        <v>-6725.22</v>
      </c>
      <c r="U95" s="2"/>
      <c r="V95" s="19"/>
      <c r="W95" s="2"/>
      <c r="X95" s="2">
        <f t="shared" si="2"/>
        <v>4884.54</v>
      </c>
      <c r="Y95" s="2"/>
      <c r="Z95" s="19">
        <f t="shared" si="3"/>
        <v>-0.72630189049577554</v>
      </c>
    </row>
    <row r="96" spans="1:26" s="24" customFormat="1" hidden="1" outlineLevel="1" x14ac:dyDescent="0.25">
      <c r="A96" s="44"/>
      <c r="B96" s="11" t="str">
        <f>CONCATENATE("          ", "4302", " - ", "SALES RETURN NON TAXABLE-TEXT")</f>
        <v xml:space="preserve">          4302 - SALES RETURN NON TAXABLE-TEXT</v>
      </c>
      <c r="C96" s="11"/>
      <c r="D96" s="2">
        <f>-737.24</f>
        <v>-737.24</v>
      </c>
      <c r="E96" s="2"/>
      <c r="F96" s="19"/>
      <c r="G96" s="2"/>
      <c r="H96" s="2">
        <f>-398.45</f>
        <v>-398.45</v>
      </c>
      <c r="I96" s="2"/>
      <c r="J96" s="19"/>
      <c r="K96" s="2"/>
      <c r="L96" s="2">
        <f t="shared" si="0"/>
        <v>-338.79</v>
      </c>
      <c r="M96" s="2"/>
      <c r="N96" s="19">
        <f t="shared" si="1"/>
        <v>0.85026979545739745</v>
      </c>
      <c r="O96" s="11"/>
      <c r="P96" s="2">
        <f>-1147.08</f>
        <v>-1147.08</v>
      </c>
      <c r="Q96" s="2"/>
      <c r="R96" s="19"/>
      <c r="S96" s="2"/>
      <c r="T96" s="2">
        <f>-648.7</f>
        <v>-648.70000000000005</v>
      </c>
      <c r="U96" s="2"/>
      <c r="V96" s="19"/>
      <c r="W96" s="2"/>
      <c r="X96" s="2">
        <f t="shared" si="2"/>
        <v>-498.37999999999988</v>
      </c>
      <c r="Y96" s="2"/>
      <c r="Z96" s="19">
        <f t="shared" si="3"/>
        <v>0.76827501156158451</v>
      </c>
    </row>
    <row r="97" spans="1:26" s="24" customFormat="1" hidden="1" outlineLevel="1" x14ac:dyDescent="0.25">
      <c r="A97" s="44"/>
      <c r="B97" s="11" t="str">
        <f>CONCATENATE("          ", "4303", " - ", "SALES RETURN NON-TAXABLE-RENTA")</f>
        <v xml:space="preserve">          4303 - SALES RETURN NON-TAXABLE-RENTA</v>
      </c>
      <c r="C97" s="11"/>
      <c r="D97" s="2">
        <f>0</f>
        <v>0</v>
      </c>
      <c r="E97" s="2"/>
      <c r="F97" s="19"/>
      <c r="G97" s="2"/>
      <c r="H97" s="2">
        <f>-184.99</f>
        <v>-184.99</v>
      </c>
      <c r="I97" s="2"/>
      <c r="J97" s="19"/>
      <c r="K97" s="2"/>
      <c r="L97" s="2">
        <f t="shared" si="0"/>
        <v>184.99</v>
      </c>
      <c r="M97" s="2"/>
      <c r="N97" s="19">
        <f t="shared" si="1"/>
        <v>-1</v>
      </c>
      <c r="O97" s="11"/>
      <c r="P97" s="2">
        <f>0</f>
        <v>0</v>
      </c>
      <c r="Q97" s="2"/>
      <c r="R97" s="19"/>
      <c r="S97" s="2"/>
      <c r="T97" s="2">
        <f>-184.99</f>
        <v>-184.99</v>
      </c>
      <c r="U97" s="2"/>
      <c r="V97" s="19"/>
      <c r="W97" s="2"/>
      <c r="X97" s="2">
        <f t="shared" si="2"/>
        <v>184.99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"4304", " - ", "SALES RETURN NON TAXABLE-DIGIT")</f>
        <v xml:space="preserve">          4304 - SALES RETURN NON TAXABLE-DIGIT</v>
      </c>
      <c r="C98" s="11"/>
      <c r="D98" s="2">
        <f>-7456.63</f>
        <v>-7456.63</v>
      </c>
      <c r="E98" s="2"/>
      <c r="F98" s="19"/>
      <c r="G98" s="2"/>
      <c r="H98" s="2">
        <f>-4048.76</f>
        <v>-4048.76</v>
      </c>
      <c r="I98" s="2"/>
      <c r="J98" s="19"/>
      <c r="K98" s="2"/>
      <c r="L98" s="2">
        <f t="shared" si="0"/>
        <v>-3407.87</v>
      </c>
      <c r="M98" s="2"/>
      <c r="N98" s="19">
        <f t="shared" si="1"/>
        <v>0.84170709056600035</v>
      </c>
      <c r="O98" s="11"/>
      <c r="P98" s="2">
        <f>-13409.36</f>
        <v>-13409.36</v>
      </c>
      <c r="Q98" s="2"/>
      <c r="R98" s="19"/>
      <c r="S98" s="2"/>
      <c r="T98" s="2">
        <f>-12515.31</f>
        <v>-12515.31</v>
      </c>
      <c r="U98" s="2"/>
      <c r="V98" s="19"/>
      <c r="W98" s="2"/>
      <c r="X98" s="2">
        <f t="shared" si="2"/>
        <v>-894.05000000000109</v>
      </c>
      <c r="Y98" s="2"/>
      <c r="Z98" s="19">
        <f t="shared" si="3"/>
        <v>7.1436504569203724E-2</v>
      </c>
    </row>
    <row r="99" spans="1:26" s="24" customFormat="1" hidden="1" outlineLevel="1" x14ac:dyDescent="0.25">
      <c r="A99" s="44"/>
      <c r="B99" s="11" t="str">
        <f>CONCATENATE("          ", "4311", " - ", "SALES RETURN NON TAXABLE-NO VA")</f>
        <v xml:space="preserve">          4311 - SALES RETURN NON TAXABLE-NO VA</v>
      </c>
      <c r="C99" s="11"/>
      <c r="D99" s="2">
        <f t="shared" ref="D99:D100" si="24">0</f>
        <v>0</v>
      </c>
      <c r="E99" s="2"/>
      <c r="F99" s="19"/>
      <c r="G99" s="2"/>
      <c r="H99" s="2">
        <f>-276.9</f>
        <v>-276.89999999999998</v>
      </c>
      <c r="I99" s="2"/>
      <c r="J99" s="19"/>
      <c r="K99" s="2"/>
      <c r="L99" s="2">
        <f t="shared" si="0"/>
        <v>276.89999999999998</v>
      </c>
      <c r="M99" s="2"/>
      <c r="N99" s="19">
        <f t="shared" si="1"/>
        <v>-1</v>
      </c>
      <c r="O99" s="11"/>
      <c r="P99" s="2">
        <f t="shared" ref="P99:P100" si="25">0</f>
        <v>0</v>
      </c>
      <c r="Q99" s="2"/>
      <c r="R99" s="19"/>
      <c r="S99" s="2"/>
      <c r="T99" s="2">
        <f>-387.94</f>
        <v>-387.94</v>
      </c>
      <c r="U99" s="2"/>
      <c r="V99" s="19"/>
      <c r="W99" s="2"/>
      <c r="X99" s="2">
        <f t="shared" si="2"/>
        <v>387.94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"4327", " - ", "SALES RETURN NON TAXABLE-SCHOO")</f>
        <v xml:space="preserve">          4327 - SALES RETURN NON TAXABLE-SCHOO</v>
      </c>
      <c r="C100" s="11"/>
      <c r="D100" s="2">
        <f t="shared" si="24"/>
        <v>0</v>
      </c>
      <c r="E100" s="2"/>
      <c r="F100" s="19"/>
      <c r="G100" s="2"/>
      <c r="H100" s="2">
        <f>-8.29</f>
        <v>-8.2899999999999991</v>
      </c>
      <c r="I100" s="2"/>
      <c r="J100" s="19"/>
      <c r="K100" s="2"/>
      <c r="L100" s="2">
        <f t="shared" si="0"/>
        <v>8.2899999999999991</v>
      </c>
      <c r="M100" s="2"/>
      <c r="N100" s="19">
        <f t="shared" si="1"/>
        <v>-1</v>
      </c>
      <c r="O100" s="11"/>
      <c r="P100" s="2">
        <f t="shared" si="25"/>
        <v>0</v>
      </c>
      <c r="Q100" s="2"/>
      <c r="R100" s="19"/>
      <c r="S100" s="2"/>
      <c r="T100" s="2">
        <f>-21.87</f>
        <v>-21.87</v>
      </c>
      <c r="U100" s="2"/>
      <c r="V100" s="19"/>
      <c r="W100" s="2"/>
      <c r="X100" s="2">
        <f t="shared" si="2"/>
        <v>21.87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"4340", " - ", "SALES RETURN NON TAXABLE-LOGO")</f>
        <v xml:space="preserve">          4340 - SALES RETURN NON TAXABLE-LOGO</v>
      </c>
      <c r="C101" s="11"/>
      <c r="D101" s="2">
        <f>-36.9</f>
        <v>-36.9</v>
      </c>
      <c r="E101" s="2"/>
      <c r="F101" s="19"/>
      <c r="G101" s="2"/>
      <c r="H101" s="2">
        <f>-24.95</f>
        <v>-24.95</v>
      </c>
      <c r="I101" s="2"/>
      <c r="J101" s="19"/>
      <c r="K101" s="2"/>
      <c r="L101" s="2">
        <f t="shared" si="0"/>
        <v>-11.95</v>
      </c>
      <c r="M101" s="2"/>
      <c r="N101" s="19">
        <f t="shared" si="1"/>
        <v>0.47895791583166331</v>
      </c>
      <c r="O101" s="11"/>
      <c r="P101" s="2">
        <f>-541.04</f>
        <v>-541.04</v>
      </c>
      <c r="Q101" s="2"/>
      <c r="R101" s="19"/>
      <c r="S101" s="2"/>
      <c r="T101" s="2">
        <f>-293.45</f>
        <v>-293.45</v>
      </c>
      <c r="U101" s="2"/>
      <c r="V101" s="19"/>
      <c r="W101" s="2"/>
      <c r="X101" s="2">
        <f t="shared" si="2"/>
        <v>-247.58999999999997</v>
      </c>
      <c r="Y101" s="2"/>
      <c r="Z101" s="19">
        <f t="shared" si="3"/>
        <v>0.84372124723121478</v>
      </c>
    </row>
    <row r="102" spans="1:26" s="24" customFormat="1" hidden="1" outlineLevel="1" x14ac:dyDescent="0.25">
      <c r="A102" s="44"/>
      <c r="B102" s="11" t="str">
        <f>CONCATENATE("          ", "4341", " - ", "SALES RETURN NON TAXABLE-LOGO")</f>
        <v xml:space="preserve">          4341 - SALES RETURN NON TAXABLE-LOGO</v>
      </c>
      <c r="C102" s="11"/>
      <c r="D102" s="2">
        <f>-129.95</f>
        <v>-129.94999999999999</v>
      </c>
      <c r="E102" s="2"/>
      <c r="F102" s="19"/>
      <c r="G102" s="2"/>
      <c r="H102" s="2">
        <f>0</f>
        <v>0</v>
      </c>
      <c r="I102" s="2"/>
      <c r="J102" s="19"/>
      <c r="K102" s="2"/>
      <c r="L102" s="2">
        <f t="shared" si="0"/>
        <v>-129.94999999999999</v>
      </c>
      <c r="M102" s="2"/>
      <c r="N102" s="19">
        <f t="shared" si="1"/>
        <v>0</v>
      </c>
      <c r="O102" s="11"/>
      <c r="P102" s="2">
        <f>-146.9</f>
        <v>-146.9</v>
      </c>
      <c r="Q102" s="2"/>
      <c r="R102" s="19"/>
      <c r="S102" s="2"/>
      <c r="T102" s="2">
        <f>-3.95</f>
        <v>-3.95</v>
      </c>
      <c r="U102" s="2"/>
      <c r="V102" s="19"/>
      <c r="W102" s="2"/>
      <c r="X102" s="2">
        <f t="shared" si="2"/>
        <v>-142.95000000000002</v>
      </c>
      <c r="Y102" s="2"/>
      <c r="Z102" s="19">
        <f t="shared" si="3"/>
        <v>36.189873417721522</v>
      </c>
    </row>
    <row r="103" spans="1:26" s="24" customFormat="1" hidden="1" outlineLevel="1" x14ac:dyDescent="0.25">
      <c r="A103" s="44"/>
      <c r="B103" s="11" t="str">
        <f>CONCATENATE("          ", "4342", " - ", "SALES RETURN NON TAXABLE-EVERY")</f>
        <v xml:space="preserve">          4342 - SALES RETURN NON TAXABLE-EVERY</v>
      </c>
      <c r="C103" s="11"/>
      <c r="D103" s="2">
        <f>-24.95</f>
        <v>-24.95</v>
      </c>
      <c r="E103" s="2"/>
      <c r="F103" s="19"/>
      <c r="G103" s="2"/>
      <c r="H103" s="2">
        <f>-10</f>
        <v>-10</v>
      </c>
      <c r="I103" s="2"/>
      <c r="J103" s="19"/>
      <c r="K103" s="2"/>
      <c r="L103" s="2">
        <f t="shared" si="0"/>
        <v>-14.95</v>
      </c>
      <c r="M103" s="2"/>
      <c r="N103" s="19">
        <f t="shared" si="1"/>
        <v>1.4949999999999999</v>
      </c>
      <c r="O103" s="11"/>
      <c r="P103" s="2">
        <f>-118.7</f>
        <v>-118.7</v>
      </c>
      <c r="Q103" s="2"/>
      <c r="R103" s="19"/>
      <c r="S103" s="2"/>
      <c r="T103" s="2">
        <f>-10</f>
        <v>-10</v>
      </c>
      <c r="U103" s="2"/>
      <c r="V103" s="19"/>
      <c r="W103" s="2"/>
      <c r="X103" s="2">
        <f t="shared" si="2"/>
        <v>-108.7</v>
      </c>
      <c r="Y103" s="2"/>
      <c r="Z103" s="19">
        <f t="shared" si="3"/>
        <v>10.870000000000001</v>
      </c>
    </row>
    <row r="104" spans="1:26" s="24" customFormat="1" hidden="1" outlineLevel="1" x14ac:dyDescent="0.25">
      <c r="A104" s="44"/>
      <c r="B104" s="11" t="str">
        <f>CONCATENATE("          ", "4346", " - ", "SALES RETURN NON TAXABLE-COIN-")</f>
        <v xml:space="preserve">          4346 - SALES RETURN NON TAXABLE-COIN-</v>
      </c>
      <c r="C104" s="11"/>
      <c r="D104" s="2">
        <f>0</f>
        <v>0</v>
      </c>
      <c r="E104" s="2"/>
      <c r="F104" s="19"/>
      <c r="G104" s="2"/>
      <c r="H104" s="2">
        <f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>0</f>
        <v>0</v>
      </c>
      <c r="Q104" s="2"/>
      <c r="R104" s="19"/>
      <c r="S104" s="2"/>
      <c r="T104" s="2">
        <f>-8.15</f>
        <v>-8.15</v>
      </c>
      <c r="U104" s="2"/>
      <c r="V104" s="19"/>
      <c r="W104" s="2"/>
      <c r="X104" s="2">
        <f t="shared" si="2"/>
        <v>8.15</v>
      </c>
      <c r="Y104" s="2"/>
      <c r="Z104" s="19">
        <f t="shared" si="3"/>
        <v>-1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collapsed="1" x14ac:dyDescent="0.25">
      <c r="A106" s="10"/>
      <c r="B106" s="26" t="s">
        <v>8</v>
      </c>
      <c r="C106" s="10"/>
      <c r="D106" s="4">
        <f>SUM(OSRRefD16x_0)</f>
        <v>231194.24999999991</v>
      </c>
      <c r="E106" s="4"/>
      <c r="F106" s="12">
        <f t="shared" ref="F106:F155" si="26">IF(D$12=0,0,D106/D$12)</f>
        <v>0.62332077332306202</v>
      </c>
      <c r="G106" s="4"/>
      <c r="H106" s="4">
        <f>SUM(OSRRefH16x_0)</f>
        <v>820475.03000000049</v>
      </c>
      <c r="I106" s="4"/>
      <c r="J106" s="12">
        <f t="shared" ref="J106:J155" si="27">IF(H$12=0,0,H106/H$12)</f>
        <v>0.55139384239992228</v>
      </c>
      <c r="K106" s="4"/>
      <c r="L106" s="4">
        <f t="shared" ref="L106:L155" si="28">+D106-H106</f>
        <v>-589280.78000000061</v>
      </c>
      <c r="M106" s="4"/>
      <c r="N106" s="12">
        <f t="shared" ref="N106:N155" si="29">IF(H106=0,0,L106/H106)</f>
        <v>-0.7182190297735207</v>
      </c>
      <c r="O106" s="10"/>
      <c r="P106" s="4">
        <f>SUM(OSRRefP16x_0)</f>
        <v>1451742.94</v>
      </c>
      <c r="Q106" s="4"/>
      <c r="R106" s="12">
        <f t="shared" ref="R106:R155" si="30">IF(P$12=0,0,P106/P$12)</f>
        <v>0.66093834260943074</v>
      </c>
      <c r="S106" s="4"/>
      <c r="T106" s="4">
        <f>SUM(OSRRefT16x_0)</f>
        <v>2876140.1099999994</v>
      </c>
      <c r="U106" s="4"/>
      <c r="V106" s="12">
        <f t="shared" ref="V106:V155" si="31">IF(T$12=0,0,T106/T$12)</f>
        <v>0.60800056963242144</v>
      </c>
      <c r="W106" s="4"/>
      <c r="X106" s="4">
        <f t="shared" ref="X106:X155" si="32">+P106-T106</f>
        <v>-1424397.1699999995</v>
      </c>
      <c r="Y106" s="4"/>
      <c r="Z106" s="12">
        <f t="shared" ref="Z106:Z155" si="33">IF(T106=0,0,X106/T106)</f>
        <v>-0.49524609911997636</v>
      </c>
    </row>
    <row r="107" spans="1:26" s="24" customFormat="1" hidden="1" outlineLevel="1" x14ac:dyDescent="0.25">
      <c r="A107" s="44"/>
      <c r="B107" s="11" t="str">
        <f>CONCATENATE("          ", "5001", " - ", "PURCHASES @ COST-NEW TEXT")</f>
        <v xml:space="preserve">          5001 - PURCHASES @ COST-NEW TEXT</v>
      </c>
      <c r="C107" s="11"/>
      <c r="D107" s="2">
        <v>602088.99</v>
      </c>
      <c r="E107" s="2"/>
      <c r="F107" s="19">
        <f t="shared" si="26"/>
        <v>1.6232868025744649</v>
      </c>
      <c r="G107" s="2"/>
      <c r="H107" s="2">
        <v>104892.25</v>
      </c>
      <c r="I107" s="2"/>
      <c r="J107" s="19">
        <f t="shared" si="27"/>
        <v>7.0492018222020988E-2</v>
      </c>
      <c r="K107" s="2"/>
      <c r="L107" s="2">
        <f t="shared" si="28"/>
        <v>497196.74</v>
      </c>
      <c r="M107" s="2"/>
      <c r="N107" s="19">
        <f t="shared" si="29"/>
        <v>4.7400712636062243</v>
      </c>
      <c r="O107" s="11"/>
      <c r="P107" s="2">
        <v>1293421.76</v>
      </c>
      <c r="Q107" s="2"/>
      <c r="R107" s="19">
        <f t="shared" si="30"/>
        <v>0.58885909536393055</v>
      </c>
      <c r="S107" s="2"/>
      <c r="T107" s="2">
        <v>1932650.95</v>
      </c>
      <c r="U107" s="2"/>
      <c r="V107" s="19">
        <f t="shared" si="31"/>
        <v>0.40855202930313456</v>
      </c>
      <c r="W107" s="2"/>
      <c r="X107" s="2">
        <f t="shared" si="32"/>
        <v>-639229.18999999994</v>
      </c>
      <c r="Y107" s="2"/>
      <c r="Z107" s="19">
        <f t="shared" si="33"/>
        <v>-0.33075252931730892</v>
      </c>
    </row>
    <row r="108" spans="1:26" s="24" customFormat="1" hidden="1" outlineLevel="1" x14ac:dyDescent="0.25">
      <c r="A108" s="44"/>
      <c r="B108" s="11" t="str">
        <f>CONCATENATE("          ", "5002", " - ", "PURCHASES @ COST-USED TEXT")</f>
        <v xml:space="preserve">          5002 - PURCHASES @ COST-USED TEXT</v>
      </c>
      <c r="C108" s="11"/>
      <c r="D108" s="2">
        <v>108363.86</v>
      </c>
      <c r="E108" s="2"/>
      <c r="F108" s="19">
        <f t="shared" si="26"/>
        <v>0.29215884484788029</v>
      </c>
      <c r="G108" s="2"/>
      <c r="H108" s="2">
        <v>18830.57</v>
      </c>
      <c r="I108" s="2"/>
      <c r="J108" s="19">
        <f t="shared" si="27"/>
        <v>1.2654937648596935E-2</v>
      </c>
      <c r="K108" s="2"/>
      <c r="L108" s="2">
        <f t="shared" si="28"/>
        <v>89533.290000000008</v>
      </c>
      <c r="M108" s="2"/>
      <c r="N108" s="19">
        <f t="shared" si="29"/>
        <v>4.7546776332314957</v>
      </c>
      <c r="O108" s="11"/>
      <c r="P108" s="2">
        <v>296731.38</v>
      </c>
      <c r="Q108" s="2"/>
      <c r="R108" s="19">
        <f t="shared" si="30"/>
        <v>0.13509357689551374</v>
      </c>
      <c r="S108" s="2"/>
      <c r="T108" s="2">
        <v>353811.24</v>
      </c>
      <c r="U108" s="2"/>
      <c r="V108" s="19">
        <f t="shared" si="31"/>
        <v>7.4793795585415143E-2</v>
      </c>
      <c r="W108" s="2"/>
      <c r="X108" s="2">
        <f t="shared" si="32"/>
        <v>-57079.859999999986</v>
      </c>
      <c r="Y108" s="2"/>
      <c r="Z108" s="19">
        <f t="shared" si="33"/>
        <v>-0.16132856604555579</v>
      </c>
    </row>
    <row r="109" spans="1:26" s="24" customFormat="1" hidden="1" outlineLevel="1" x14ac:dyDescent="0.25">
      <c r="A109" s="44"/>
      <c r="B109" s="11" t="str">
        <f>CONCATENATE("          ", "5003", " - ", "PURCHASES @ COST-RENTAL TEXT")</f>
        <v xml:space="preserve">          5003 - PURCHASES @ COST-RENTAL TEXT</v>
      </c>
      <c r="C109" s="11"/>
      <c r="D109" s="2">
        <v>781.74</v>
      </c>
      <c r="E109" s="2"/>
      <c r="F109" s="19">
        <f t="shared" si="26"/>
        <v>2.1076423022526325E-3</v>
      </c>
      <c r="G109" s="2"/>
      <c r="H109" s="2"/>
      <c r="I109" s="2"/>
      <c r="J109" s="19">
        <f t="shared" si="27"/>
        <v>0</v>
      </c>
      <c r="K109" s="2"/>
      <c r="L109" s="2">
        <f t="shared" si="28"/>
        <v>781.74</v>
      </c>
      <c r="M109" s="2"/>
      <c r="N109" s="19">
        <f t="shared" si="29"/>
        <v>0</v>
      </c>
      <c r="O109" s="11"/>
      <c r="P109" s="2">
        <v>-11086.1</v>
      </c>
      <c r="Q109" s="2"/>
      <c r="R109" s="19">
        <f t="shared" si="30"/>
        <v>-5.0471942091913392E-3</v>
      </c>
      <c r="S109" s="2"/>
      <c r="T109" s="2">
        <v>-78.400000000000006</v>
      </c>
      <c r="U109" s="2"/>
      <c r="V109" s="19">
        <f t="shared" si="31"/>
        <v>-1.6573338862543056E-5</v>
      </c>
      <c r="W109" s="2"/>
      <c r="X109" s="2">
        <f t="shared" si="32"/>
        <v>-11007.7</v>
      </c>
      <c r="Y109" s="2"/>
      <c r="Z109" s="19">
        <f t="shared" si="33"/>
        <v>140.40433673469389</v>
      </c>
    </row>
    <row r="110" spans="1:26" s="24" customFormat="1" hidden="1" outlineLevel="1" x14ac:dyDescent="0.25">
      <c r="A110" s="44"/>
      <c r="B110" s="11" t="str">
        <f>CONCATENATE("          ", "5004", " - ", "PURCHASES @ COST-DIGITAL TEXT")</f>
        <v xml:space="preserve">          5004 - PURCHASES @ COST-DIGITAL TEXT</v>
      </c>
      <c r="C110" s="11"/>
      <c r="D110" s="2">
        <v>60186.1</v>
      </c>
      <c r="E110" s="2"/>
      <c r="F110" s="19">
        <f t="shared" si="26"/>
        <v>0.16226721207512365</v>
      </c>
      <c r="G110" s="2"/>
      <c r="H110" s="2">
        <v>50761.9</v>
      </c>
      <c r="I110" s="2"/>
      <c r="J110" s="19">
        <f t="shared" si="27"/>
        <v>3.4114138840423455E-2</v>
      </c>
      <c r="K110" s="2"/>
      <c r="L110" s="2">
        <f t="shared" si="28"/>
        <v>9424.1999999999971</v>
      </c>
      <c r="M110" s="2"/>
      <c r="N110" s="19">
        <f t="shared" si="29"/>
        <v>0.18565498927345109</v>
      </c>
      <c r="O110" s="11"/>
      <c r="P110" s="2">
        <v>182616.07</v>
      </c>
      <c r="Q110" s="2"/>
      <c r="R110" s="19">
        <f t="shared" si="30"/>
        <v>8.3140037615507728E-2</v>
      </c>
      <c r="S110" s="2"/>
      <c r="T110" s="2">
        <v>353728.39</v>
      </c>
      <c r="U110" s="2"/>
      <c r="V110" s="19">
        <f t="shared" si="31"/>
        <v>7.4776281540456457E-2</v>
      </c>
      <c r="W110" s="2"/>
      <c r="X110" s="2">
        <f t="shared" si="32"/>
        <v>-171112.32000000001</v>
      </c>
      <c r="Y110" s="2"/>
      <c r="Z110" s="19">
        <f t="shared" si="33"/>
        <v>-0.48373928934570393</v>
      </c>
    </row>
    <row r="111" spans="1:26" s="24" customFormat="1" hidden="1" outlineLevel="1" x14ac:dyDescent="0.25">
      <c r="A111" s="44"/>
      <c r="B111" s="11" t="str">
        <f>CONCATENATE("          ", "5011", " - ", "PURCHASES @ COST-NO VALUE TEXT")</f>
        <v xml:space="preserve">          5011 - PURCHASES @ COST-NO VALUE TEXT</v>
      </c>
      <c r="C111" s="11"/>
      <c r="D111" s="2"/>
      <c r="E111" s="2"/>
      <c r="F111" s="19">
        <f t="shared" si="26"/>
        <v>0</v>
      </c>
      <c r="G111" s="2"/>
      <c r="H111" s="2">
        <v>2928</v>
      </c>
      <c r="I111" s="2"/>
      <c r="J111" s="19">
        <f t="shared" si="27"/>
        <v>1.9677395551537646E-3</v>
      </c>
      <c r="K111" s="2"/>
      <c r="L111" s="2">
        <f t="shared" si="28"/>
        <v>-2928</v>
      </c>
      <c r="M111" s="2"/>
      <c r="N111" s="19">
        <f t="shared" si="29"/>
        <v>-1</v>
      </c>
      <c r="O111" s="11"/>
      <c r="P111" s="2"/>
      <c r="Q111" s="2"/>
      <c r="R111" s="19">
        <f t="shared" si="30"/>
        <v>0</v>
      </c>
      <c r="S111" s="2"/>
      <c r="T111" s="2">
        <v>3585</v>
      </c>
      <c r="U111" s="2"/>
      <c r="V111" s="19">
        <f t="shared" si="31"/>
        <v>7.5784974263031694E-4</v>
      </c>
      <c r="W111" s="2"/>
      <c r="X111" s="2">
        <f t="shared" si="32"/>
        <v>-3585</v>
      </c>
      <c r="Y111" s="2"/>
      <c r="Z111" s="19">
        <f t="shared" si="33"/>
        <v>-1</v>
      </c>
    </row>
    <row r="112" spans="1:26" s="24" customFormat="1" hidden="1" outlineLevel="1" x14ac:dyDescent="0.25">
      <c r="A112" s="44"/>
      <c r="B112" s="11" t="str">
        <f>CONCATENATE("          ", "5013", " - ", "PURCHASES @ COST-TRADE BOOKS")</f>
        <v xml:space="preserve">          5013 - PURCHASES @ COST-TRADE BOOKS</v>
      </c>
      <c r="C112" s="11"/>
      <c r="D112" s="2">
        <v>-9.36</v>
      </c>
      <c r="E112" s="2"/>
      <c r="F112" s="19">
        <f t="shared" si="26"/>
        <v>-2.5235413243641927E-5</v>
      </c>
      <c r="G112" s="2"/>
      <c r="H112" s="2">
        <v>269.89</v>
      </c>
      <c r="I112" s="2"/>
      <c r="J112" s="19">
        <f t="shared" si="27"/>
        <v>1.8137746876381472E-4</v>
      </c>
      <c r="K112" s="2"/>
      <c r="L112" s="2">
        <f t="shared" si="28"/>
        <v>-279.25</v>
      </c>
      <c r="M112" s="2"/>
      <c r="N112" s="19">
        <f t="shared" si="29"/>
        <v>-1.034680795879803</v>
      </c>
      <c r="O112" s="11"/>
      <c r="P112" s="2">
        <v>99.18</v>
      </c>
      <c r="Q112" s="2"/>
      <c r="R112" s="19">
        <f t="shared" si="30"/>
        <v>4.5153906393375224E-5</v>
      </c>
      <c r="S112" s="2"/>
      <c r="T112" s="2">
        <v>474.79</v>
      </c>
      <c r="U112" s="2"/>
      <c r="V112" s="19">
        <f t="shared" si="31"/>
        <v>1.0036805559370939E-4</v>
      </c>
      <c r="W112" s="2"/>
      <c r="X112" s="2">
        <f t="shared" si="32"/>
        <v>-375.61</v>
      </c>
      <c r="Y112" s="2"/>
      <c r="Z112" s="19">
        <f t="shared" si="33"/>
        <v>-0.79110764759156682</v>
      </c>
    </row>
    <row r="113" spans="1:26" s="24" customFormat="1" hidden="1" outlineLevel="1" x14ac:dyDescent="0.25">
      <c r="A113" s="44"/>
      <c r="B113" s="11" t="str">
        <f>CONCATENATE("          ", "5014", " - ", "PURCHASES @ COST-REMAINDERS")</f>
        <v xml:space="preserve">          5014 - PURCHASES @ COST-REMAINDERS</v>
      </c>
      <c r="C113" s="11"/>
      <c r="D113" s="2"/>
      <c r="E113" s="2"/>
      <c r="F113" s="19">
        <f t="shared" si="26"/>
        <v>0</v>
      </c>
      <c r="G113" s="2"/>
      <c r="H113" s="2">
        <v>55.65</v>
      </c>
      <c r="I113" s="2"/>
      <c r="J113" s="19">
        <f t="shared" si="27"/>
        <v>3.7399148307481895E-5</v>
      </c>
      <c r="K113" s="2"/>
      <c r="L113" s="2">
        <f t="shared" si="28"/>
        <v>-55.65</v>
      </c>
      <c r="M113" s="2"/>
      <c r="N113" s="19">
        <f t="shared" si="29"/>
        <v>-1</v>
      </c>
      <c r="O113" s="11"/>
      <c r="P113" s="2">
        <v>-12.51</v>
      </c>
      <c r="Q113" s="2"/>
      <c r="R113" s="19">
        <f t="shared" si="30"/>
        <v>-5.695456432558217E-6</v>
      </c>
      <c r="S113" s="2"/>
      <c r="T113" s="2">
        <v>289.97000000000003</v>
      </c>
      <c r="U113" s="2"/>
      <c r="V113" s="19">
        <f t="shared" si="31"/>
        <v>6.1298100382290935E-5</v>
      </c>
      <c r="W113" s="2"/>
      <c r="X113" s="2">
        <f t="shared" si="32"/>
        <v>-302.48</v>
      </c>
      <c r="Y113" s="2"/>
      <c r="Z113" s="19">
        <f t="shared" si="33"/>
        <v>-1.0431423940407627</v>
      </c>
    </row>
    <row r="114" spans="1:26" s="24" customFormat="1" hidden="1" outlineLevel="1" x14ac:dyDescent="0.25">
      <c r="A114" s="44"/>
      <c r="B114" s="11" t="str">
        <f>CONCATENATE("          ", "5017", " - ", "PURCHASES @ COST-DORM/HOUSEWAR")</f>
        <v xml:space="preserve">          5017 - PURCHASES @ COST-DORM/HOUSEWAR</v>
      </c>
      <c r="C114" s="11"/>
      <c r="D114" s="2"/>
      <c r="E114" s="2"/>
      <c r="F114" s="19">
        <f t="shared" si="26"/>
        <v>0</v>
      </c>
      <c r="G114" s="2"/>
      <c r="H114" s="2">
        <v>-139.86000000000001</v>
      </c>
      <c r="I114" s="2"/>
      <c r="J114" s="19">
        <f t="shared" si="27"/>
        <v>-9.3991821784086582E-5</v>
      </c>
      <c r="K114" s="2"/>
      <c r="L114" s="2">
        <f t="shared" si="28"/>
        <v>139.86000000000001</v>
      </c>
      <c r="M114" s="2"/>
      <c r="N114" s="19">
        <f t="shared" si="29"/>
        <v>-1</v>
      </c>
      <c r="O114" s="11"/>
      <c r="P114" s="2"/>
      <c r="Q114" s="2"/>
      <c r="R114" s="19">
        <f t="shared" si="30"/>
        <v>0</v>
      </c>
      <c r="S114" s="2"/>
      <c r="T114" s="2">
        <v>0</v>
      </c>
      <c r="U114" s="2"/>
      <c r="V114" s="19">
        <f t="shared" si="31"/>
        <v>0</v>
      </c>
      <c r="W114" s="2"/>
      <c r="X114" s="2">
        <f t="shared" si="32"/>
        <v>0</v>
      </c>
      <c r="Y114" s="2"/>
      <c r="Z114" s="19">
        <f t="shared" si="33"/>
        <v>0</v>
      </c>
    </row>
    <row r="115" spans="1:26" s="24" customFormat="1" hidden="1" outlineLevel="1" x14ac:dyDescent="0.25">
      <c r="A115" s="44"/>
      <c r="B115" s="11" t="str">
        <f>CONCATENATE("          ", "5018", " - ", "PURCHASES @ COST-STUDY GUIDES")</f>
        <v xml:space="preserve">          5018 - PURCHASES @ COST-STUDY GUIDES</v>
      </c>
      <c r="C115" s="11"/>
      <c r="D115" s="2"/>
      <c r="E115" s="2"/>
      <c r="F115" s="19">
        <f t="shared" si="26"/>
        <v>0</v>
      </c>
      <c r="G115" s="2"/>
      <c r="H115" s="2"/>
      <c r="I115" s="2"/>
      <c r="J115" s="19">
        <f t="shared" si="27"/>
        <v>0</v>
      </c>
      <c r="K115" s="2"/>
      <c r="L115" s="2">
        <f t="shared" si="28"/>
        <v>0</v>
      </c>
      <c r="M115" s="2"/>
      <c r="N115" s="19">
        <f t="shared" si="29"/>
        <v>0</v>
      </c>
      <c r="O115" s="11"/>
      <c r="P115" s="2"/>
      <c r="Q115" s="2"/>
      <c r="R115" s="19">
        <f t="shared" si="30"/>
        <v>0</v>
      </c>
      <c r="S115" s="2"/>
      <c r="T115" s="2">
        <v>503.93</v>
      </c>
      <c r="U115" s="2"/>
      <c r="V115" s="19">
        <f t="shared" si="31"/>
        <v>1.0652809506379236E-4</v>
      </c>
      <c r="W115" s="2"/>
      <c r="X115" s="2">
        <f t="shared" si="32"/>
        <v>-503.93</v>
      </c>
      <c r="Y115" s="2"/>
      <c r="Z115" s="19">
        <f t="shared" si="33"/>
        <v>-1</v>
      </c>
    </row>
    <row r="116" spans="1:26" s="24" customFormat="1" hidden="1" outlineLevel="1" x14ac:dyDescent="0.25">
      <c r="A116" s="44"/>
      <c r="B116" s="11" t="str">
        <f>CONCATENATE("          ", "5025", " - ", "PURCHASES @ COST-TEST FORMS")</f>
        <v xml:space="preserve">          5025 - PURCHASES @ COST-TEST FORMS</v>
      </c>
      <c r="C116" s="11"/>
      <c r="D116" s="2"/>
      <c r="E116" s="2"/>
      <c r="F116" s="19">
        <f t="shared" si="26"/>
        <v>0</v>
      </c>
      <c r="G116" s="2"/>
      <c r="H116" s="2">
        <v>1495.25</v>
      </c>
      <c r="I116" s="2"/>
      <c r="J116" s="19">
        <f t="shared" si="27"/>
        <v>1.0048710962580827E-3</v>
      </c>
      <c r="K116" s="2"/>
      <c r="L116" s="2">
        <f t="shared" si="28"/>
        <v>-1495.25</v>
      </c>
      <c r="M116" s="2"/>
      <c r="N116" s="19">
        <f t="shared" si="29"/>
        <v>-1</v>
      </c>
      <c r="O116" s="11"/>
      <c r="P116" s="2"/>
      <c r="Q116" s="2"/>
      <c r="R116" s="19">
        <f t="shared" si="30"/>
        <v>0</v>
      </c>
      <c r="S116" s="2"/>
      <c r="T116" s="2">
        <v>3252.39</v>
      </c>
      <c r="U116" s="2"/>
      <c r="V116" s="19">
        <f t="shared" si="31"/>
        <v>6.875377752952347E-4</v>
      </c>
      <c r="W116" s="2"/>
      <c r="X116" s="2">
        <f t="shared" si="32"/>
        <v>-3252.39</v>
      </c>
      <c r="Y116" s="2"/>
      <c r="Z116" s="19">
        <f t="shared" si="33"/>
        <v>-1</v>
      </c>
    </row>
    <row r="117" spans="1:26" s="24" customFormat="1" hidden="1" outlineLevel="1" x14ac:dyDescent="0.25">
      <c r="A117" s="44"/>
      <c r="B117" s="11" t="str">
        <f>CONCATENATE("          ", "5026", " - ", "PURCHASES @ COST-WRITING INSTR")</f>
        <v xml:space="preserve">          5026 - PURCHASES @ COST-WRITING INSTR</v>
      </c>
      <c r="C117" s="11"/>
      <c r="D117" s="2"/>
      <c r="E117" s="2"/>
      <c r="F117" s="19">
        <f t="shared" si="26"/>
        <v>0</v>
      </c>
      <c r="G117" s="2"/>
      <c r="H117" s="2">
        <v>2250.85</v>
      </c>
      <c r="I117" s="2"/>
      <c r="J117" s="19">
        <f t="shared" si="27"/>
        <v>1.5126661809145665E-3</v>
      </c>
      <c r="K117" s="2"/>
      <c r="L117" s="2">
        <f t="shared" si="28"/>
        <v>-2250.85</v>
      </c>
      <c r="M117" s="2"/>
      <c r="N117" s="19">
        <f t="shared" si="29"/>
        <v>-1</v>
      </c>
      <c r="O117" s="11"/>
      <c r="P117" s="2"/>
      <c r="Q117" s="2"/>
      <c r="R117" s="19">
        <f t="shared" si="30"/>
        <v>0</v>
      </c>
      <c r="S117" s="2"/>
      <c r="T117" s="2">
        <v>14787.38</v>
      </c>
      <c r="U117" s="2"/>
      <c r="V117" s="19">
        <f t="shared" si="31"/>
        <v>3.1259726993519373E-3</v>
      </c>
      <c r="W117" s="2"/>
      <c r="X117" s="2">
        <f t="shared" si="32"/>
        <v>-14787.38</v>
      </c>
      <c r="Y117" s="2"/>
      <c r="Z117" s="19">
        <f t="shared" si="33"/>
        <v>-1</v>
      </c>
    </row>
    <row r="118" spans="1:26" s="24" customFormat="1" hidden="1" outlineLevel="1" x14ac:dyDescent="0.25">
      <c r="A118" s="44"/>
      <c r="B118" s="11" t="str">
        <f>CONCATENATE("          ", "5027", " - ", "PURCHASES @ COST-SCHOOL SUPPLI")</f>
        <v xml:space="preserve">          5027 - PURCHASES @ COST-SCHOOL SUPPLI</v>
      </c>
      <c r="C118" s="11"/>
      <c r="D118" s="2"/>
      <c r="E118" s="2"/>
      <c r="F118" s="19">
        <f t="shared" si="26"/>
        <v>0</v>
      </c>
      <c r="G118" s="2"/>
      <c r="H118" s="2">
        <v>12655.95</v>
      </c>
      <c r="I118" s="2"/>
      <c r="J118" s="19">
        <f t="shared" si="27"/>
        <v>8.5053324532268736E-3</v>
      </c>
      <c r="K118" s="2"/>
      <c r="L118" s="2">
        <f t="shared" si="28"/>
        <v>-12655.95</v>
      </c>
      <c r="M118" s="2"/>
      <c r="N118" s="19">
        <f t="shared" si="29"/>
        <v>-1</v>
      </c>
      <c r="O118" s="11"/>
      <c r="P118" s="2">
        <v>8503.4</v>
      </c>
      <c r="Q118" s="2"/>
      <c r="R118" s="19">
        <f t="shared" si="30"/>
        <v>3.871362448330579E-3</v>
      </c>
      <c r="S118" s="2"/>
      <c r="T118" s="2">
        <v>62182.680000000008</v>
      </c>
      <c r="U118" s="2"/>
      <c r="V118" s="19">
        <f t="shared" si="31"/>
        <v>1.3145084528330086E-2</v>
      </c>
      <c r="W118" s="2"/>
      <c r="X118" s="2">
        <f t="shared" si="32"/>
        <v>-53679.280000000006</v>
      </c>
      <c r="Y118" s="2"/>
      <c r="Z118" s="19">
        <f t="shared" si="33"/>
        <v>-0.86325131049353288</v>
      </c>
    </row>
    <row r="119" spans="1:26" s="24" customFormat="1" hidden="1" outlineLevel="1" x14ac:dyDescent="0.25">
      <c r="A119" s="44"/>
      <c r="B119" s="11" t="str">
        <f>CONCATENATE("          ", "5028", " - ", "PURCHASES @ COST-ART/TECH")</f>
        <v xml:space="preserve">          5028 - PURCHASES @ COST-ART/TECH</v>
      </c>
      <c r="C119" s="11"/>
      <c r="D119" s="2">
        <v>-83.4</v>
      </c>
      <c r="E119" s="2"/>
      <c r="F119" s="19">
        <f t="shared" si="26"/>
        <v>-2.2485400261963002E-4</v>
      </c>
      <c r="G119" s="2"/>
      <c r="H119" s="2">
        <v>14830.009999999998</v>
      </c>
      <c r="I119" s="2"/>
      <c r="J119" s="19">
        <f t="shared" si="27"/>
        <v>9.9663925137724978E-3</v>
      </c>
      <c r="K119" s="2"/>
      <c r="L119" s="2">
        <f t="shared" si="28"/>
        <v>-14913.409999999998</v>
      </c>
      <c r="M119" s="2"/>
      <c r="N119" s="19">
        <f t="shared" si="29"/>
        <v>-1.0056237318788053</v>
      </c>
      <c r="O119" s="11"/>
      <c r="P119" s="2">
        <v>-83.4</v>
      </c>
      <c r="Q119" s="2"/>
      <c r="R119" s="19">
        <f t="shared" si="30"/>
        <v>-3.7969709550388119E-5</v>
      </c>
      <c r="S119" s="2"/>
      <c r="T119" s="2">
        <v>70844.78</v>
      </c>
      <c r="U119" s="2"/>
      <c r="V119" s="19">
        <f t="shared" si="31"/>
        <v>1.4976205938549909E-2</v>
      </c>
      <c r="W119" s="2"/>
      <c r="X119" s="2">
        <f t="shared" si="32"/>
        <v>-70928.179999999993</v>
      </c>
      <c r="Y119" s="2"/>
      <c r="Z119" s="19">
        <f t="shared" si="33"/>
        <v>-1.0011772215257073</v>
      </c>
    </row>
    <row r="120" spans="1:26" s="24" customFormat="1" hidden="1" outlineLevel="1" x14ac:dyDescent="0.25">
      <c r="A120" s="44"/>
      <c r="B120" s="11" t="str">
        <f>CONCATENATE("          ", "5031", " - ", "PURCHASES @ COST-FOOD")</f>
        <v xml:space="preserve">          5031 - PURCHASES @ COST-FOOD</v>
      </c>
      <c r="C120" s="11"/>
      <c r="D120" s="2">
        <v>4065.92</v>
      </c>
      <c r="E120" s="2"/>
      <c r="F120" s="19">
        <f t="shared" si="26"/>
        <v>1.096209096320391E-2</v>
      </c>
      <c r="G120" s="2"/>
      <c r="H120" s="2">
        <v>5471.01</v>
      </c>
      <c r="I120" s="2"/>
      <c r="J120" s="19">
        <f t="shared" si="27"/>
        <v>3.6767495845771167E-3</v>
      </c>
      <c r="K120" s="2"/>
      <c r="L120" s="2">
        <f t="shared" si="28"/>
        <v>-1405.0900000000001</v>
      </c>
      <c r="M120" s="2"/>
      <c r="N120" s="19">
        <f t="shared" si="29"/>
        <v>-0.25682460825332071</v>
      </c>
      <c r="O120" s="11"/>
      <c r="P120" s="2">
        <v>4065.92</v>
      </c>
      <c r="Q120" s="2"/>
      <c r="R120" s="19">
        <f t="shared" si="30"/>
        <v>1.8511007368718711E-3</v>
      </c>
      <c r="S120" s="2"/>
      <c r="T120" s="2">
        <v>8150.05</v>
      </c>
      <c r="U120" s="2"/>
      <c r="V120" s="19">
        <f t="shared" si="31"/>
        <v>1.7228767907738396E-3</v>
      </c>
      <c r="W120" s="2"/>
      <c r="X120" s="2">
        <f t="shared" si="32"/>
        <v>-4084.13</v>
      </c>
      <c r="Y120" s="2"/>
      <c r="Z120" s="19">
        <f t="shared" si="33"/>
        <v>-0.50111717106030029</v>
      </c>
    </row>
    <row r="121" spans="1:26" s="24" customFormat="1" hidden="1" outlineLevel="1" x14ac:dyDescent="0.25">
      <c r="A121" s="44"/>
      <c r="B121" s="11" t="str">
        <f>CONCATENATE("          ", "5032", " - ", "PURCHASES @ COST-JUICE")</f>
        <v xml:space="preserve">          5032 - PURCHASES @ COST-JUICE</v>
      </c>
      <c r="C121" s="11"/>
      <c r="D121" s="2"/>
      <c r="E121" s="2"/>
      <c r="F121" s="19">
        <f t="shared" si="26"/>
        <v>0</v>
      </c>
      <c r="G121" s="2"/>
      <c r="H121" s="2">
        <v>477.55</v>
      </c>
      <c r="I121" s="2"/>
      <c r="J121" s="19">
        <f t="shared" si="27"/>
        <v>3.2093375155863398E-4</v>
      </c>
      <c r="K121" s="2"/>
      <c r="L121" s="2">
        <f t="shared" si="28"/>
        <v>-477.55</v>
      </c>
      <c r="M121" s="2"/>
      <c r="N121" s="19">
        <f t="shared" si="29"/>
        <v>-1</v>
      </c>
      <c r="O121" s="11"/>
      <c r="P121" s="2"/>
      <c r="Q121" s="2"/>
      <c r="R121" s="19">
        <f t="shared" si="30"/>
        <v>0</v>
      </c>
      <c r="S121" s="2"/>
      <c r="T121" s="2">
        <v>819.15</v>
      </c>
      <c r="U121" s="2"/>
      <c r="V121" s="19">
        <f t="shared" si="31"/>
        <v>1.7316390981188956E-4</v>
      </c>
      <c r="W121" s="2"/>
      <c r="X121" s="2">
        <f t="shared" si="32"/>
        <v>-819.15</v>
      </c>
      <c r="Y121" s="2"/>
      <c r="Z121" s="19">
        <f t="shared" si="33"/>
        <v>-1</v>
      </c>
    </row>
    <row r="122" spans="1:26" s="24" customFormat="1" hidden="1" outlineLevel="1" x14ac:dyDescent="0.25">
      <c r="A122" s="44"/>
      <c r="B122" s="11" t="str">
        <f>CONCATENATE("          ", "5033", " - ", "PURCHASES @ COST-CANDY")</f>
        <v xml:space="preserve">          5033 - PURCHASES @ COST-CANDY</v>
      </c>
      <c r="C122" s="11"/>
      <c r="D122" s="2"/>
      <c r="E122" s="2"/>
      <c r="F122" s="19">
        <f t="shared" si="26"/>
        <v>0</v>
      </c>
      <c r="G122" s="2"/>
      <c r="H122" s="2">
        <v>1366.65</v>
      </c>
      <c r="I122" s="2"/>
      <c r="J122" s="19">
        <f t="shared" si="27"/>
        <v>9.1844646962120646E-4</v>
      </c>
      <c r="K122" s="2"/>
      <c r="L122" s="2">
        <f t="shared" si="28"/>
        <v>-1366.65</v>
      </c>
      <c r="M122" s="2"/>
      <c r="N122" s="19">
        <f t="shared" si="29"/>
        <v>-1</v>
      </c>
      <c r="O122" s="11"/>
      <c r="P122" s="2"/>
      <c r="Q122" s="2"/>
      <c r="R122" s="19">
        <f t="shared" si="30"/>
        <v>0</v>
      </c>
      <c r="S122" s="2"/>
      <c r="T122" s="2">
        <v>2353.11</v>
      </c>
      <c r="U122" s="2"/>
      <c r="V122" s="19">
        <f t="shared" si="31"/>
        <v>4.974348139137587E-4</v>
      </c>
      <c r="W122" s="2"/>
      <c r="X122" s="2">
        <f t="shared" si="32"/>
        <v>-2353.11</v>
      </c>
      <c r="Y122" s="2"/>
      <c r="Z122" s="19">
        <f t="shared" si="33"/>
        <v>-1</v>
      </c>
    </row>
    <row r="123" spans="1:26" s="24" customFormat="1" hidden="1" outlineLevel="1" x14ac:dyDescent="0.25">
      <c r="A123" s="44"/>
      <c r="B123" s="11" t="str">
        <f>CONCATENATE("          ", "5034", " - ", "PURCHASES @ COST-SODA")</f>
        <v xml:space="preserve">          5034 - PURCHASES @ COST-SODA</v>
      </c>
      <c r="C123" s="11"/>
      <c r="D123" s="2"/>
      <c r="E123" s="2"/>
      <c r="F123" s="19">
        <f t="shared" si="26"/>
        <v>0</v>
      </c>
      <c r="G123" s="2"/>
      <c r="H123" s="2">
        <v>330.04</v>
      </c>
      <c r="I123" s="2"/>
      <c r="J123" s="19">
        <f t="shared" si="27"/>
        <v>2.218008069613895E-4</v>
      </c>
      <c r="K123" s="2"/>
      <c r="L123" s="2">
        <f t="shared" si="28"/>
        <v>-330.04</v>
      </c>
      <c r="M123" s="2"/>
      <c r="N123" s="19">
        <f t="shared" si="29"/>
        <v>-1</v>
      </c>
      <c r="O123" s="11"/>
      <c r="P123" s="2"/>
      <c r="Q123" s="2"/>
      <c r="R123" s="19">
        <f t="shared" si="30"/>
        <v>0</v>
      </c>
      <c r="S123" s="2"/>
      <c r="T123" s="2">
        <v>618.54</v>
      </c>
      <c r="U123" s="2"/>
      <c r="V123" s="19">
        <f t="shared" si="31"/>
        <v>1.3075603341884413E-4</v>
      </c>
      <c r="W123" s="2"/>
      <c r="X123" s="2">
        <f t="shared" si="32"/>
        <v>-618.54</v>
      </c>
      <c r="Y123" s="2"/>
      <c r="Z123" s="19">
        <f t="shared" si="33"/>
        <v>-1</v>
      </c>
    </row>
    <row r="124" spans="1:26" s="24" customFormat="1" hidden="1" outlineLevel="1" x14ac:dyDescent="0.25">
      <c r="A124" s="44"/>
      <c r="B124" s="11" t="str">
        <f>CONCATENATE("          ", "5035", " - ", "PURCHASES @ COST-HEALTH &amp; BEAU")</f>
        <v xml:space="preserve">          5035 - PURCHASES @ COST-HEALTH &amp; BEAU</v>
      </c>
      <c r="C124" s="11"/>
      <c r="D124" s="2"/>
      <c r="E124" s="2"/>
      <c r="F124" s="19">
        <f t="shared" si="26"/>
        <v>0</v>
      </c>
      <c r="G124" s="2"/>
      <c r="H124" s="2">
        <v>210.83</v>
      </c>
      <c r="I124" s="2"/>
      <c r="J124" s="19">
        <f t="shared" si="27"/>
        <v>1.4168665656184024E-4</v>
      </c>
      <c r="K124" s="2"/>
      <c r="L124" s="2">
        <f t="shared" si="28"/>
        <v>-210.83</v>
      </c>
      <c r="M124" s="2"/>
      <c r="N124" s="19">
        <f t="shared" si="29"/>
        <v>-1</v>
      </c>
      <c r="O124" s="11"/>
      <c r="P124" s="2"/>
      <c r="Q124" s="2"/>
      <c r="R124" s="19">
        <f t="shared" si="30"/>
        <v>0</v>
      </c>
      <c r="S124" s="2"/>
      <c r="T124" s="2">
        <v>287.56</v>
      </c>
      <c r="U124" s="2"/>
      <c r="V124" s="19">
        <f t="shared" si="31"/>
        <v>6.0788639327970415E-5</v>
      </c>
      <c r="W124" s="2"/>
      <c r="X124" s="2">
        <f t="shared" si="32"/>
        <v>-287.56</v>
      </c>
      <c r="Y124" s="2"/>
      <c r="Z124" s="19">
        <f t="shared" si="33"/>
        <v>-1</v>
      </c>
    </row>
    <row r="125" spans="1:26" s="24" customFormat="1" hidden="1" outlineLevel="1" x14ac:dyDescent="0.25">
      <c r="A125" s="44"/>
      <c r="B125" s="11" t="str">
        <f>CONCATENATE("          ", "5037", " - ", "PURCHASES @ COST-WATER")</f>
        <v xml:space="preserve">          5037 - PURCHASES @ COST-WATER</v>
      </c>
      <c r="C125" s="11"/>
      <c r="D125" s="2"/>
      <c r="E125" s="2"/>
      <c r="F125" s="19">
        <f t="shared" si="26"/>
        <v>0</v>
      </c>
      <c r="G125" s="2"/>
      <c r="H125" s="2">
        <v>896.64</v>
      </c>
      <c r="I125" s="2"/>
      <c r="J125" s="19">
        <f t="shared" si="27"/>
        <v>6.0257991623397249E-4</v>
      </c>
      <c r="K125" s="2"/>
      <c r="L125" s="2">
        <f t="shared" si="28"/>
        <v>-896.64</v>
      </c>
      <c r="M125" s="2"/>
      <c r="N125" s="19">
        <f t="shared" si="29"/>
        <v>-1</v>
      </c>
      <c r="O125" s="11"/>
      <c r="P125" s="2"/>
      <c r="Q125" s="2"/>
      <c r="R125" s="19">
        <f t="shared" si="30"/>
        <v>0</v>
      </c>
      <c r="S125" s="2"/>
      <c r="T125" s="2">
        <v>1392.58</v>
      </c>
      <c r="U125" s="2"/>
      <c r="V125" s="19">
        <f t="shared" si="31"/>
        <v>2.9438393154592097E-4</v>
      </c>
      <c r="W125" s="2"/>
      <c r="X125" s="2">
        <f t="shared" si="32"/>
        <v>-1392.58</v>
      </c>
      <c r="Y125" s="2"/>
      <c r="Z125" s="19">
        <f t="shared" si="33"/>
        <v>-1</v>
      </c>
    </row>
    <row r="126" spans="1:26" s="24" customFormat="1" hidden="1" outlineLevel="1" x14ac:dyDescent="0.25">
      <c r="A126" s="44"/>
      <c r="B126" s="11" t="str">
        <f>CONCATENATE("          ", "5040", " - ", "PURCHASES @ COST-LOGO CLOTHING")</f>
        <v xml:space="preserve">          5040 - PURCHASES @ COST-LOGO CLOTHING</v>
      </c>
      <c r="C126" s="11"/>
      <c r="D126" s="2">
        <v>4398.1499999999996</v>
      </c>
      <c r="E126" s="2"/>
      <c r="F126" s="19">
        <f t="shared" si="26"/>
        <v>1.1857813328795271E-2</v>
      </c>
      <c r="G126" s="2"/>
      <c r="H126" s="2">
        <v>150282.89000000001</v>
      </c>
      <c r="I126" s="2"/>
      <c r="J126" s="19">
        <f t="shared" si="27"/>
        <v>0.10099644368709773</v>
      </c>
      <c r="K126" s="2"/>
      <c r="L126" s="2">
        <f t="shared" si="28"/>
        <v>-145884.74000000002</v>
      </c>
      <c r="M126" s="2"/>
      <c r="N126" s="19">
        <f t="shared" si="29"/>
        <v>-0.97073419336026878</v>
      </c>
      <c r="O126" s="11"/>
      <c r="P126" s="2">
        <v>13750.05</v>
      </c>
      <c r="Q126" s="2"/>
      <c r="R126" s="19">
        <f t="shared" si="30"/>
        <v>6.2600168441644373E-3</v>
      </c>
      <c r="S126" s="2"/>
      <c r="T126" s="2">
        <v>335851.86000000004</v>
      </c>
      <c r="U126" s="2"/>
      <c r="V126" s="19">
        <f t="shared" si="31"/>
        <v>7.0997279124940943E-2</v>
      </c>
      <c r="W126" s="2"/>
      <c r="X126" s="2">
        <f t="shared" si="32"/>
        <v>-322101.81000000006</v>
      </c>
      <c r="Y126" s="2"/>
      <c r="Z126" s="19">
        <f t="shared" si="33"/>
        <v>-0.95905918162847159</v>
      </c>
    </row>
    <row r="127" spans="1:26" s="24" customFormat="1" hidden="1" outlineLevel="1" x14ac:dyDescent="0.25">
      <c r="A127" s="44"/>
      <c r="B127" s="11" t="str">
        <f>CONCATENATE("          ", "5041", " - ", "PURCHASES @ COST-LOGO GIFTS")</f>
        <v xml:space="preserve">          5041 - PURCHASES @ COST-LOGO GIFTS</v>
      </c>
      <c r="C127" s="11"/>
      <c r="D127" s="2">
        <v>868</v>
      </c>
      <c r="E127" s="2"/>
      <c r="F127" s="19">
        <f t="shared" si="26"/>
        <v>2.3402071255855974E-3</v>
      </c>
      <c r="G127" s="2"/>
      <c r="H127" s="2">
        <v>14167.32</v>
      </c>
      <c r="I127" s="2"/>
      <c r="J127" s="19">
        <f t="shared" si="27"/>
        <v>9.5210368697134663E-3</v>
      </c>
      <c r="K127" s="2"/>
      <c r="L127" s="2">
        <f t="shared" si="28"/>
        <v>-13299.32</v>
      </c>
      <c r="M127" s="2"/>
      <c r="N127" s="19">
        <f t="shared" si="29"/>
        <v>-0.93873223728976263</v>
      </c>
      <c r="O127" s="11"/>
      <c r="P127" s="2">
        <v>1997.54</v>
      </c>
      <c r="Q127" s="2"/>
      <c r="R127" s="19">
        <f t="shared" si="30"/>
        <v>9.0942462368443975E-4</v>
      </c>
      <c r="S127" s="2"/>
      <c r="T127" s="2">
        <v>42696.480000000003</v>
      </c>
      <c r="U127" s="2"/>
      <c r="V127" s="19">
        <f t="shared" si="31"/>
        <v>9.0258065214004115E-3</v>
      </c>
      <c r="W127" s="2"/>
      <c r="X127" s="2">
        <f t="shared" si="32"/>
        <v>-40698.94</v>
      </c>
      <c r="Y127" s="2"/>
      <c r="Z127" s="19">
        <f t="shared" si="33"/>
        <v>-0.95321534702626542</v>
      </c>
    </row>
    <row r="128" spans="1:26" s="24" customFormat="1" hidden="1" outlineLevel="1" x14ac:dyDescent="0.25">
      <c r="A128" s="44"/>
      <c r="B128" s="11" t="str">
        <f>CONCATENATE("          ", "5042", " - ", "PURCHASES @ COST-EVERYDAY GIFT")</f>
        <v xml:space="preserve">          5042 - PURCHASES @ COST-EVERYDAY GIFT</v>
      </c>
      <c r="C128" s="11"/>
      <c r="D128" s="2">
        <v>522</v>
      </c>
      <c r="E128" s="2"/>
      <c r="F128" s="19">
        <f t="shared" si="26"/>
        <v>1.4073595847415691E-3</v>
      </c>
      <c r="G128" s="2"/>
      <c r="H128" s="2">
        <v>11559.46</v>
      </c>
      <c r="I128" s="2"/>
      <c r="J128" s="19">
        <f t="shared" si="27"/>
        <v>7.7684449037628868E-3</v>
      </c>
      <c r="K128" s="2"/>
      <c r="L128" s="2">
        <f t="shared" si="28"/>
        <v>-11037.46</v>
      </c>
      <c r="M128" s="2"/>
      <c r="N128" s="19">
        <f t="shared" si="29"/>
        <v>-0.95484218120915687</v>
      </c>
      <c r="O128" s="11"/>
      <c r="P128" s="2">
        <v>1491.15</v>
      </c>
      <c r="Q128" s="2"/>
      <c r="R128" s="19">
        <f t="shared" si="30"/>
        <v>6.7887928532447538E-4</v>
      </c>
      <c r="S128" s="2"/>
      <c r="T128" s="2">
        <v>35291.68</v>
      </c>
      <c r="U128" s="2"/>
      <c r="V128" s="19">
        <f t="shared" si="31"/>
        <v>7.4604715774034876E-3</v>
      </c>
      <c r="W128" s="2"/>
      <c r="X128" s="2">
        <f t="shared" si="32"/>
        <v>-33800.53</v>
      </c>
      <c r="Y128" s="2"/>
      <c r="Z128" s="19">
        <f t="shared" si="33"/>
        <v>-0.9577478317835818</v>
      </c>
    </row>
    <row r="129" spans="1:26" s="24" customFormat="1" hidden="1" outlineLevel="1" x14ac:dyDescent="0.25">
      <c r="A129" s="44"/>
      <c r="B129" s="11" t="str">
        <f>CONCATENATE("          ", "5043", " - ", "PURCHASES @ COST-CARDS")</f>
        <v xml:space="preserve">          5043 - PURCHASES @ COST-CARDS</v>
      </c>
      <c r="C129" s="11"/>
      <c r="D129" s="2">
        <v>1401</v>
      </c>
      <c r="E129" s="2"/>
      <c r="F129" s="19">
        <f t="shared" si="26"/>
        <v>3.7772237130707627E-3</v>
      </c>
      <c r="G129" s="2"/>
      <c r="H129" s="2">
        <v>495.49</v>
      </c>
      <c r="I129" s="2"/>
      <c r="J129" s="19">
        <f t="shared" si="27"/>
        <v>3.3299018858713757E-4</v>
      </c>
      <c r="K129" s="2"/>
      <c r="L129" s="2">
        <f t="shared" si="28"/>
        <v>905.51</v>
      </c>
      <c r="M129" s="2"/>
      <c r="N129" s="19">
        <f t="shared" si="29"/>
        <v>1.8275040868635088</v>
      </c>
      <c r="O129" s="11"/>
      <c r="P129" s="2">
        <v>3116.25</v>
      </c>
      <c r="Q129" s="2"/>
      <c r="R129" s="19">
        <f t="shared" si="30"/>
        <v>1.4187422948009228E-3</v>
      </c>
      <c r="S129" s="2"/>
      <c r="T129" s="2">
        <v>1008.99</v>
      </c>
      <c r="U129" s="2"/>
      <c r="V129" s="19">
        <f t="shared" si="31"/>
        <v>2.1329506605761883E-4</v>
      </c>
      <c r="W129" s="2"/>
      <c r="X129" s="2">
        <f t="shared" si="32"/>
        <v>2107.2600000000002</v>
      </c>
      <c r="Y129" s="2"/>
      <c r="Z129" s="19">
        <f t="shared" si="33"/>
        <v>2.0884845241280887</v>
      </c>
    </row>
    <row r="130" spans="1:26" s="24" customFormat="1" hidden="1" outlineLevel="1" x14ac:dyDescent="0.25">
      <c r="A130" s="44"/>
      <c r="B130" s="11" t="str">
        <f>CONCATENATE("          ", "5044", " - ", "PURCHASES @ COST-ACCESSORIES")</f>
        <v xml:space="preserve">          5044 - PURCHASES @ COST-ACCESSORIES</v>
      </c>
      <c r="C130" s="11"/>
      <c r="D130" s="2"/>
      <c r="E130" s="2"/>
      <c r="F130" s="19">
        <f t="shared" si="26"/>
        <v>0</v>
      </c>
      <c r="G130" s="2"/>
      <c r="H130" s="2">
        <v>2315.5300000000002</v>
      </c>
      <c r="I130" s="2"/>
      <c r="J130" s="19">
        <f t="shared" si="27"/>
        <v>1.5561338702681682E-3</v>
      </c>
      <c r="K130" s="2"/>
      <c r="L130" s="2">
        <f t="shared" si="28"/>
        <v>-2315.5300000000002</v>
      </c>
      <c r="M130" s="2"/>
      <c r="N130" s="19">
        <f t="shared" si="29"/>
        <v>-1</v>
      </c>
      <c r="O130" s="11"/>
      <c r="P130" s="2"/>
      <c r="Q130" s="2"/>
      <c r="R130" s="19">
        <f t="shared" si="30"/>
        <v>0</v>
      </c>
      <c r="S130" s="2"/>
      <c r="T130" s="2">
        <v>20403.649999999998</v>
      </c>
      <c r="U130" s="2"/>
      <c r="V130" s="19">
        <f t="shared" si="31"/>
        <v>4.3132220087082462E-3</v>
      </c>
      <c r="W130" s="2"/>
      <c r="X130" s="2">
        <f t="shared" si="32"/>
        <v>-20403.649999999998</v>
      </c>
      <c r="Y130" s="2"/>
      <c r="Z130" s="19">
        <f t="shared" si="33"/>
        <v>-1</v>
      </c>
    </row>
    <row r="131" spans="1:26" s="24" customFormat="1" hidden="1" outlineLevel="1" x14ac:dyDescent="0.25">
      <c r="A131" s="44"/>
      <c r="B131" s="11" t="str">
        <f>CONCATENATE("          ", "5045", " - ", "PURCHASES @ COST-SPECIAL ORDER")</f>
        <v xml:space="preserve">          5045 - PURCHASES @ COST-SPECIAL ORDER</v>
      </c>
      <c r="C131" s="11"/>
      <c r="D131" s="2">
        <v>52784.12</v>
      </c>
      <c r="E131" s="2"/>
      <c r="F131" s="19">
        <f t="shared" si="26"/>
        <v>0.14231079924166504</v>
      </c>
      <c r="G131" s="2"/>
      <c r="H131" s="2">
        <v>4318.3999999999996</v>
      </c>
      <c r="I131" s="2"/>
      <c r="J131" s="19">
        <f t="shared" si="27"/>
        <v>2.9021470269726831E-3</v>
      </c>
      <c r="K131" s="2"/>
      <c r="L131" s="2">
        <f t="shared" si="28"/>
        <v>48465.72</v>
      </c>
      <c r="M131" s="2"/>
      <c r="N131" s="19">
        <f t="shared" si="29"/>
        <v>11.223073360503891</v>
      </c>
      <c r="O131" s="11"/>
      <c r="P131" s="2">
        <v>61174.290000000008</v>
      </c>
      <c r="Q131" s="2"/>
      <c r="R131" s="19">
        <f t="shared" si="30"/>
        <v>2.7850959511405426E-2</v>
      </c>
      <c r="S131" s="2"/>
      <c r="T131" s="2">
        <v>24464.030000000002</v>
      </c>
      <c r="U131" s="2"/>
      <c r="V131" s="19">
        <f t="shared" si="31"/>
        <v>5.171564529763E-3</v>
      </c>
      <c r="W131" s="2"/>
      <c r="X131" s="2">
        <f t="shared" si="32"/>
        <v>36710.260000000009</v>
      </c>
      <c r="Y131" s="2"/>
      <c r="Z131" s="19">
        <f t="shared" si="33"/>
        <v>1.5005810571684226</v>
      </c>
    </row>
    <row r="132" spans="1:26" s="24" customFormat="1" hidden="1" outlineLevel="1" x14ac:dyDescent="0.25">
      <c r="A132" s="44"/>
      <c r="B132" s="11" t="str">
        <f>CONCATENATE("          ", "5053", " - ", "PURCHASES @ COST-FOOD")</f>
        <v xml:space="preserve">          5053 - PURCHASES @ COST-FOOD</v>
      </c>
      <c r="C132" s="11"/>
      <c r="D132" s="2">
        <v>53.15</v>
      </c>
      <c r="E132" s="2"/>
      <c r="F132" s="19">
        <f t="shared" si="26"/>
        <v>1.4329724507474023E-4</v>
      </c>
      <c r="G132" s="2"/>
      <c r="H132" s="2">
        <v>195283.21000000002</v>
      </c>
      <c r="I132" s="2"/>
      <c r="J132" s="19">
        <f t="shared" si="27"/>
        <v>0.13123855764152978</v>
      </c>
      <c r="K132" s="2"/>
      <c r="L132" s="2">
        <f t="shared" si="28"/>
        <v>-195230.06000000003</v>
      </c>
      <c r="M132" s="2"/>
      <c r="N132" s="19">
        <f t="shared" si="29"/>
        <v>-0.99972783118425801</v>
      </c>
      <c r="O132" s="11"/>
      <c r="P132" s="2">
        <v>-2285.4</v>
      </c>
      <c r="Q132" s="2"/>
      <c r="R132" s="19">
        <f t="shared" si="30"/>
        <v>-1.0404793070318587E-3</v>
      </c>
      <c r="S132" s="2"/>
      <c r="T132" s="2">
        <v>332788.87</v>
      </c>
      <c r="U132" s="2"/>
      <c r="V132" s="19">
        <f t="shared" si="31"/>
        <v>7.0349779492254946E-2</v>
      </c>
      <c r="W132" s="2"/>
      <c r="X132" s="2">
        <f t="shared" si="32"/>
        <v>-335074.27</v>
      </c>
      <c r="Y132" s="2"/>
      <c r="Z132" s="19">
        <f t="shared" si="33"/>
        <v>-1.0068674171705323</v>
      </c>
    </row>
    <row r="133" spans="1:26" s="24" customFormat="1" hidden="1" outlineLevel="1" x14ac:dyDescent="0.25">
      <c r="A133" s="44"/>
      <c r="B133" s="11" t="str">
        <f>CONCATENATE("          ", "5059", " - ", "PURCHASES @ COST-FOOD")</f>
        <v xml:space="preserve">          5059 - PURCHASES @ COST-FOOD</v>
      </c>
      <c r="C133" s="11"/>
      <c r="D133" s="2"/>
      <c r="E133" s="2"/>
      <c r="F133" s="19">
        <f t="shared" si="26"/>
        <v>0</v>
      </c>
      <c r="G133" s="2"/>
      <c r="H133" s="2">
        <v>-12710.54</v>
      </c>
      <c r="I133" s="2"/>
      <c r="J133" s="19">
        <f t="shared" si="27"/>
        <v>-8.5420192368046901E-3</v>
      </c>
      <c r="K133" s="2"/>
      <c r="L133" s="2">
        <f t="shared" si="28"/>
        <v>12710.54</v>
      </c>
      <c r="M133" s="2"/>
      <c r="N133" s="19">
        <f t="shared" si="29"/>
        <v>-1</v>
      </c>
      <c r="O133" s="11"/>
      <c r="P133" s="2">
        <v>68.91</v>
      </c>
      <c r="Q133" s="2"/>
      <c r="R133" s="19">
        <f t="shared" si="30"/>
        <v>3.1372813970230753E-5</v>
      </c>
      <c r="S133" s="2"/>
      <c r="T133" s="2">
        <v>-58751.38</v>
      </c>
      <c r="U133" s="2"/>
      <c r="V133" s="19">
        <f t="shared" si="31"/>
        <v>-1.2419726140076973E-2</v>
      </c>
      <c r="W133" s="2"/>
      <c r="X133" s="2">
        <f t="shared" si="32"/>
        <v>58820.29</v>
      </c>
      <c r="Y133" s="2"/>
      <c r="Z133" s="19">
        <f t="shared" si="33"/>
        <v>-1.0011729086193379</v>
      </c>
    </row>
    <row r="134" spans="1:26" s="24" customFormat="1" hidden="1" outlineLevel="1" x14ac:dyDescent="0.25">
      <c r="A134" s="44"/>
      <c r="B134" s="11" t="str">
        <f>CONCATENATE("          ", "5081", " - ", "PURCHASES @ COST-ELECTRONICS")</f>
        <v xml:space="preserve">          5081 - PURCHASES @ COST-ELECTRONICS</v>
      </c>
      <c r="C134" s="11"/>
      <c r="D134" s="2"/>
      <c r="E134" s="2"/>
      <c r="F134" s="19">
        <f t="shared" si="26"/>
        <v>0</v>
      </c>
      <c r="G134" s="2"/>
      <c r="H134" s="2">
        <v>167.92</v>
      </c>
      <c r="I134" s="2"/>
      <c r="J134" s="19">
        <f t="shared" si="27"/>
        <v>1.1284932585431014E-4</v>
      </c>
      <c r="K134" s="2"/>
      <c r="L134" s="2">
        <f t="shared" si="28"/>
        <v>-167.92</v>
      </c>
      <c r="M134" s="2"/>
      <c r="N134" s="19">
        <f t="shared" si="29"/>
        <v>-1</v>
      </c>
      <c r="O134" s="11"/>
      <c r="P134" s="2"/>
      <c r="Q134" s="2"/>
      <c r="R134" s="19">
        <f t="shared" si="30"/>
        <v>0</v>
      </c>
      <c r="S134" s="2"/>
      <c r="T134" s="2">
        <v>472.08</v>
      </c>
      <c r="U134" s="2"/>
      <c r="V134" s="19">
        <f t="shared" si="31"/>
        <v>9.9795176150884233E-5</v>
      </c>
      <c r="W134" s="2"/>
      <c r="X134" s="2">
        <f t="shared" si="32"/>
        <v>-472.08</v>
      </c>
      <c r="Y134" s="2"/>
      <c r="Z134" s="19">
        <f t="shared" si="33"/>
        <v>-1</v>
      </c>
    </row>
    <row r="135" spans="1:26" s="24" customFormat="1" hidden="1" outlineLevel="1" x14ac:dyDescent="0.25">
      <c r="A135" s="44"/>
      <c r="B135" s="11" t="str">
        <f>CONCATENATE("          ", "5082", " - ", "PURCHASES @ COST-COMPUTER HARD")</f>
        <v xml:space="preserve">          5082 - PURCHASES @ COST-COMPUTER HARD</v>
      </c>
      <c r="C135" s="11"/>
      <c r="D135" s="2"/>
      <c r="E135" s="2"/>
      <c r="F135" s="19">
        <f t="shared" si="26"/>
        <v>0</v>
      </c>
      <c r="G135" s="2"/>
      <c r="H135" s="2">
        <v>19</v>
      </c>
      <c r="I135" s="2"/>
      <c r="J135" s="19">
        <f t="shared" si="27"/>
        <v>1.2768801758169919E-5</v>
      </c>
      <c r="K135" s="2"/>
      <c r="L135" s="2">
        <f t="shared" si="28"/>
        <v>-19</v>
      </c>
      <c r="M135" s="2"/>
      <c r="N135" s="19">
        <f t="shared" si="29"/>
        <v>-1</v>
      </c>
      <c r="O135" s="11"/>
      <c r="P135" s="2"/>
      <c r="Q135" s="2"/>
      <c r="R135" s="19">
        <f t="shared" si="30"/>
        <v>0</v>
      </c>
      <c r="S135" s="2"/>
      <c r="T135" s="2">
        <v>149.6</v>
      </c>
      <c r="U135" s="2"/>
      <c r="V135" s="19">
        <f t="shared" si="31"/>
        <v>3.162463640097501E-5</v>
      </c>
      <c r="W135" s="2"/>
      <c r="X135" s="2">
        <f t="shared" si="32"/>
        <v>-149.6</v>
      </c>
      <c r="Y135" s="2"/>
      <c r="Z135" s="19">
        <f t="shared" si="33"/>
        <v>-1</v>
      </c>
    </row>
    <row r="136" spans="1:26" s="24" customFormat="1" hidden="1" outlineLevel="1" x14ac:dyDescent="0.25">
      <c r="A136" s="44"/>
      <c r="B136" s="11" t="str">
        <f>CONCATENATE("          ", "5083", " - ", "PURCHASES @ COST-COMPUTER EQUI")</f>
        <v xml:space="preserve">          5083 - PURCHASES @ COST-COMPUTER EQUI</v>
      </c>
      <c r="C136" s="11"/>
      <c r="D136" s="2"/>
      <c r="E136" s="2"/>
      <c r="F136" s="19">
        <f t="shared" si="26"/>
        <v>0</v>
      </c>
      <c r="G136" s="2"/>
      <c r="H136" s="2">
        <v>74.55</v>
      </c>
      <c r="I136" s="2"/>
      <c r="J136" s="19">
        <f t="shared" si="27"/>
        <v>5.0100745845871973E-5</v>
      </c>
      <c r="K136" s="2"/>
      <c r="L136" s="2">
        <f t="shared" si="28"/>
        <v>-74.55</v>
      </c>
      <c r="M136" s="2"/>
      <c r="N136" s="19">
        <f t="shared" si="29"/>
        <v>-1</v>
      </c>
      <c r="O136" s="11"/>
      <c r="P136" s="2"/>
      <c r="Q136" s="2"/>
      <c r="R136" s="19">
        <f t="shared" si="30"/>
        <v>0</v>
      </c>
      <c r="S136" s="2"/>
      <c r="T136" s="2">
        <v>156</v>
      </c>
      <c r="U136" s="2"/>
      <c r="V136" s="19">
        <f t="shared" si="31"/>
        <v>3.2977562022407095E-5</v>
      </c>
      <c r="W136" s="2"/>
      <c r="X136" s="2">
        <f t="shared" si="32"/>
        <v>-156</v>
      </c>
      <c r="Y136" s="2"/>
      <c r="Z136" s="19">
        <f t="shared" si="33"/>
        <v>-1</v>
      </c>
    </row>
    <row r="137" spans="1:26" s="24" customFormat="1" hidden="1" outlineLevel="1" x14ac:dyDescent="0.25">
      <c r="A137" s="44"/>
      <c r="B137" s="11" t="str">
        <f>CONCATENATE("          ", "5086", " - ", "PURCHASES @ COST-COMPUTER SUPP")</f>
        <v xml:space="preserve">          5086 - PURCHASES @ COST-COMPUTER SUPP</v>
      </c>
      <c r="C137" s="11"/>
      <c r="D137" s="2"/>
      <c r="E137" s="2"/>
      <c r="F137" s="19">
        <f t="shared" si="26"/>
        <v>0</v>
      </c>
      <c r="G137" s="2"/>
      <c r="H137" s="2">
        <v>29</v>
      </c>
      <c r="I137" s="2"/>
      <c r="J137" s="19">
        <f t="shared" si="27"/>
        <v>1.9489223736154087E-5</v>
      </c>
      <c r="K137" s="2"/>
      <c r="L137" s="2">
        <f t="shared" si="28"/>
        <v>-29</v>
      </c>
      <c r="M137" s="2"/>
      <c r="N137" s="19">
        <f t="shared" si="29"/>
        <v>-1</v>
      </c>
      <c r="O137" s="11"/>
      <c r="P137" s="2"/>
      <c r="Q137" s="2"/>
      <c r="R137" s="19">
        <f t="shared" si="30"/>
        <v>0</v>
      </c>
      <c r="S137" s="2"/>
      <c r="T137" s="2">
        <v>87</v>
      </c>
      <c r="U137" s="2"/>
      <c r="V137" s="19">
        <f t="shared" si="31"/>
        <v>1.8391332666342417E-5</v>
      </c>
      <c r="W137" s="2"/>
      <c r="X137" s="2">
        <f t="shared" si="32"/>
        <v>-87</v>
      </c>
      <c r="Y137" s="2"/>
      <c r="Z137" s="19">
        <f t="shared" si="33"/>
        <v>-1</v>
      </c>
    </row>
    <row r="138" spans="1:26" s="24" customFormat="1" hidden="1" outlineLevel="1" x14ac:dyDescent="0.25">
      <c r="A138" s="44"/>
      <c r="B138" s="11" t="str">
        <f>CONCATENATE("          ", "5092", " - ", "PURCHASES @ COST-GRAD MERCH")</f>
        <v xml:space="preserve">          5092 - PURCHASES @ COST-GRAD MERCH</v>
      </c>
      <c r="C138" s="11"/>
      <c r="D138" s="2"/>
      <c r="E138" s="2"/>
      <c r="F138" s="19">
        <f t="shared" si="26"/>
        <v>0</v>
      </c>
      <c r="G138" s="2"/>
      <c r="H138" s="2">
        <v>-628</v>
      </c>
      <c r="I138" s="2"/>
      <c r="J138" s="19">
        <f t="shared" si="27"/>
        <v>-4.2204250021740577E-4</v>
      </c>
      <c r="K138" s="2"/>
      <c r="L138" s="2">
        <f t="shared" si="28"/>
        <v>628</v>
      </c>
      <c r="M138" s="2"/>
      <c r="N138" s="19">
        <f t="shared" si="29"/>
        <v>-1</v>
      </c>
      <c r="O138" s="11"/>
      <c r="P138" s="2"/>
      <c r="Q138" s="2"/>
      <c r="R138" s="19">
        <f t="shared" si="30"/>
        <v>0</v>
      </c>
      <c r="S138" s="2"/>
      <c r="T138" s="2">
        <v>0</v>
      </c>
      <c r="U138" s="2"/>
      <c r="V138" s="19">
        <f t="shared" si="31"/>
        <v>0</v>
      </c>
      <c r="W138" s="2"/>
      <c r="X138" s="2">
        <f t="shared" si="32"/>
        <v>0</v>
      </c>
      <c r="Y138" s="2"/>
      <c r="Z138" s="19">
        <f t="shared" si="33"/>
        <v>0</v>
      </c>
    </row>
    <row r="139" spans="1:26" s="24" customFormat="1" hidden="1" outlineLevel="1" x14ac:dyDescent="0.25">
      <c r="A139" s="44"/>
      <c r="B139" s="11" t="str">
        <f>CONCATENATE("          ", "5095", " - ", "PURCHASES @ COST-CUSTOMER SERV")</f>
        <v xml:space="preserve">          5095 - PURCHASES @ COST-CUSTOMER SERV</v>
      </c>
      <c r="C139" s="11"/>
      <c r="D139" s="2"/>
      <c r="E139" s="2"/>
      <c r="F139" s="19">
        <f t="shared" si="26"/>
        <v>0</v>
      </c>
      <c r="G139" s="2"/>
      <c r="H139" s="2"/>
      <c r="I139" s="2"/>
      <c r="J139" s="19">
        <f t="shared" si="27"/>
        <v>0</v>
      </c>
      <c r="K139" s="2"/>
      <c r="L139" s="2">
        <f t="shared" si="28"/>
        <v>0</v>
      </c>
      <c r="M139" s="2"/>
      <c r="N139" s="19">
        <f t="shared" si="29"/>
        <v>0</v>
      </c>
      <c r="O139" s="11"/>
      <c r="P139" s="2"/>
      <c r="Q139" s="2"/>
      <c r="R139" s="19">
        <f t="shared" si="30"/>
        <v>0</v>
      </c>
      <c r="S139" s="2"/>
      <c r="T139" s="2">
        <v>0</v>
      </c>
      <c r="U139" s="2"/>
      <c r="V139" s="19">
        <f t="shared" si="31"/>
        <v>0</v>
      </c>
      <c r="W139" s="2"/>
      <c r="X139" s="2">
        <f t="shared" si="32"/>
        <v>0</v>
      </c>
      <c r="Y139" s="2"/>
      <c r="Z139" s="19">
        <f t="shared" si="33"/>
        <v>0</v>
      </c>
    </row>
    <row r="140" spans="1:26" s="24" customFormat="1" hidden="1" outlineLevel="1" x14ac:dyDescent="0.25">
      <c r="A140" s="44"/>
      <c r="B140" s="11" t="str">
        <f>CONCATENATE("          ", "5200", " - ", "PURCHASES OFFSET")</f>
        <v xml:space="preserve">          5200 - PURCHASES OFFSET</v>
      </c>
      <c r="C140" s="11"/>
      <c r="D140" s="2">
        <v>-821971.10000000009</v>
      </c>
      <c r="E140" s="2"/>
      <c r="F140" s="19">
        <f t="shared" si="26"/>
        <v>-2.2161090152597143</v>
      </c>
      <c r="G140" s="2"/>
      <c r="H140" s="2">
        <v>-279973</v>
      </c>
      <c r="I140" s="2"/>
      <c r="J140" s="19">
        <f t="shared" si="27"/>
        <v>-0.18815367024421614</v>
      </c>
      <c r="K140" s="2"/>
      <c r="L140" s="2">
        <f t="shared" si="28"/>
        <v>-541998.10000000009</v>
      </c>
      <c r="M140" s="2"/>
      <c r="N140" s="19">
        <f t="shared" si="29"/>
        <v>1.9358941755097816</v>
      </c>
      <c r="O140" s="11"/>
      <c r="P140" s="2">
        <v>-1534973.6800000002</v>
      </c>
      <c r="Q140" s="2"/>
      <c r="R140" s="19">
        <f t="shared" si="30"/>
        <v>-0.69883099277086813</v>
      </c>
      <c r="S140" s="2"/>
      <c r="T140" s="2">
        <v>-2636284</v>
      </c>
      <c r="U140" s="2"/>
      <c r="V140" s="19">
        <f t="shared" si="31"/>
        <v>-0.55729627640179147</v>
      </c>
      <c r="W140" s="2"/>
      <c r="X140" s="2">
        <f t="shared" si="32"/>
        <v>1101310.3199999998</v>
      </c>
      <c r="Y140" s="2"/>
      <c r="Z140" s="19">
        <f t="shared" si="33"/>
        <v>-0.41775101620311006</v>
      </c>
    </row>
    <row r="141" spans="1:26" s="24" customFormat="1" hidden="1" outlineLevel="1" x14ac:dyDescent="0.25">
      <c r="A141" s="44"/>
      <c r="B141" s="11" t="str">
        <f>CONCATENATE("          ", "5300", " - ", "COG$ OFFSET")</f>
        <v xml:space="preserve">          5300 - COG$ OFFSET</v>
      </c>
      <c r="C141" s="11"/>
      <c r="D141" s="2">
        <v>204421</v>
      </c>
      <c r="E141" s="2"/>
      <c r="F141" s="19">
        <f t="shared" si="26"/>
        <v>0.55113765071351783</v>
      </c>
      <c r="G141" s="2"/>
      <c r="H141" s="2">
        <v>498314.00000000006</v>
      </c>
      <c r="I141" s="2"/>
      <c r="J141" s="19">
        <f t="shared" si="27"/>
        <v>0.33488803575372034</v>
      </c>
      <c r="K141" s="2"/>
      <c r="L141" s="2">
        <f t="shared" si="28"/>
        <v>-293893.00000000006</v>
      </c>
      <c r="M141" s="2"/>
      <c r="N141" s="19">
        <f t="shared" si="29"/>
        <v>-0.58977472035704404</v>
      </c>
      <c r="O141" s="11"/>
      <c r="P141" s="2">
        <v>1110478</v>
      </c>
      <c r="Q141" s="2"/>
      <c r="R141" s="19">
        <f t="shared" si="30"/>
        <v>0.50556986956949512</v>
      </c>
      <c r="S141" s="2"/>
      <c r="T141" s="2">
        <v>1927748</v>
      </c>
      <c r="U141" s="2"/>
      <c r="V141" s="19">
        <f t="shared" si="31"/>
        <v>0.40751557201007199</v>
      </c>
      <c r="W141" s="2"/>
      <c r="X141" s="2">
        <f t="shared" si="32"/>
        <v>-817270</v>
      </c>
      <c r="Y141" s="2"/>
      <c r="Z141" s="19">
        <f t="shared" si="33"/>
        <v>-0.42395064085139761</v>
      </c>
    </row>
    <row r="142" spans="1:26" s="24" customFormat="1" hidden="1" outlineLevel="1" x14ac:dyDescent="0.25">
      <c r="A142" s="44"/>
      <c r="B142" s="11" t="str">
        <f>CONCATENATE("          ", "5500", " - ", "FREIGHT-IN")</f>
        <v xml:space="preserve">          5500 - FREIGHT-IN</v>
      </c>
      <c r="C142" s="11"/>
      <c r="D142" s="2"/>
      <c r="E142" s="2"/>
      <c r="F142" s="19">
        <f t="shared" si="26"/>
        <v>0</v>
      </c>
      <c r="G142" s="2"/>
      <c r="H142" s="2">
        <v>-49</v>
      </c>
      <c r="I142" s="2"/>
      <c r="J142" s="19">
        <f t="shared" si="27"/>
        <v>-3.2930067692122427E-5</v>
      </c>
      <c r="K142" s="2"/>
      <c r="L142" s="2">
        <f t="shared" si="28"/>
        <v>49</v>
      </c>
      <c r="M142" s="2"/>
      <c r="N142" s="19">
        <f t="shared" si="29"/>
        <v>-1</v>
      </c>
      <c r="O142" s="11"/>
      <c r="P142" s="2"/>
      <c r="Q142" s="2"/>
      <c r="R142" s="19">
        <f t="shared" si="30"/>
        <v>0</v>
      </c>
      <c r="S142" s="2"/>
      <c r="T142" s="2">
        <v>0</v>
      </c>
      <c r="U142" s="2"/>
      <c r="V142" s="19">
        <f t="shared" si="31"/>
        <v>0</v>
      </c>
      <c r="W142" s="2"/>
      <c r="X142" s="2">
        <f t="shared" si="32"/>
        <v>0</v>
      </c>
      <c r="Y142" s="2"/>
      <c r="Z142" s="19">
        <f t="shared" si="33"/>
        <v>0</v>
      </c>
    </row>
    <row r="143" spans="1:26" s="24" customFormat="1" hidden="1" outlineLevel="1" x14ac:dyDescent="0.25">
      <c r="A143" s="44"/>
      <c r="B143" s="11" t="str">
        <f>CONCATENATE("          ", "5501", " - ", "FREIGHT-IN-NEW TEXT")</f>
        <v xml:space="preserve">          5501 - FREIGHT-IN-NEW TEXT</v>
      </c>
      <c r="C143" s="11"/>
      <c r="D143" s="2">
        <v>5279.6</v>
      </c>
      <c r="E143" s="2"/>
      <c r="F143" s="19">
        <f t="shared" si="26"/>
        <v>1.4234282880462813E-2</v>
      </c>
      <c r="G143" s="2"/>
      <c r="H143" s="2">
        <v>13859.22</v>
      </c>
      <c r="I143" s="2"/>
      <c r="J143" s="19">
        <f t="shared" si="27"/>
        <v>9.3139806685717738E-3</v>
      </c>
      <c r="K143" s="2"/>
      <c r="L143" s="2">
        <f t="shared" si="28"/>
        <v>-8579.619999999999</v>
      </c>
      <c r="M143" s="2"/>
      <c r="N143" s="19">
        <f t="shared" si="29"/>
        <v>-0.61905504061556127</v>
      </c>
      <c r="O143" s="11"/>
      <c r="P143" s="2">
        <v>10762.88</v>
      </c>
      <c r="Q143" s="2"/>
      <c r="R143" s="19">
        <f t="shared" si="30"/>
        <v>4.9000410974302305E-3</v>
      </c>
      <c r="S143" s="2"/>
      <c r="T143" s="2">
        <v>26583.46</v>
      </c>
      <c r="U143" s="2"/>
      <c r="V143" s="19">
        <f t="shared" si="31"/>
        <v>5.6196006469242188E-3</v>
      </c>
      <c r="W143" s="2"/>
      <c r="X143" s="2">
        <f t="shared" si="32"/>
        <v>-15820.58</v>
      </c>
      <c r="Y143" s="2"/>
      <c r="Z143" s="19">
        <f t="shared" si="33"/>
        <v>-0.595128700327196</v>
      </c>
    </row>
    <row r="144" spans="1:26" s="24" customFormat="1" hidden="1" outlineLevel="1" x14ac:dyDescent="0.25">
      <c r="A144" s="44"/>
      <c r="B144" s="11" t="str">
        <f>CONCATENATE("          ", "5502", " - ", "FREIGHT-IN-USED TEXT")</f>
        <v xml:space="preserve">          5502 - FREIGHT-IN-USED TEXT</v>
      </c>
      <c r="C144" s="11"/>
      <c r="D144" s="2">
        <v>7276.27</v>
      </c>
      <c r="E144" s="2"/>
      <c r="F144" s="19">
        <f t="shared" si="26"/>
        <v>1.9617487213922487E-2</v>
      </c>
      <c r="G144" s="2"/>
      <c r="H144" s="2">
        <v>1998.66</v>
      </c>
      <c r="I144" s="2"/>
      <c r="J144" s="19">
        <f t="shared" si="27"/>
        <v>1.3431838590517839E-3</v>
      </c>
      <c r="K144" s="2"/>
      <c r="L144" s="2">
        <f t="shared" si="28"/>
        <v>5277.6100000000006</v>
      </c>
      <c r="M144" s="2"/>
      <c r="N144" s="19">
        <f t="shared" si="29"/>
        <v>2.6405741847037518</v>
      </c>
      <c r="O144" s="11"/>
      <c r="P144" s="2">
        <v>8510.82</v>
      </c>
      <c r="Q144" s="2"/>
      <c r="R144" s="19">
        <f t="shared" si="30"/>
        <v>3.8747405687725922E-3</v>
      </c>
      <c r="S144" s="2"/>
      <c r="T144" s="2">
        <v>6261.17</v>
      </c>
      <c r="U144" s="2"/>
      <c r="V144" s="19">
        <f t="shared" si="31"/>
        <v>1.3235777051784272E-3</v>
      </c>
      <c r="W144" s="2"/>
      <c r="X144" s="2">
        <f t="shared" si="32"/>
        <v>2249.6499999999996</v>
      </c>
      <c r="Y144" s="2"/>
      <c r="Z144" s="19">
        <f t="shared" si="33"/>
        <v>0.35930185572345097</v>
      </c>
    </row>
    <row r="145" spans="1:26" s="24" customFormat="1" hidden="1" outlineLevel="1" x14ac:dyDescent="0.25">
      <c r="A145" s="44"/>
      <c r="B145" s="11" t="str">
        <f>CONCATENATE("          ", "5504", " - ", "FREIGHT-IN-DIGITAL TEXT")</f>
        <v xml:space="preserve">          5504 - FREIGHT-IN-DIGITAL TEXT</v>
      </c>
      <c r="C145" s="11"/>
      <c r="D145" s="2">
        <v>10.99</v>
      </c>
      <c r="E145" s="2"/>
      <c r="F145" s="19">
        <f t="shared" si="26"/>
        <v>2.9630041832011195E-5</v>
      </c>
      <c r="G145" s="2"/>
      <c r="H145" s="2"/>
      <c r="I145" s="2"/>
      <c r="J145" s="19">
        <f t="shared" si="27"/>
        <v>0</v>
      </c>
      <c r="K145" s="2"/>
      <c r="L145" s="2">
        <f t="shared" si="28"/>
        <v>10.99</v>
      </c>
      <c r="M145" s="2"/>
      <c r="N145" s="19">
        <f t="shared" si="29"/>
        <v>0</v>
      </c>
      <c r="O145" s="11"/>
      <c r="P145" s="2">
        <v>10.99</v>
      </c>
      <c r="Q145" s="2"/>
      <c r="R145" s="19">
        <f t="shared" si="30"/>
        <v>5.0034425414720077E-6</v>
      </c>
      <c r="S145" s="2"/>
      <c r="T145" s="2">
        <v>7.03</v>
      </c>
      <c r="U145" s="2"/>
      <c r="V145" s="19">
        <f t="shared" si="31"/>
        <v>1.4861042372918069E-6</v>
      </c>
      <c r="W145" s="2"/>
      <c r="X145" s="2">
        <f t="shared" si="32"/>
        <v>3.96</v>
      </c>
      <c r="Y145" s="2"/>
      <c r="Z145" s="19">
        <f t="shared" si="33"/>
        <v>0.56330014224751068</v>
      </c>
    </row>
    <row r="146" spans="1:26" s="24" customFormat="1" hidden="1" outlineLevel="1" x14ac:dyDescent="0.25">
      <c r="A146" s="44"/>
      <c r="B146" s="11" t="str">
        <f>CONCATENATE("          ", "5526", " - ", "FREIGHT-IN-WRITING INSTRUMENTS")</f>
        <v xml:space="preserve">          5526 - FREIGHT-IN-WRITING INSTRUMENTS</v>
      </c>
      <c r="C146" s="11"/>
      <c r="D146" s="2"/>
      <c r="E146" s="2"/>
      <c r="F146" s="19">
        <f t="shared" si="26"/>
        <v>0</v>
      </c>
      <c r="G146" s="2"/>
      <c r="H146" s="2"/>
      <c r="I146" s="2"/>
      <c r="J146" s="19">
        <f t="shared" si="27"/>
        <v>0</v>
      </c>
      <c r="K146" s="2"/>
      <c r="L146" s="2">
        <f t="shared" si="28"/>
        <v>0</v>
      </c>
      <c r="M146" s="2"/>
      <c r="N146" s="19">
        <f t="shared" si="29"/>
        <v>0</v>
      </c>
      <c r="O146" s="11"/>
      <c r="P146" s="2"/>
      <c r="Q146" s="2"/>
      <c r="R146" s="19">
        <f t="shared" si="30"/>
        <v>0</v>
      </c>
      <c r="S146" s="2"/>
      <c r="T146" s="2">
        <v>56.57</v>
      </c>
      <c r="U146" s="2"/>
      <c r="V146" s="19">
        <f t="shared" si="31"/>
        <v>1.1958594125689548E-5</v>
      </c>
      <c r="W146" s="2"/>
      <c r="X146" s="2">
        <f t="shared" si="32"/>
        <v>-56.57</v>
      </c>
      <c r="Y146" s="2"/>
      <c r="Z146" s="19">
        <f t="shared" si="33"/>
        <v>-1</v>
      </c>
    </row>
    <row r="147" spans="1:26" s="24" customFormat="1" hidden="1" outlineLevel="1" x14ac:dyDescent="0.25">
      <c r="A147" s="44"/>
      <c r="B147" s="11" t="str">
        <f>CONCATENATE("          ", "5527", " - ", "FREIGHT-IN-SCHOOL SUPPLIES")</f>
        <v xml:space="preserve">          5527 - FREIGHT-IN-SCHOOL SUPPLIES</v>
      </c>
      <c r="C147" s="11"/>
      <c r="D147" s="2"/>
      <c r="E147" s="2"/>
      <c r="F147" s="19">
        <f t="shared" si="26"/>
        <v>0</v>
      </c>
      <c r="G147" s="2"/>
      <c r="H147" s="2">
        <v>133.38999999999999</v>
      </c>
      <c r="I147" s="2"/>
      <c r="J147" s="19">
        <f t="shared" si="27"/>
        <v>8.9643708764330818E-5</v>
      </c>
      <c r="K147" s="2"/>
      <c r="L147" s="2">
        <f t="shared" si="28"/>
        <v>-133.38999999999999</v>
      </c>
      <c r="M147" s="2"/>
      <c r="N147" s="19">
        <f t="shared" si="29"/>
        <v>-1</v>
      </c>
      <c r="O147" s="11"/>
      <c r="P147" s="2"/>
      <c r="Q147" s="2"/>
      <c r="R147" s="19">
        <f t="shared" si="30"/>
        <v>0</v>
      </c>
      <c r="S147" s="2"/>
      <c r="T147" s="2">
        <v>393.9</v>
      </c>
      <c r="U147" s="2"/>
      <c r="V147" s="19">
        <f t="shared" si="31"/>
        <v>8.3268344106577911E-5</v>
      </c>
      <c r="W147" s="2"/>
      <c r="X147" s="2">
        <f t="shared" si="32"/>
        <v>-393.9</v>
      </c>
      <c r="Y147" s="2"/>
      <c r="Z147" s="19">
        <f t="shared" si="33"/>
        <v>-1</v>
      </c>
    </row>
    <row r="148" spans="1:26" s="24" customFormat="1" hidden="1" outlineLevel="1" x14ac:dyDescent="0.25">
      <c r="A148" s="44"/>
      <c r="B148" s="11" t="str">
        <f>CONCATENATE("          ", "5528", " - ", "FREIGHT-IN-ART/TECH")</f>
        <v xml:space="preserve">          5528 - FREIGHT-IN-ART/TECH</v>
      </c>
      <c r="C148" s="11"/>
      <c r="D148" s="2">
        <v>6.76</v>
      </c>
      <c r="E148" s="2"/>
      <c r="F148" s="19">
        <f t="shared" si="26"/>
        <v>1.8225576231519168E-5</v>
      </c>
      <c r="G148" s="2"/>
      <c r="H148" s="2">
        <v>332.97</v>
      </c>
      <c r="I148" s="2"/>
      <c r="J148" s="19">
        <f t="shared" si="27"/>
        <v>2.2376989060093888E-4</v>
      </c>
      <c r="K148" s="2"/>
      <c r="L148" s="2">
        <f t="shared" si="28"/>
        <v>-326.21000000000004</v>
      </c>
      <c r="M148" s="2"/>
      <c r="N148" s="19">
        <f t="shared" si="29"/>
        <v>-0.97969787067904013</v>
      </c>
      <c r="O148" s="11"/>
      <c r="P148" s="2">
        <v>44.81</v>
      </c>
      <c r="Q148" s="2"/>
      <c r="R148" s="19">
        <f t="shared" si="30"/>
        <v>2.0400751618140188E-5</v>
      </c>
      <c r="S148" s="2"/>
      <c r="T148" s="2">
        <v>632.77</v>
      </c>
      <c r="U148" s="2"/>
      <c r="V148" s="19">
        <f t="shared" si="31"/>
        <v>1.3376417898024705E-4</v>
      </c>
      <c r="W148" s="2"/>
      <c r="X148" s="2">
        <f t="shared" si="32"/>
        <v>-587.96</v>
      </c>
      <c r="Y148" s="2"/>
      <c r="Z148" s="19">
        <f t="shared" si="33"/>
        <v>-0.92918437979044533</v>
      </c>
    </row>
    <row r="149" spans="1:26" s="24" customFormat="1" hidden="1" outlineLevel="1" x14ac:dyDescent="0.25">
      <c r="A149" s="44"/>
      <c r="B149" s="11" t="str">
        <f>CONCATENATE("          ", "5540", " - ", "FREIGHT-IN-LOGO CLOTHING")</f>
        <v xml:space="preserve">          5540 - FREIGHT-IN-LOGO CLOTHING</v>
      </c>
      <c r="C149" s="11"/>
      <c r="D149" s="2">
        <v>234.23</v>
      </c>
      <c r="E149" s="2"/>
      <c r="F149" s="19">
        <f t="shared" si="26"/>
        <v>6.315054320575052E-4</v>
      </c>
      <c r="G149" s="2"/>
      <c r="H149" s="2">
        <v>2672.92</v>
      </c>
      <c r="I149" s="2"/>
      <c r="J149" s="19">
        <f t="shared" si="27"/>
        <v>1.7963150313393445E-3</v>
      </c>
      <c r="K149" s="2"/>
      <c r="L149" s="2">
        <f t="shared" si="28"/>
        <v>-2438.69</v>
      </c>
      <c r="M149" s="2"/>
      <c r="N149" s="19">
        <f t="shared" si="29"/>
        <v>-0.91236924412253262</v>
      </c>
      <c r="O149" s="11"/>
      <c r="P149" s="2">
        <v>2165.7600000000002</v>
      </c>
      <c r="Q149" s="2"/>
      <c r="R149" s="19">
        <f t="shared" si="30"/>
        <v>9.860105294466257E-4</v>
      </c>
      <c r="S149" s="2"/>
      <c r="T149" s="2">
        <v>5004.8599999999997</v>
      </c>
      <c r="U149" s="2"/>
      <c r="V149" s="19">
        <f t="shared" si="31"/>
        <v>1.0580005196375922E-3</v>
      </c>
      <c r="W149" s="2"/>
      <c r="X149" s="2">
        <f t="shared" si="32"/>
        <v>-2839.0999999999995</v>
      </c>
      <c r="Y149" s="2"/>
      <c r="Z149" s="19">
        <f t="shared" si="33"/>
        <v>-0.56726861490631098</v>
      </c>
    </row>
    <row r="150" spans="1:26" s="24" customFormat="1" hidden="1" outlineLevel="1" x14ac:dyDescent="0.25">
      <c r="A150" s="44"/>
      <c r="B150" s="11" t="str">
        <f>CONCATENATE("          ", "5541", " - ", "FREIGHT-IN-LOGO GIFTS")</f>
        <v xml:space="preserve">          5541 - FREIGHT-IN-LOGO GIFTS</v>
      </c>
      <c r="C150" s="11"/>
      <c r="D150" s="2">
        <v>154.41</v>
      </c>
      <c r="E150" s="2"/>
      <c r="F150" s="19">
        <f t="shared" si="26"/>
        <v>4.1630343578533656E-4</v>
      </c>
      <c r="G150" s="2"/>
      <c r="H150" s="2">
        <v>97.6</v>
      </c>
      <c r="I150" s="2"/>
      <c r="J150" s="19">
        <f t="shared" si="27"/>
        <v>6.5591318505125475E-5</v>
      </c>
      <c r="K150" s="2"/>
      <c r="L150" s="2">
        <f t="shared" si="28"/>
        <v>56.81</v>
      </c>
      <c r="M150" s="2"/>
      <c r="N150" s="19">
        <f t="shared" si="29"/>
        <v>0.58206967213114758</v>
      </c>
      <c r="O150" s="11"/>
      <c r="P150" s="2">
        <v>361.11</v>
      </c>
      <c r="Q150" s="2"/>
      <c r="R150" s="19">
        <f t="shared" si="30"/>
        <v>1.6440337908561935E-4</v>
      </c>
      <c r="S150" s="2"/>
      <c r="T150" s="2">
        <v>818.01</v>
      </c>
      <c r="U150" s="2"/>
      <c r="V150" s="19">
        <f t="shared" si="31"/>
        <v>1.7292291993557197E-4</v>
      </c>
      <c r="W150" s="2"/>
      <c r="X150" s="2">
        <f t="shared" si="32"/>
        <v>-456.9</v>
      </c>
      <c r="Y150" s="2"/>
      <c r="Z150" s="19">
        <f t="shared" si="33"/>
        <v>-0.55855062896541607</v>
      </c>
    </row>
    <row r="151" spans="1:26" s="24" customFormat="1" hidden="1" outlineLevel="1" x14ac:dyDescent="0.25">
      <c r="A151" s="44"/>
      <c r="B151" s="11" t="str">
        <f>CONCATENATE("          ", "5542", " - ", "FREIGHT-IN-EVERYDAY GIFTS")</f>
        <v xml:space="preserve">          5542 - FREIGHT-IN-EVERYDAY GIFTS</v>
      </c>
      <c r="C151" s="11"/>
      <c r="D151" s="2">
        <v>65.44</v>
      </c>
      <c r="E151" s="2"/>
      <c r="F151" s="19">
        <f t="shared" si="26"/>
        <v>1.7643220541281278E-4</v>
      </c>
      <c r="G151" s="2"/>
      <c r="H151" s="2">
        <v>58.91</v>
      </c>
      <c r="I151" s="2"/>
      <c r="J151" s="19">
        <f t="shared" si="27"/>
        <v>3.959000587230473E-5</v>
      </c>
      <c r="K151" s="2"/>
      <c r="L151" s="2">
        <f t="shared" si="28"/>
        <v>6.5300000000000011</v>
      </c>
      <c r="M151" s="2"/>
      <c r="N151" s="19">
        <f t="shared" si="29"/>
        <v>0.11084705482940081</v>
      </c>
      <c r="O151" s="11"/>
      <c r="P151" s="2">
        <v>71.38</v>
      </c>
      <c r="Q151" s="2"/>
      <c r="R151" s="19">
        <f t="shared" si="30"/>
        <v>3.2497336543245844E-5</v>
      </c>
      <c r="S151" s="2"/>
      <c r="T151" s="2">
        <v>171.68</v>
      </c>
      <c r="U151" s="2"/>
      <c r="V151" s="19">
        <f t="shared" si="31"/>
        <v>3.6292229794915705E-5</v>
      </c>
      <c r="W151" s="2"/>
      <c r="X151" s="2">
        <f t="shared" si="32"/>
        <v>-100.30000000000001</v>
      </c>
      <c r="Y151" s="2"/>
      <c r="Z151" s="19">
        <f t="shared" si="33"/>
        <v>-0.58422646784715759</v>
      </c>
    </row>
    <row r="152" spans="1:26" s="24" customFormat="1" hidden="1" outlineLevel="1" x14ac:dyDescent="0.25">
      <c r="A152" s="44"/>
      <c r="B152" s="11" t="str">
        <f>CONCATENATE("          ", "5543", " - ", "FREIGHT-IN-CARDS")</f>
        <v xml:space="preserve">          5543 - FREIGHT-IN-CARDS</v>
      </c>
      <c r="C152" s="11"/>
      <c r="D152" s="2">
        <v>81.77</v>
      </c>
      <c r="E152" s="2"/>
      <c r="F152" s="19">
        <f t="shared" si="26"/>
        <v>2.2045937403126071E-4</v>
      </c>
      <c r="G152" s="2"/>
      <c r="H152" s="2"/>
      <c r="I152" s="2"/>
      <c r="J152" s="19">
        <f t="shared" si="27"/>
        <v>0</v>
      </c>
      <c r="K152" s="2"/>
      <c r="L152" s="2">
        <f t="shared" si="28"/>
        <v>81.77</v>
      </c>
      <c r="M152" s="2"/>
      <c r="N152" s="19">
        <f t="shared" si="29"/>
        <v>0</v>
      </c>
      <c r="O152" s="11"/>
      <c r="P152" s="2">
        <v>81.77</v>
      </c>
      <c r="Q152" s="2"/>
      <c r="R152" s="19">
        <f t="shared" si="30"/>
        <v>3.7227615706657508E-5</v>
      </c>
      <c r="S152" s="2"/>
      <c r="T152" s="2">
        <v>4.58</v>
      </c>
      <c r="U152" s="2"/>
      <c r="V152" s="19">
        <f t="shared" si="31"/>
        <v>9.6818739783733656E-7</v>
      </c>
      <c r="W152" s="2"/>
      <c r="X152" s="2">
        <f t="shared" si="32"/>
        <v>77.19</v>
      </c>
      <c r="Y152" s="2"/>
      <c r="Z152" s="19">
        <f t="shared" si="33"/>
        <v>16.853711790393014</v>
      </c>
    </row>
    <row r="153" spans="1:26" s="24" customFormat="1" hidden="1" outlineLevel="1" x14ac:dyDescent="0.25">
      <c r="A153" s="44"/>
      <c r="B153" s="11" t="str">
        <f>CONCATENATE("          ", "5544", " - ", "FREIGHT-IN-ACCESSORIES")</f>
        <v xml:space="preserve">          5544 - FREIGHT-IN-ACCESSORIES</v>
      </c>
      <c r="C153" s="11"/>
      <c r="D153" s="2"/>
      <c r="E153" s="2"/>
      <c r="F153" s="19">
        <f t="shared" si="26"/>
        <v>0</v>
      </c>
      <c r="G153" s="2"/>
      <c r="H153" s="2">
        <v>34.18</v>
      </c>
      <c r="I153" s="2"/>
      <c r="J153" s="19">
        <f t="shared" si="27"/>
        <v>2.2970402320749888E-5</v>
      </c>
      <c r="K153" s="2"/>
      <c r="L153" s="2">
        <f t="shared" si="28"/>
        <v>-34.18</v>
      </c>
      <c r="M153" s="2"/>
      <c r="N153" s="19">
        <f t="shared" si="29"/>
        <v>-1</v>
      </c>
      <c r="O153" s="11"/>
      <c r="P153" s="2"/>
      <c r="Q153" s="2"/>
      <c r="R153" s="19">
        <f t="shared" si="30"/>
        <v>0</v>
      </c>
      <c r="S153" s="2"/>
      <c r="T153" s="2">
        <v>135.84</v>
      </c>
      <c r="U153" s="2"/>
      <c r="V153" s="19">
        <f t="shared" si="31"/>
        <v>2.8715846314896024E-5</v>
      </c>
      <c r="W153" s="2"/>
      <c r="X153" s="2">
        <f t="shared" si="32"/>
        <v>-135.84</v>
      </c>
      <c r="Y153" s="2"/>
      <c r="Z153" s="19">
        <f t="shared" si="33"/>
        <v>-1</v>
      </c>
    </row>
    <row r="154" spans="1:26" s="24" customFormat="1" hidden="1" outlineLevel="1" x14ac:dyDescent="0.25">
      <c r="A154" s="44"/>
      <c r="B154" s="11" t="str">
        <f>CONCATENATE("          ", "5545", " - ", "FREIGHT-IN-SPECIAL ORDERS")</f>
        <v xml:space="preserve">          5545 - FREIGHT-IN-SPECIAL ORDERS</v>
      </c>
      <c r="C154" s="11"/>
      <c r="D154" s="2">
        <v>214.61</v>
      </c>
      <c r="E154" s="2"/>
      <c r="F154" s="19">
        <f t="shared" si="26"/>
        <v>5.7860812352756349E-4</v>
      </c>
      <c r="G154" s="2"/>
      <c r="H154" s="2">
        <v>26.56</v>
      </c>
      <c r="I154" s="2"/>
      <c r="J154" s="19">
        <f t="shared" si="27"/>
        <v>1.7849440773525949E-5</v>
      </c>
      <c r="K154" s="2"/>
      <c r="L154" s="2">
        <f t="shared" si="28"/>
        <v>188.05</v>
      </c>
      <c r="M154" s="2"/>
      <c r="N154" s="19">
        <f t="shared" si="29"/>
        <v>7.0801957831325311</v>
      </c>
      <c r="O154" s="11"/>
      <c r="P154" s="2">
        <v>660.61</v>
      </c>
      <c r="Q154" s="2"/>
      <c r="R154" s="19">
        <f t="shared" si="30"/>
        <v>3.007574319674088E-4</v>
      </c>
      <c r="S154" s="2"/>
      <c r="T154" s="2">
        <v>262.51</v>
      </c>
      <c r="U154" s="2"/>
      <c r="V154" s="19">
        <f t="shared" si="31"/>
        <v>5.5493203887833888E-5</v>
      </c>
      <c r="W154" s="2"/>
      <c r="X154" s="2">
        <f t="shared" si="32"/>
        <v>398.1</v>
      </c>
      <c r="Y154" s="2"/>
      <c r="Z154" s="19">
        <f t="shared" si="33"/>
        <v>1.516513656622605</v>
      </c>
    </row>
    <row r="155" spans="1:26" s="24" customFormat="1" hidden="1" outlineLevel="1" x14ac:dyDescent="0.25">
      <c r="A155" s="44"/>
      <c r="B155" s="11" t="str">
        <f>CONCATENATE("          ", "5592", " - ", "FREIGHT-IN-GRAD MERCH")</f>
        <v xml:space="preserve">          5592 - FREIGHT-IN-GRAD MERCH</v>
      </c>
      <c r="C155" s="11"/>
      <c r="D155" s="2"/>
      <c r="E155" s="2"/>
      <c r="F155" s="19">
        <f t="shared" si="26"/>
        <v>0</v>
      </c>
      <c r="G155" s="2"/>
      <c r="H155" s="2">
        <v>11.21</v>
      </c>
      <c r="I155" s="2"/>
      <c r="J155" s="19">
        <f t="shared" si="27"/>
        <v>7.5335930373202532E-6</v>
      </c>
      <c r="K155" s="2"/>
      <c r="L155" s="2">
        <f t="shared" si="28"/>
        <v>-11.21</v>
      </c>
      <c r="M155" s="2"/>
      <c r="N155" s="19">
        <f t="shared" si="29"/>
        <v>-1</v>
      </c>
      <c r="O155" s="11"/>
      <c r="P155" s="2"/>
      <c r="Q155" s="2"/>
      <c r="R155" s="19">
        <f t="shared" si="30"/>
        <v>0</v>
      </c>
      <c r="S155" s="2"/>
      <c r="T155" s="2">
        <v>70.78</v>
      </c>
      <c r="U155" s="2"/>
      <c r="V155" s="19">
        <f t="shared" si="31"/>
        <v>1.4962511794525476E-5</v>
      </c>
      <c r="W155" s="2"/>
      <c r="X155" s="2">
        <f t="shared" si="32"/>
        <v>-70.78</v>
      </c>
      <c r="Y155" s="2"/>
      <c r="Z155" s="19">
        <f t="shared" si="33"/>
        <v>-1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5" t="s">
        <v>6</v>
      </c>
      <c r="C157" s="25"/>
      <c r="D157" s="22">
        <f>D12-D106</f>
        <v>139713.09000000011</v>
      </c>
      <c r="E157" s="13"/>
      <c r="F157" s="21">
        <f>IF(D$12=0,0,D157/D$12)</f>
        <v>0.37667922667693798</v>
      </c>
      <c r="G157" s="13"/>
      <c r="H157" s="22">
        <f>H12-H106</f>
        <v>667526.76999999909</v>
      </c>
      <c r="I157" s="13"/>
      <c r="J157" s="21">
        <f>IF(H$12=0,0,H157/H$12)</f>
        <v>0.44860615760007766</v>
      </c>
      <c r="K157" s="15"/>
      <c r="L157" s="22">
        <f>+D157-H157</f>
        <v>-527813.679999999</v>
      </c>
      <c r="M157" s="15"/>
      <c r="N157" s="21">
        <f>IF(H157=0,0,L157/H157)</f>
        <v>-0.79070039393326463</v>
      </c>
      <c r="O157" s="26"/>
      <c r="P157" s="22">
        <f>P12-P106</f>
        <v>744744.75999999931</v>
      </c>
      <c r="Q157" s="13"/>
      <c r="R157" s="21">
        <f>IF(P$12=0,0,P157/P$12)</f>
        <v>0.33906165739056932</v>
      </c>
      <c r="S157" s="13"/>
      <c r="T157" s="22">
        <f>T12-T106</f>
        <v>1854349.0599999987</v>
      </c>
      <c r="U157" s="13"/>
      <c r="V157" s="21">
        <f>IF(T$12=0,0,T157/T$12)</f>
        <v>0.39199943036757856</v>
      </c>
      <c r="W157" s="15"/>
      <c r="X157" s="22">
        <f>+P157-T157</f>
        <v>-1109604.2999999993</v>
      </c>
      <c r="Y157" s="15"/>
      <c r="Z157" s="21">
        <f>IF(T157=0,0,X157/T157)</f>
        <v>-0.59837941191072197</v>
      </c>
    </row>
    <row r="158" spans="1:26" x14ac:dyDescent="0.25">
      <c r="A158" s="9"/>
      <c r="B158" s="10"/>
      <c r="C158" s="9"/>
      <c r="D158" s="1"/>
      <c r="E158" s="1"/>
      <c r="F158" s="5"/>
      <c r="G158" s="1"/>
      <c r="H158" s="1"/>
      <c r="I158" s="1"/>
      <c r="J158" s="5"/>
      <c r="K158" s="1"/>
      <c r="L158" s="1"/>
      <c r="M158" s="1"/>
      <c r="N158" s="5"/>
      <c r="O158" s="37"/>
      <c r="P158" s="1"/>
      <c r="Q158" s="1"/>
      <c r="R158" s="5"/>
      <c r="S158" s="1"/>
      <c r="T158" s="1"/>
      <c r="U158" s="1"/>
      <c r="V158" s="5"/>
      <c r="W158" s="1"/>
      <c r="X158" s="1"/>
      <c r="Y158" s="1"/>
      <c r="Z158" s="5"/>
    </row>
    <row r="159" spans="1:26" s="23" customFormat="1" x14ac:dyDescent="0.25">
      <c r="A159" s="10"/>
      <c r="B159" s="26" t="s">
        <v>9</v>
      </c>
      <c r="C159" s="10"/>
      <c r="D159" s="20">
        <f>SUM(OSRRefD22x_0)</f>
        <v>291986.44</v>
      </c>
      <c r="E159" s="20"/>
      <c r="F159" s="36">
        <f t="shared" ref="F159:F170" si="34">IF(D$12=0,0,D159/D$12)</f>
        <v>0.78722205928844646</v>
      </c>
      <c r="G159" s="20"/>
      <c r="H159" s="20">
        <f>SUM(OSRRefH22x_0)</f>
        <v>479138.56000000017</v>
      </c>
      <c r="I159" s="20"/>
      <c r="J159" s="36">
        <f t="shared" ref="J159:J170" si="35">IF(H$12=0,0,H159/H$12)</f>
        <v>0.32200133091236871</v>
      </c>
      <c r="K159" s="4"/>
      <c r="L159" s="20">
        <f t="shared" ref="L159:L170" si="36">+D159-H159</f>
        <v>-187152.12000000017</v>
      </c>
      <c r="M159" s="4"/>
      <c r="N159" s="36">
        <f t="shared" ref="N159:N170" si="37">IF(H159=0,0,L159/H159)</f>
        <v>-0.39060124904161359</v>
      </c>
      <c r="O159" s="10"/>
      <c r="P159" s="20">
        <f>SUM(OSRRefP22x_0)</f>
        <v>899728.87999999989</v>
      </c>
      <c r="Q159" s="20"/>
      <c r="R159" s="36">
        <f t="shared" ref="R159:R170" si="38">IF(P$12=0,0,P159/P$12)</f>
        <v>0.40962163366541965</v>
      </c>
      <c r="S159" s="20"/>
      <c r="T159" s="20">
        <f>SUM(OSRRefT22x_0)</f>
        <v>1417717.7499999998</v>
      </c>
      <c r="U159" s="20"/>
      <c r="V159" s="36">
        <f t="shared" ref="V159:V170" si="39">IF(T$12=0,0,T159/T$12)</f>
        <v>0.29969791686469505</v>
      </c>
      <c r="W159" s="4"/>
      <c r="X159" s="20">
        <f t="shared" ref="X159:X170" si="40">+P159-T159</f>
        <v>-517988.86999999988</v>
      </c>
      <c r="Y159" s="4"/>
      <c r="Z159" s="36">
        <f t="shared" ref="Z159:Z170" si="41">IF(T159=0,0,X159/T159)</f>
        <v>-0.36536812069962443</v>
      </c>
    </row>
    <row r="160" spans="1:26" s="27" customFormat="1" outlineLevel="1" collapsed="1" x14ac:dyDescent="0.25">
      <c r="A160" s="29"/>
      <c r="B160" s="14" t="str">
        <f>CONCATENATE("     ","*Benefits                                         ")</f>
        <v xml:space="preserve">     *Benefits                                         </v>
      </c>
      <c r="C160" s="14"/>
      <c r="D160" s="1">
        <f>SUM(OSRRefD22_0x_0)</f>
        <v>52903.110000000008</v>
      </c>
      <c r="E160" s="1"/>
      <c r="F160" s="5">
        <f t="shared" si="34"/>
        <v>0.14263160712861603</v>
      </c>
      <c r="G160" s="1"/>
      <c r="H160" s="1">
        <f>SUM(OSRRefH22_0x_0)</f>
        <v>62238.760000000009</v>
      </c>
      <c r="I160" s="1"/>
      <c r="J160" s="5">
        <f t="shared" si="35"/>
        <v>4.1827073058648197E-2</v>
      </c>
      <c r="K160" s="1"/>
      <c r="L160" s="1">
        <f t="shared" si="36"/>
        <v>-9335.6500000000015</v>
      </c>
      <c r="M160" s="1"/>
      <c r="N160" s="5">
        <f t="shared" si="37"/>
        <v>-0.14999736498606334</v>
      </c>
      <c r="O160" s="14"/>
      <c r="P160" s="1">
        <f>SUM(OSRRefP22_0x_0)</f>
        <v>153954.12000000002</v>
      </c>
      <c r="Q160" s="1"/>
      <c r="R160" s="5">
        <f t="shared" si="38"/>
        <v>7.0091045809179839E-2</v>
      </c>
      <c r="S160" s="1"/>
      <c r="T160" s="1">
        <f>SUM(OSRRefT22_0x_0)</f>
        <v>198372.47999999998</v>
      </c>
      <c r="U160" s="1"/>
      <c r="V160" s="5">
        <f t="shared" si="39"/>
        <v>4.1934876684222501E-2</v>
      </c>
      <c r="W160" s="1"/>
      <c r="X160" s="1">
        <f t="shared" si="40"/>
        <v>-44418.359999999957</v>
      </c>
      <c r="Y160" s="1"/>
      <c r="Z160" s="5">
        <f t="shared" si="41"/>
        <v>-0.22391392193110637</v>
      </c>
    </row>
    <row r="161" spans="1:26" s="24" customFormat="1" hidden="1" outlineLevel="2" x14ac:dyDescent="0.25">
      <c r="A161" s="28"/>
      <c r="B161" s="11" t="str">
        <f>CONCATENATE("          ", "6111", " - ", "F.I.C.A.")</f>
        <v xml:space="preserve">          6111 - F.I.C.A.</v>
      </c>
      <c r="C161" s="11"/>
      <c r="D161" s="7">
        <v>12116.03</v>
      </c>
      <c r="E161" s="2"/>
      <c r="F161" s="6">
        <f t="shared" si="34"/>
        <v>3.2665921359226809E-2</v>
      </c>
      <c r="G161" s="2"/>
      <c r="H161" s="7">
        <v>9398.49</v>
      </c>
      <c r="I161" s="2"/>
      <c r="J161" s="6">
        <f t="shared" si="35"/>
        <v>6.3161818755864425E-3</v>
      </c>
      <c r="K161" s="2"/>
      <c r="L161" s="7">
        <f t="shared" si="36"/>
        <v>2717.5400000000009</v>
      </c>
      <c r="M161" s="2"/>
      <c r="N161" s="6">
        <f t="shared" si="37"/>
        <v>0.28914644799324157</v>
      </c>
      <c r="O161" s="11"/>
      <c r="P161" s="7">
        <v>31956.52</v>
      </c>
      <c r="Q161" s="2"/>
      <c r="R161" s="6">
        <f t="shared" si="38"/>
        <v>1.4548918257088355E-2</v>
      </c>
      <c r="S161" s="2"/>
      <c r="T161" s="7">
        <v>39143.65</v>
      </c>
      <c r="U161" s="2"/>
      <c r="V161" s="6">
        <f t="shared" si="39"/>
        <v>8.2747573439640749E-3</v>
      </c>
      <c r="W161" s="2"/>
      <c r="X161" s="7">
        <f t="shared" si="40"/>
        <v>-7187.130000000001</v>
      </c>
      <c r="Y161" s="2"/>
      <c r="Z161" s="6">
        <f t="shared" si="41"/>
        <v>-0.18360909112972348</v>
      </c>
    </row>
    <row r="162" spans="1:26" s="24" customFormat="1" hidden="1" outlineLevel="2" x14ac:dyDescent="0.25">
      <c r="A162" s="28"/>
      <c r="B162" s="11" t="str">
        <f>CONCATENATE("          ", "6112", " - ", "COMPENSATION INSURANCE")</f>
        <v xml:space="preserve">          6112 - COMPENSATION INSURANCE</v>
      </c>
      <c r="C162" s="11"/>
      <c r="D162" s="7">
        <v>4233.78</v>
      </c>
      <c r="E162" s="2"/>
      <c r="F162" s="6">
        <f t="shared" si="34"/>
        <v>1.1414656825071187E-2</v>
      </c>
      <c r="G162" s="2"/>
      <c r="H162" s="7">
        <v>4454.33</v>
      </c>
      <c r="I162" s="2"/>
      <c r="J162" s="6">
        <f t="shared" si="35"/>
        <v>2.9934977229194222E-3</v>
      </c>
      <c r="K162" s="2"/>
      <c r="L162" s="7">
        <f t="shared" si="36"/>
        <v>-220.55000000000018</v>
      </c>
      <c r="M162" s="2"/>
      <c r="N162" s="6">
        <f t="shared" si="37"/>
        <v>-4.9513619332200394E-2</v>
      </c>
      <c r="O162" s="11"/>
      <c r="P162" s="7">
        <v>8711.15</v>
      </c>
      <c r="Q162" s="2"/>
      <c r="R162" s="6">
        <f t="shared" si="38"/>
        <v>3.9659452679839738E-3</v>
      </c>
      <c r="S162" s="2"/>
      <c r="T162" s="7">
        <v>10820.29</v>
      </c>
      <c r="U162" s="2"/>
      <c r="V162" s="6">
        <f t="shared" si="39"/>
        <v>2.2873511831758416E-3</v>
      </c>
      <c r="W162" s="2"/>
      <c r="X162" s="7">
        <f t="shared" si="40"/>
        <v>-2109.1400000000012</v>
      </c>
      <c r="Y162" s="2"/>
      <c r="Z162" s="6">
        <f t="shared" si="41"/>
        <v>-0.19492453529434065</v>
      </c>
    </row>
    <row r="163" spans="1:26" s="24" customFormat="1" hidden="1" outlineLevel="2" x14ac:dyDescent="0.25">
      <c r="A163" s="28"/>
      <c r="B163" s="11" t="str">
        <f>CONCATENATE("          ", "6113", " - ", "GROUP INSURANCE")</f>
        <v xml:space="preserve">          6113 - GROUP INSURANCE</v>
      </c>
      <c r="C163" s="11"/>
      <c r="D163" s="7">
        <v>17485.86</v>
      </c>
      <c r="E163" s="2"/>
      <c r="F163" s="6">
        <f t="shared" si="34"/>
        <v>4.7143472544921863E-2</v>
      </c>
      <c r="G163" s="2"/>
      <c r="H163" s="7">
        <v>25413.72</v>
      </c>
      <c r="I163" s="2"/>
      <c r="J163" s="6">
        <f t="shared" si="35"/>
        <v>1.7079092243033583E-2</v>
      </c>
      <c r="K163" s="2"/>
      <c r="L163" s="7">
        <f t="shared" si="36"/>
        <v>-7927.8600000000006</v>
      </c>
      <c r="M163" s="2"/>
      <c r="N163" s="6">
        <f t="shared" si="37"/>
        <v>-0.31195196925125485</v>
      </c>
      <c r="O163" s="11"/>
      <c r="P163" s="7">
        <v>53815.44</v>
      </c>
      <c r="Q163" s="2"/>
      <c r="R163" s="6">
        <f t="shared" si="38"/>
        <v>2.4500678970339793E-2</v>
      </c>
      <c r="S163" s="2"/>
      <c r="T163" s="7">
        <v>76166.259999999995</v>
      </c>
      <c r="U163" s="2"/>
      <c r="V163" s="6">
        <f t="shared" si="39"/>
        <v>1.6101138225415285E-2</v>
      </c>
      <c r="W163" s="2"/>
      <c r="X163" s="7">
        <f t="shared" si="40"/>
        <v>-22350.819999999992</v>
      </c>
      <c r="Y163" s="2"/>
      <c r="Z163" s="6">
        <f t="shared" si="41"/>
        <v>-0.29344778120915999</v>
      </c>
    </row>
    <row r="164" spans="1:26" s="24" customFormat="1" hidden="1" outlineLevel="2" x14ac:dyDescent="0.25">
      <c r="A164" s="28"/>
      <c r="B164" s="11" t="str">
        <f>CONCATENATE("          ", "6114", " - ", "STATE UNEMPLOYMENT INSURANCE")</f>
        <v xml:space="preserve">          6114 - STATE UNEMPLOYMENT INSURANCE</v>
      </c>
      <c r="C164" s="11"/>
      <c r="D164" s="7">
        <v>510.55</v>
      </c>
      <c r="E164" s="2"/>
      <c r="F164" s="6">
        <f t="shared" si="34"/>
        <v>1.3764893409766439E-3</v>
      </c>
      <c r="G164" s="2"/>
      <c r="H164" s="7">
        <v>714.9</v>
      </c>
      <c r="I164" s="2"/>
      <c r="J164" s="6">
        <f t="shared" si="35"/>
        <v>4.804429672060882E-4</v>
      </c>
      <c r="K164" s="2"/>
      <c r="L164" s="7">
        <f t="shared" si="36"/>
        <v>-204.34999999999997</v>
      </c>
      <c r="M164" s="2"/>
      <c r="N164" s="6">
        <f t="shared" si="37"/>
        <v>-0.28584417401035106</v>
      </c>
      <c r="O164" s="11"/>
      <c r="P164" s="7">
        <v>1205.6600000000001</v>
      </c>
      <c r="Q164" s="2"/>
      <c r="R164" s="6">
        <f t="shared" si="38"/>
        <v>5.4890359732039497E-4</v>
      </c>
      <c r="S164" s="2"/>
      <c r="T164" s="7">
        <v>1731.07</v>
      </c>
      <c r="U164" s="2"/>
      <c r="V164" s="6">
        <f t="shared" si="39"/>
        <v>3.6593889929569391E-4</v>
      </c>
      <c r="W164" s="2"/>
      <c r="X164" s="7">
        <f t="shared" si="40"/>
        <v>-525.40999999999985</v>
      </c>
      <c r="Y164" s="2"/>
      <c r="Z164" s="6">
        <f t="shared" si="41"/>
        <v>-0.30351747762944298</v>
      </c>
    </row>
    <row r="165" spans="1:26" s="24" customFormat="1" hidden="1" outlineLevel="2" x14ac:dyDescent="0.25">
      <c r="A165" s="28"/>
      <c r="B165" s="11" t="str">
        <f>CONCATENATE("          ", "6115", " - ", "P.E.R.S.")</f>
        <v xml:space="preserve">          6115 - P.E.R.S.</v>
      </c>
      <c r="C165" s="11"/>
      <c r="D165" s="7">
        <v>6866.1</v>
      </c>
      <c r="E165" s="2"/>
      <c r="F165" s="6">
        <f t="shared" si="34"/>
        <v>1.8511631503436949E-2</v>
      </c>
      <c r="G165" s="2"/>
      <c r="H165" s="7">
        <v>7882.69</v>
      </c>
      <c r="I165" s="2"/>
      <c r="J165" s="6">
        <f t="shared" si="35"/>
        <v>5.2975003121636024E-3</v>
      </c>
      <c r="K165" s="2"/>
      <c r="L165" s="7">
        <f t="shared" si="36"/>
        <v>-1016.5899999999992</v>
      </c>
      <c r="M165" s="2"/>
      <c r="N165" s="6">
        <f t="shared" si="37"/>
        <v>-0.12896485844299335</v>
      </c>
      <c r="O165" s="11"/>
      <c r="P165" s="7">
        <v>23978.12</v>
      </c>
      <c r="Q165" s="2"/>
      <c r="R165" s="6">
        <f t="shared" si="38"/>
        <v>1.0916573764560579E-2</v>
      </c>
      <c r="S165" s="2"/>
      <c r="T165" s="7">
        <v>23183.66</v>
      </c>
      <c r="U165" s="2"/>
      <c r="V165" s="6">
        <f t="shared" si="39"/>
        <v>4.9009011894640929E-3</v>
      </c>
      <c r="W165" s="2"/>
      <c r="X165" s="7">
        <f t="shared" si="40"/>
        <v>794.45999999999913</v>
      </c>
      <c r="Y165" s="2"/>
      <c r="Z165" s="6">
        <f t="shared" si="41"/>
        <v>3.4268100895199424E-2</v>
      </c>
    </row>
    <row r="166" spans="1:26" s="24" customFormat="1" hidden="1" outlineLevel="2" x14ac:dyDescent="0.25">
      <c r="A166" s="28"/>
      <c r="B166" s="11" t="str">
        <f>CONCATENATE("          ", "6116", " - ", "EDUCATIONAL BENEFITS")</f>
        <v xml:space="preserve">          6116 - EDUCATIONAL BENEFITS</v>
      </c>
      <c r="C166" s="11"/>
      <c r="D166" s="7"/>
      <c r="E166" s="2"/>
      <c r="F166" s="6">
        <f t="shared" si="34"/>
        <v>0</v>
      </c>
      <c r="G166" s="2"/>
      <c r="H166" s="7"/>
      <c r="I166" s="2"/>
      <c r="J166" s="6">
        <f t="shared" si="35"/>
        <v>0</v>
      </c>
      <c r="K166" s="2"/>
      <c r="L166" s="7">
        <f t="shared" si="36"/>
        <v>0</v>
      </c>
      <c r="M166" s="2"/>
      <c r="N166" s="6">
        <f t="shared" si="37"/>
        <v>0</v>
      </c>
      <c r="O166" s="11"/>
      <c r="P166" s="7">
        <v>0</v>
      </c>
      <c r="Q166" s="2"/>
      <c r="R166" s="6">
        <f t="shared" si="38"/>
        <v>0</v>
      </c>
      <c r="S166" s="2"/>
      <c r="T166" s="7"/>
      <c r="U166" s="2"/>
      <c r="V166" s="6">
        <f t="shared" si="39"/>
        <v>0</v>
      </c>
      <c r="W166" s="2"/>
      <c r="X166" s="7">
        <f t="shared" si="40"/>
        <v>0</v>
      </c>
      <c r="Y166" s="2"/>
      <c r="Z166" s="6">
        <f t="shared" si="41"/>
        <v>0</v>
      </c>
    </row>
    <row r="167" spans="1:26" s="24" customFormat="1" hidden="1" outlineLevel="2" x14ac:dyDescent="0.25">
      <c r="A167" s="28"/>
      <c r="B167" s="11" t="str">
        <f>CONCATENATE("          ", "6117", " - ", "RETIREMENT STAFF HOURLY")</f>
        <v xml:space="preserve">          6117 - RETIREMENT STAFF HOURLY</v>
      </c>
      <c r="C167" s="11"/>
      <c r="D167" s="7">
        <v>248.98</v>
      </c>
      <c r="E167" s="2"/>
      <c r="F167" s="6">
        <f t="shared" si="34"/>
        <v>6.7127277664550929E-4</v>
      </c>
      <c r="G167" s="2"/>
      <c r="H167" s="7">
        <v>145.97</v>
      </c>
      <c r="I167" s="2"/>
      <c r="J167" s="6">
        <f t="shared" si="35"/>
        <v>9.8097999612634901E-5</v>
      </c>
      <c r="K167" s="2"/>
      <c r="L167" s="7">
        <f t="shared" si="36"/>
        <v>103.00999999999999</v>
      </c>
      <c r="M167" s="2"/>
      <c r="N167" s="6">
        <f t="shared" si="37"/>
        <v>0.70569295060628889</v>
      </c>
      <c r="O167" s="11"/>
      <c r="P167" s="7">
        <v>837.77</v>
      </c>
      <c r="Q167" s="2"/>
      <c r="R167" s="6">
        <f t="shared" si="38"/>
        <v>3.8141347206269367E-4</v>
      </c>
      <c r="S167" s="2"/>
      <c r="T167" s="7">
        <v>461.34</v>
      </c>
      <c r="U167" s="2"/>
      <c r="V167" s="6">
        <f t="shared" si="39"/>
        <v>9.7524797842418512E-5</v>
      </c>
      <c r="W167" s="2"/>
      <c r="X167" s="7">
        <f t="shared" si="40"/>
        <v>376.43</v>
      </c>
      <c r="Y167" s="2"/>
      <c r="Z167" s="6">
        <f t="shared" si="41"/>
        <v>0.81594919148567224</v>
      </c>
    </row>
    <row r="168" spans="1:26" s="24" customFormat="1" hidden="1" outlineLevel="2" x14ac:dyDescent="0.25">
      <c r="A168" s="28"/>
      <c r="B168" s="11" t="str">
        <f>CONCATENATE("          ", "6118", " - ", "VACATION")</f>
        <v xml:space="preserve">          6118 - VACATION</v>
      </c>
      <c r="C168" s="11"/>
      <c r="D168" s="7">
        <v>5351.69</v>
      </c>
      <c r="E168" s="2"/>
      <c r="F168" s="6">
        <f t="shared" si="34"/>
        <v>1.4428644092079708E-2</v>
      </c>
      <c r="G168" s="2"/>
      <c r="H168" s="7">
        <v>6482.44</v>
      </c>
      <c r="I168" s="2"/>
      <c r="J168" s="6">
        <f t="shared" si="35"/>
        <v>4.3564732246963687E-3</v>
      </c>
      <c r="K168" s="2"/>
      <c r="L168" s="7">
        <f t="shared" si="36"/>
        <v>-1130.75</v>
      </c>
      <c r="M168" s="2"/>
      <c r="N168" s="6">
        <f t="shared" si="37"/>
        <v>-0.17443277531299944</v>
      </c>
      <c r="O168" s="11"/>
      <c r="P168" s="7">
        <v>16522.009999999998</v>
      </c>
      <c r="Q168" s="2"/>
      <c r="R168" s="6">
        <f t="shared" si="38"/>
        <v>7.5220134399113662E-3</v>
      </c>
      <c r="S168" s="2"/>
      <c r="T168" s="7">
        <v>20945.05</v>
      </c>
      <c r="U168" s="2"/>
      <c r="V168" s="6">
        <f t="shared" si="39"/>
        <v>4.4276710604962671E-3</v>
      </c>
      <c r="W168" s="2"/>
      <c r="X168" s="7">
        <f t="shared" si="40"/>
        <v>-4423.0400000000009</v>
      </c>
      <c r="Y168" s="2"/>
      <c r="Z168" s="6">
        <f t="shared" si="41"/>
        <v>-0.21117352309973006</v>
      </c>
    </row>
    <row r="169" spans="1:26" s="24" customFormat="1" hidden="1" outlineLevel="2" x14ac:dyDescent="0.25">
      <c r="A169" s="28"/>
      <c r="B169" s="11" t="str">
        <f>CONCATENATE("          ", "6119", " - ", "SICK LEAVE")</f>
        <v xml:space="preserve">          6119 - SICK LEAVE</v>
      </c>
      <c r="C169" s="11"/>
      <c r="D169" s="7">
        <v>3971.91</v>
      </c>
      <c r="E169" s="2"/>
      <c r="F169" s="6">
        <f t="shared" si="34"/>
        <v>1.07086314333925E-2</v>
      </c>
      <c r="G169" s="2"/>
      <c r="H169" s="7">
        <v>4907.63</v>
      </c>
      <c r="I169" s="2"/>
      <c r="J169" s="6">
        <f t="shared" si="35"/>
        <v>3.2981344511814445E-3</v>
      </c>
      <c r="K169" s="2"/>
      <c r="L169" s="7">
        <f t="shared" si="36"/>
        <v>-935.72000000000025</v>
      </c>
      <c r="M169" s="2"/>
      <c r="N169" s="6">
        <f t="shared" si="37"/>
        <v>-0.19066637052915567</v>
      </c>
      <c r="O169" s="11"/>
      <c r="P169" s="7">
        <v>12028.36</v>
      </c>
      <c r="Q169" s="2"/>
      <c r="R169" s="6">
        <f t="shared" si="38"/>
        <v>5.4761790835432429E-3</v>
      </c>
      <c r="S169" s="2"/>
      <c r="T169" s="7">
        <v>18270.54</v>
      </c>
      <c r="U169" s="2"/>
      <c r="V169" s="6">
        <f t="shared" si="39"/>
        <v>3.8622940130312164E-3</v>
      </c>
      <c r="W169" s="2"/>
      <c r="X169" s="7">
        <f t="shared" si="40"/>
        <v>-6242.18</v>
      </c>
      <c r="Y169" s="2"/>
      <c r="Z169" s="6">
        <f t="shared" si="41"/>
        <v>-0.34165273713858485</v>
      </c>
    </row>
    <row r="170" spans="1:26" s="24" customFormat="1" hidden="1" outlineLevel="2" x14ac:dyDescent="0.25">
      <c r="A170" s="28"/>
      <c r="B170" s="11" t="str">
        <f>CONCATENATE("          ", "6156", " - ", "EMPLOYEE MEALS")</f>
        <v xml:space="preserve">          6156 - EMPLOYEE MEALS</v>
      </c>
      <c r="C170" s="11"/>
      <c r="D170" s="7">
        <v>2118.21</v>
      </c>
      <c r="E170" s="2"/>
      <c r="F170" s="6">
        <f t="shared" si="34"/>
        <v>5.7108872528648259E-3</v>
      </c>
      <c r="G170" s="2"/>
      <c r="H170" s="7">
        <v>2838.59</v>
      </c>
      <c r="I170" s="2"/>
      <c r="J170" s="6">
        <f t="shared" si="35"/>
        <v>1.9076522622486082E-3</v>
      </c>
      <c r="K170" s="2"/>
      <c r="L170" s="7">
        <f t="shared" si="36"/>
        <v>-720.38000000000011</v>
      </c>
      <c r="M170" s="2"/>
      <c r="N170" s="6">
        <f t="shared" si="37"/>
        <v>-0.2537809264458763</v>
      </c>
      <c r="O170" s="11"/>
      <c r="P170" s="7">
        <v>4899.09</v>
      </c>
      <c r="Q170" s="2"/>
      <c r="R170" s="6">
        <f t="shared" si="38"/>
        <v>2.2304199563694354E-3</v>
      </c>
      <c r="S170" s="2"/>
      <c r="T170" s="7">
        <v>7650.62</v>
      </c>
      <c r="U170" s="2"/>
      <c r="V170" s="6">
        <f t="shared" si="39"/>
        <v>1.6172999715376164E-3</v>
      </c>
      <c r="W170" s="2"/>
      <c r="X170" s="7">
        <f t="shared" si="40"/>
        <v>-2751.5299999999997</v>
      </c>
      <c r="Y170" s="2"/>
      <c r="Z170" s="6">
        <f t="shared" si="41"/>
        <v>-0.35964797624244832</v>
      </c>
    </row>
    <row r="171" spans="1:26" s="27" customFormat="1" outlineLevel="1" collapsed="1" x14ac:dyDescent="0.25">
      <c r="A171" s="29"/>
      <c r="B171" s="14" t="str">
        <f>CONCATENATE("     ","*Payroll                                          ")</f>
        <v xml:space="preserve">     *Payroll                                          </v>
      </c>
      <c r="C171" s="14"/>
      <c r="D171" s="1">
        <f>SUM(OSRRefD22_1x_0)</f>
        <v>131236.80000000002</v>
      </c>
      <c r="E171" s="1"/>
      <c r="F171" s="5">
        <f t="shared" ref="F171:F178" si="42">IF(D$12=0,0,D171/D$12)</f>
        <v>0.35382637615098156</v>
      </c>
      <c r="G171" s="1"/>
      <c r="H171" s="1">
        <f>SUM(OSRRefH22_1x_0)</f>
        <v>233760.81</v>
      </c>
      <c r="I171" s="1"/>
      <c r="J171" s="5">
        <f t="shared" ref="J171:J178" si="43">IF(H$12=0,0,H171/H$12)</f>
        <v>0.15709712851153812</v>
      </c>
      <c r="K171" s="1"/>
      <c r="L171" s="1">
        <f t="shared" ref="L171:L178" si="44">+D171-H171</f>
        <v>-102524.00999999998</v>
      </c>
      <c r="M171" s="1"/>
      <c r="N171" s="5">
        <f t="shared" ref="N171:N178" si="45">IF(H171=0,0,L171/H171)</f>
        <v>-0.43858510757213742</v>
      </c>
      <c r="O171" s="14"/>
      <c r="P171" s="1">
        <f>SUM(OSRRefP22_1x_0)</f>
        <v>433201.06</v>
      </c>
      <c r="Q171" s="1"/>
      <c r="R171" s="5">
        <f t="shared" ref="R171:R178" si="46">IF(P$12=0,0,P171/P$12)</f>
        <v>0.19722444154820451</v>
      </c>
      <c r="S171" s="1"/>
      <c r="T171" s="1">
        <f>SUM(OSRRefT22_1x_0)</f>
        <v>707836.35</v>
      </c>
      <c r="U171" s="1"/>
      <c r="V171" s="5">
        <f t="shared" ref="V171:V178" si="47">IF(T$12=0,0,T171/T$12)</f>
        <v>0.14963280213999522</v>
      </c>
      <c r="W171" s="1"/>
      <c r="X171" s="1">
        <f t="shared" ref="X171:X178" si="48">+P171-T171</f>
        <v>-274635.28999999998</v>
      </c>
      <c r="Y171" s="1"/>
      <c r="Z171" s="5">
        <f t="shared" ref="Z171:Z178" si="49">IF(T171=0,0,X171/T171)</f>
        <v>-0.38799263417313901</v>
      </c>
    </row>
    <row r="172" spans="1:26" s="24" customFormat="1" hidden="1" outlineLevel="2" x14ac:dyDescent="0.25">
      <c r="A172" s="28"/>
      <c r="B172" s="11" t="str">
        <f>CONCATENATE("          ", "6001", " - ", "ADMINISTRATIVE SALARIES")</f>
        <v xml:space="preserve">          6001 - ADMINISTRATIVE SALARIES</v>
      </c>
      <c r="C172" s="11"/>
      <c r="D172" s="7">
        <v>4205.74</v>
      </c>
      <c r="E172" s="2"/>
      <c r="F172" s="6">
        <f t="shared" si="42"/>
        <v>1.1339058428986602E-2</v>
      </c>
      <c r="G172" s="2"/>
      <c r="H172" s="7">
        <v>10717.14</v>
      </c>
      <c r="I172" s="2"/>
      <c r="J172" s="6">
        <f t="shared" si="43"/>
        <v>7.2023703197133249E-3</v>
      </c>
      <c r="K172" s="2"/>
      <c r="L172" s="7">
        <f t="shared" si="44"/>
        <v>-6511.4</v>
      </c>
      <c r="M172" s="2"/>
      <c r="N172" s="6">
        <f t="shared" si="45"/>
        <v>-0.60756881033559329</v>
      </c>
      <c r="O172" s="11"/>
      <c r="P172" s="7">
        <v>12937.33</v>
      </c>
      <c r="Q172" s="2"/>
      <c r="R172" s="6">
        <f t="shared" si="46"/>
        <v>5.890007943135764E-3</v>
      </c>
      <c r="S172" s="2"/>
      <c r="T172" s="7">
        <v>33758.700000000004</v>
      </c>
      <c r="U172" s="2"/>
      <c r="V172" s="6">
        <f t="shared" si="47"/>
        <v>7.1364078400374007E-3</v>
      </c>
      <c r="W172" s="2"/>
      <c r="X172" s="7">
        <f t="shared" si="48"/>
        <v>-20821.370000000003</v>
      </c>
      <c r="Y172" s="2"/>
      <c r="Z172" s="6">
        <f t="shared" si="49"/>
        <v>-0.61677049175471799</v>
      </c>
    </row>
    <row r="173" spans="1:26" s="24" customFormat="1" hidden="1" outlineLevel="2" x14ac:dyDescent="0.25">
      <c r="A173" s="28"/>
      <c r="B173" s="11" t="str">
        <f>CONCATENATE("          ", "6002", " - ", "STAFF SALARIES")</f>
        <v xml:space="preserve">          6002 - STAFF SALARIES</v>
      </c>
      <c r="C173" s="11"/>
      <c r="D173" s="7">
        <v>62783.420000000006</v>
      </c>
      <c r="E173" s="2"/>
      <c r="F173" s="6">
        <f t="shared" si="42"/>
        <v>0.16926982356294162</v>
      </c>
      <c r="G173" s="2"/>
      <c r="H173" s="7">
        <v>75431.069999999992</v>
      </c>
      <c r="I173" s="2"/>
      <c r="J173" s="6">
        <f t="shared" si="43"/>
        <v>5.0692862065086219E-2</v>
      </c>
      <c r="K173" s="2"/>
      <c r="L173" s="7">
        <f t="shared" si="44"/>
        <v>-12647.649999999987</v>
      </c>
      <c r="M173" s="2"/>
      <c r="N173" s="6">
        <f t="shared" si="45"/>
        <v>-0.16767162390776094</v>
      </c>
      <c r="O173" s="11"/>
      <c r="P173" s="7">
        <v>202274.27000000002</v>
      </c>
      <c r="Q173" s="2"/>
      <c r="R173" s="6">
        <f t="shared" si="46"/>
        <v>9.2089871479817564E-2</v>
      </c>
      <c r="S173" s="2"/>
      <c r="T173" s="7">
        <v>231093.85</v>
      </c>
      <c r="U173" s="2"/>
      <c r="V173" s="6">
        <f t="shared" si="47"/>
        <v>4.8851998534434886E-2</v>
      </c>
      <c r="W173" s="2"/>
      <c r="X173" s="7">
        <f t="shared" si="48"/>
        <v>-28819.579999999987</v>
      </c>
      <c r="Y173" s="2"/>
      <c r="Z173" s="6">
        <f t="shared" si="49"/>
        <v>-0.12470942000403726</v>
      </c>
    </row>
    <row r="174" spans="1:26" s="24" customFormat="1" hidden="1" outlineLevel="2" x14ac:dyDescent="0.25">
      <c r="A174" s="28"/>
      <c r="B174" s="11" t="str">
        <f>CONCATENATE("          ", "6004", " - ", "STAFF HOURLY")</f>
        <v xml:space="preserve">          6004 - STAFF HOURLY</v>
      </c>
      <c r="C174" s="11"/>
      <c r="D174" s="7">
        <v>15888.169999999998</v>
      </c>
      <c r="E174" s="2"/>
      <c r="F174" s="6">
        <f t="shared" si="42"/>
        <v>4.2835954661884008E-2</v>
      </c>
      <c r="G174" s="2"/>
      <c r="H174" s="7">
        <v>1265.96</v>
      </c>
      <c r="I174" s="2"/>
      <c r="J174" s="6">
        <f t="shared" si="43"/>
        <v>8.5077854072488376E-4</v>
      </c>
      <c r="K174" s="2"/>
      <c r="L174" s="7">
        <f t="shared" si="44"/>
        <v>14622.21</v>
      </c>
      <c r="M174" s="2"/>
      <c r="N174" s="6">
        <f t="shared" si="45"/>
        <v>11.550293848146859</v>
      </c>
      <c r="O174" s="11"/>
      <c r="P174" s="7">
        <v>45478.049999999996</v>
      </c>
      <c r="Q174" s="2"/>
      <c r="R174" s="6">
        <f t="shared" si="46"/>
        <v>2.0704896275995539E-2</v>
      </c>
      <c r="S174" s="2"/>
      <c r="T174" s="7">
        <v>6356.85</v>
      </c>
      <c r="U174" s="2"/>
      <c r="V174" s="6">
        <f t="shared" si="47"/>
        <v>1.343803943218837E-3</v>
      </c>
      <c r="W174" s="2"/>
      <c r="X174" s="7">
        <f t="shared" si="48"/>
        <v>39121.199999999997</v>
      </c>
      <c r="Y174" s="2"/>
      <c r="Z174" s="6">
        <f t="shared" si="49"/>
        <v>6.1541801363883044</v>
      </c>
    </row>
    <row r="175" spans="1:26" s="24" customFormat="1" hidden="1" outlineLevel="2" x14ac:dyDescent="0.25">
      <c r="A175" s="28"/>
      <c r="B175" s="11" t="str">
        <f>CONCATENATE("          ", "6005", " - ", "TEMPORARY WAGES-HOURLY")</f>
        <v xml:space="preserve">          6005 - TEMPORARY WAGES-HOURLY</v>
      </c>
      <c r="C175" s="11"/>
      <c r="D175" s="7">
        <v>27625.56</v>
      </c>
      <c r="E175" s="2"/>
      <c r="F175" s="6">
        <f t="shared" si="42"/>
        <v>7.4481028064853072E-2</v>
      </c>
      <c r="G175" s="2"/>
      <c r="H175" s="7">
        <v>23643.53</v>
      </c>
      <c r="I175" s="2"/>
      <c r="J175" s="6">
        <f t="shared" si="43"/>
        <v>1.5889449864912801E-2</v>
      </c>
      <c r="K175" s="2"/>
      <c r="L175" s="7">
        <f t="shared" si="44"/>
        <v>3982.0300000000025</v>
      </c>
      <c r="M175" s="2"/>
      <c r="N175" s="6">
        <f t="shared" si="45"/>
        <v>0.16841943652238064</v>
      </c>
      <c r="O175" s="11"/>
      <c r="P175" s="7">
        <v>62516.600000000006</v>
      </c>
      <c r="Q175" s="2"/>
      <c r="R175" s="6">
        <f t="shared" si="46"/>
        <v>2.8462076068079063E-2</v>
      </c>
      <c r="S175" s="2"/>
      <c r="T175" s="7">
        <v>67207.079999999987</v>
      </c>
      <c r="U175" s="2"/>
      <c r="V175" s="6">
        <f t="shared" si="47"/>
        <v>1.4207215699005609E-2</v>
      </c>
      <c r="W175" s="2"/>
      <c r="X175" s="7">
        <f t="shared" si="48"/>
        <v>-4690.4799999999814</v>
      </c>
      <c r="Y175" s="2"/>
      <c r="Z175" s="6">
        <f t="shared" si="49"/>
        <v>-6.9791456495357077E-2</v>
      </c>
    </row>
    <row r="176" spans="1:26" s="24" customFormat="1" hidden="1" outlineLevel="2" x14ac:dyDescent="0.25">
      <c r="A176" s="28"/>
      <c r="B176" s="11" t="str">
        <f>CONCATENATE("          ", "6006", " - ", "TEMPORARY PART TIME")</f>
        <v xml:space="preserve">          6006 - TEMPORARY PART TIME</v>
      </c>
      <c r="C176" s="11"/>
      <c r="D176" s="7">
        <v>1728.86</v>
      </c>
      <c r="E176" s="2"/>
      <c r="F176" s="6">
        <f t="shared" si="42"/>
        <v>4.6611641602994427E-3</v>
      </c>
      <c r="G176" s="2"/>
      <c r="H176" s="7">
        <v>8104.73</v>
      </c>
      <c r="I176" s="2"/>
      <c r="J176" s="6">
        <f t="shared" si="43"/>
        <v>5.4467205617627626E-3</v>
      </c>
      <c r="K176" s="2"/>
      <c r="L176" s="7">
        <f t="shared" si="44"/>
        <v>-6375.87</v>
      </c>
      <c r="M176" s="2"/>
      <c r="N176" s="6">
        <f t="shared" si="45"/>
        <v>-0.78668505921850573</v>
      </c>
      <c r="O176" s="11"/>
      <c r="P176" s="7">
        <v>5704.41</v>
      </c>
      <c r="Q176" s="2"/>
      <c r="R176" s="6">
        <f t="shared" si="46"/>
        <v>2.5970598424020319E-3</v>
      </c>
      <c r="S176" s="2"/>
      <c r="T176" s="7">
        <v>17559.98</v>
      </c>
      <c r="U176" s="2"/>
      <c r="V176" s="6">
        <f t="shared" si="47"/>
        <v>3.712085445911719E-3</v>
      </c>
      <c r="W176" s="2"/>
      <c r="X176" s="7">
        <f t="shared" si="48"/>
        <v>-11855.57</v>
      </c>
      <c r="Y176" s="2"/>
      <c r="Z176" s="6">
        <f t="shared" si="49"/>
        <v>-0.67514712431335344</v>
      </c>
    </row>
    <row r="177" spans="1:26" s="24" customFormat="1" hidden="1" outlineLevel="2" x14ac:dyDescent="0.25">
      <c r="A177" s="28"/>
      <c r="B177" s="11" t="str">
        <f>CONCATENATE("          ", "6007", " - ", "STUDENT HOURLY")</f>
        <v xml:space="preserve">          6007 - STUDENT HOURLY</v>
      </c>
      <c r="C177" s="11"/>
      <c r="D177" s="7">
        <v>17949.38</v>
      </c>
      <c r="E177" s="2"/>
      <c r="F177" s="6">
        <f t="shared" si="42"/>
        <v>4.8393164718713841E-2</v>
      </c>
      <c r="G177" s="2"/>
      <c r="H177" s="7">
        <v>111140.13</v>
      </c>
      <c r="I177" s="2"/>
      <c r="J177" s="6">
        <f t="shared" si="43"/>
        <v>7.4690857228801769E-2</v>
      </c>
      <c r="K177" s="2"/>
      <c r="L177" s="7">
        <f t="shared" si="44"/>
        <v>-93190.75</v>
      </c>
      <c r="M177" s="2"/>
      <c r="N177" s="6">
        <f t="shared" si="45"/>
        <v>-0.83849775954014083</v>
      </c>
      <c r="O177" s="11"/>
      <c r="P177" s="7">
        <v>102801.7</v>
      </c>
      <c r="Q177" s="2"/>
      <c r="R177" s="6">
        <f t="shared" si="46"/>
        <v>4.6802766070577144E-2</v>
      </c>
      <c r="S177" s="2"/>
      <c r="T177" s="7">
        <v>342948.1</v>
      </c>
      <c r="U177" s="2"/>
      <c r="V177" s="6">
        <f t="shared" si="47"/>
        <v>7.2497386142414549E-2</v>
      </c>
      <c r="W177" s="2"/>
      <c r="X177" s="7">
        <f t="shared" si="48"/>
        <v>-240146.39999999997</v>
      </c>
      <c r="Y177" s="2"/>
      <c r="Z177" s="6">
        <f t="shared" si="49"/>
        <v>-0.7002412318365373</v>
      </c>
    </row>
    <row r="178" spans="1:26" s="24" customFormat="1" hidden="1" outlineLevel="2" x14ac:dyDescent="0.25">
      <c r="A178" s="28"/>
      <c r="B178" s="11" t="str">
        <f>CONCATENATE("          ", "6008", " - ", "STUDENT HOURLY-FICA EXEMPT")</f>
        <v xml:space="preserve">          6008 - STUDENT HOURLY-FICA EXEMPT</v>
      </c>
      <c r="C178" s="11"/>
      <c r="D178" s="7">
        <v>1055.67</v>
      </c>
      <c r="E178" s="2"/>
      <c r="F178" s="6">
        <f t="shared" si="42"/>
        <v>2.8461825533029356E-3</v>
      </c>
      <c r="G178" s="2"/>
      <c r="H178" s="7">
        <v>3458.25</v>
      </c>
      <c r="I178" s="2"/>
      <c r="J178" s="6">
        <f t="shared" si="43"/>
        <v>2.3240899305363751E-3</v>
      </c>
      <c r="K178" s="2"/>
      <c r="L178" s="7">
        <f t="shared" si="44"/>
        <v>-2402.58</v>
      </c>
      <c r="M178" s="2"/>
      <c r="N178" s="6">
        <f t="shared" si="45"/>
        <v>-0.69473866840164822</v>
      </c>
      <c r="O178" s="11"/>
      <c r="P178" s="7">
        <v>1488.7</v>
      </c>
      <c r="Q178" s="2"/>
      <c r="R178" s="6">
        <f t="shared" si="46"/>
        <v>6.7776386819739555E-4</v>
      </c>
      <c r="S178" s="2"/>
      <c r="T178" s="7">
        <v>8911.7900000000009</v>
      </c>
      <c r="U178" s="2"/>
      <c r="V178" s="6">
        <f t="shared" si="47"/>
        <v>1.8839045349722267E-3</v>
      </c>
      <c r="W178" s="2"/>
      <c r="X178" s="7">
        <f t="shared" si="48"/>
        <v>-7423.0900000000011</v>
      </c>
      <c r="Y178" s="2"/>
      <c r="Z178" s="6">
        <f t="shared" si="49"/>
        <v>-0.83295162924620081</v>
      </c>
    </row>
    <row r="179" spans="1:26" s="27" customFormat="1" outlineLevel="1" collapsed="1" x14ac:dyDescent="0.25">
      <c r="A179" s="29"/>
      <c r="B179" s="14" t="str">
        <f>CONCATENATE("     ","Advertising/Promo                                 ")</f>
        <v xml:space="preserve">     Advertising/Promo                                 </v>
      </c>
      <c r="C179" s="14"/>
      <c r="D179" s="1">
        <f>SUM(OSRRefD22_2x_0)</f>
        <v>391.39</v>
      </c>
      <c r="E179" s="1"/>
      <c r="F179" s="5">
        <f t="shared" ref="F179:F187" si="50">IF(D$12=0,0,D179/D$12)</f>
        <v>1.0552231185287407E-3</v>
      </c>
      <c r="G179" s="1"/>
      <c r="H179" s="1">
        <f>SUM(OSRRefH22_2x_0)</f>
        <v>-156.31</v>
      </c>
      <c r="I179" s="1"/>
      <c r="J179" s="5">
        <f t="shared" ref="J179:J187" si="51">IF(H$12=0,0,H179/H$12)</f>
        <v>-1.0504691593787054E-4</v>
      </c>
      <c r="K179" s="1"/>
      <c r="L179" s="1">
        <f t="shared" ref="L179:L187" si="52">+D179-H179</f>
        <v>547.70000000000005</v>
      </c>
      <c r="M179" s="1"/>
      <c r="N179" s="5">
        <f t="shared" ref="N179:N187" si="53">IF(H179=0,0,L179/H179)</f>
        <v>-3.5039344891561641</v>
      </c>
      <c r="O179" s="14"/>
      <c r="P179" s="1">
        <f>SUM(OSRRefP22_2x_0)</f>
        <v>12393.59</v>
      </c>
      <c r="Q179" s="1"/>
      <c r="R179" s="5">
        <f t="shared" ref="R179:R187" si="54">IF(P$12=0,0,P179/P$12)</f>
        <v>5.6424581844915431E-3</v>
      </c>
      <c r="S179" s="1"/>
      <c r="T179" s="1">
        <f>SUM(OSRRefT22_2x_0)</f>
        <v>7626.2</v>
      </c>
      <c r="U179" s="1"/>
      <c r="V179" s="5">
        <f t="shared" ref="V179:V187" si="55">IF(T$12=0,0,T179/T$12)</f>
        <v>1.6121377147133398E-3</v>
      </c>
      <c r="W179" s="1"/>
      <c r="X179" s="1">
        <f t="shared" ref="X179:X187" si="56">+P179-T179</f>
        <v>4767.3900000000003</v>
      </c>
      <c r="Y179" s="1"/>
      <c r="Z179" s="5">
        <f t="shared" ref="Z179:Z187" si="57">IF(T179=0,0,X179/T179)</f>
        <v>0.6251330938081876</v>
      </c>
    </row>
    <row r="180" spans="1:26" s="24" customFormat="1" hidden="1" outlineLevel="2" x14ac:dyDescent="0.25">
      <c r="A180" s="28"/>
      <c r="B180" s="11" t="str">
        <f>CONCATENATE("          ", "6362", " - ", "ADVERTISING EXPENSE")</f>
        <v xml:space="preserve">          6362 - ADVERTISING EXPENSE</v>
      </c>
      <c r="C180" s="11"/>
      <c r="D180" s="7">
        <v>391.39</v>
      </c>
      <c r="E180" s="2"/>
      <c r="F180" s="6">
        <f t="shared" si="50"/>
        <v>1.0552231185287407E-3</v>
      </c>
      <c r="G180" s="2"/>
      <c r="H180" s="7">
        <v>-156.31</v>
      </c>
      <c r="I180" s="2"/>
      <c r="J180" s="6">
        <f t="shared" si="51"/>
        <v>-1.0504691593787054E-4</v>
      </c>
      <c r="K180" s="2"/>
      <c r="L180" s="7">
        <f t="shared" si="52"/>
        <v>547.70000000000005</v>
      </c>
      <c r="M180" s="2"/>
      <c r="N180" s="6">
        <f t="shared" si="53"/>
        <v>-3.5039344891561641</v>
      </c>
      <c r="O180" s="11"/>
      <c r="P180" s="7">
        <v>12393.59</v>
      </c>
      <c r="Q180" s="2"/>
      <c r="R180" s="6">
        <f t="shared" si="54"/>
        <v>5.6424581844915431E-3</v>
      </c>
      <c r="S180" s="2"/>
      <c r="T180" s="7">
        <v>7626.2</v>
      </c>
      <c r="U180" s="2"/>
      <c r="V180" s="6">
        <f t="shared" si="55"/>
        <v>1.6121377147133398E-3</v>
      </c>
      <c r="W180" s="2"/>
      <c r="X180" s="7">
        <f t="shared" si="56"/>
        <v>4767.3900000000003</v>
      </c>
      <c r="Y180" s="2"/>
      <c r="Z180" s="6">
        <f t="shared" si="57"/>
        <v>0.6251330938081876</v>
      </c>
    </row>
    <row r="181" spans="1:26" s="27" customFormat="1" outlineLevel="1" collapsed="1" x14ac:dyDescent="0.25">
      <c r="A181" s="29"/>
      <c r="B181" s="14" t="str">
        <f>CONCATENATE("     ","Bad Debts/Over/Short                              ")</f>
        <v xml:space="preserve">     Bad Debts/Over/Short                              </v>
      </c>
      <c r="C181" s="14"/>
      <c r="D181" s="1">
        <f>SUM(OSRRefD22_3x_0)</f>
        <v>7.78</v>
      </c>
      <c r="E181" s="1"/>
      <c r="F181" s="5">
        <f t="shared" si="50"/>
        <v>2.0975589213198097E-5</v>
      </c>
      <c r="G181" s="1"/>
      <c r="H181" s="1">
        <f>SUM(OSRRefH22_3x_0)</f>
        <v>-212.14</v>
      </c>
      <c r="I181" s="1"/>
      <c r="J181" s="5">
        <f t="shared" si="51"/>
        <v>-1.4256703184095613E-4</v>
      </c>
      <c r="K181" s="1"/>
      <c r="L181" s="1">
        <f t="shared" si="52"/>
        <v>219.92</v>
      </c>
      <c r="M181" s="1"/>
      <c r="N181" s="5">
        <f t="shared" si="53"/>
        <v>-1.036673894597907</v>
      </c>
      <c r="O181" s="14"/>
      <c r="P181" s="1">
        <f>SUM(OSRRefP22_3x_0)</f>
        <v>83.32</v>
      </c>
      <c r="Q181" s="1"/>
      <c r="R181" s="5">
        <f t="shared" si="54"/>
        <v>3.7933287766646731E-5</v>
      </c>
      <c r="S181" s="1"/>
      <c r="T181" s="1">
        <f>SUM(OSRRefT22_3x_0)</f>
        <v>-301.99</v>
      </c>
      <c r="U181" s="1"/>
      <c r="V181" s="5">
        <f t="shared" si="55"/>
        <v>-6.3839063815043076E-5</v>
      </c>
      <c r="W181" s="1"/>
      <c r="X181" s="1">
        <f t="shared" si="56"/>
        <v>385.31</v>
      </c>
      <c r="Y181" s="1"/>
      <c r="Z181" s="5">
        <f t="shared" si="57"/>
        <v>-1.2759031756018411</v>
      </c>
    </row>
    <row r="182" spans="1:26" s="24" customFormat="1" hidden="1" outlineLevel="2" x14ac:dyDescent="0.25">
      <c r="A182" s="28"/>
      <c r="B182" s="11" t="str">
        <f>CONCATENATE("          ", "6272", " - ", "CASH (OVER/SHORT)")</f>
        <v xml:space="preserve">          6272 - CASH (OVER/SHORT)</v>
      </c>
      <c r="C182" s="11"/>
      <c r="D182" s="7">
        <v>7.78</v>
      </c>
      <c r="E182" s="2"/>
      <c r="F182" s="6">
        <f t="shared" si="50"/>
        <v>2.0975589213198097E-5</v>
      </c>
      <c r="G182" s="2"/>
      <c r="H182" s="7">
        <v>-212.14</v>
      </c>
      <c r="I182" s="2"/>
      <c r="J182" s="6">
        <f t="shared" si="51"/>
        <v>-1.4256703184095613E-4</v>
      </c>
      <c r="K182" s="2"/>
      <c r="L182" s="7">
        <f t="shared" si="52"/>
        <v>219.92</v>
      </c>
      <c r="M182" s="2"/>
      <c r="N182" s="6">
        <f t="shared" si="53"/>
        <v>-1.036673894597907</v>
      </c>
      <c r="O182" s="11"/>
      <c r="P182" s="7">
        <v>83.32</v>
      </c>
      <c r="Q182" s="2"/>
      <c r="R182" s="6">
        <f t="shared" si="54"/>
        <v>3.7933287766646731E-5</v>
      </c>
      <c r="S182" s="2"/>
      <c r="T182" s="7">
        <v>-301.99</v>
      </c>
      <c r="U182" s="2"/>
      <c r="V182" s="6">
        <f t="shared" si="55"/>
        <v>-6.3839063815043076E-5</v>
      </c>
      <c r="W182" s="2"/>
      <c r="X182" s="7">
        <f t="shared" si="56"/>
        <v>385.31</v>
      </c>
      <c r="Y182" s="2"/>
      <c r="Z182" s="6">
        <f t="shared" si="57"/>
        <v>-1.2759031756018411</v>
      </c>
    </row>
    <row r="183" spans="1:26" s="27" customFormat="1" outlineLevel="1" collapsed="1" x14ac:dyDescent="0.25">
      <c r="A183" s="29"/>
      <c r="B183" s="14" t="str">
        <f>CONCATENATE("     ","Bank/card Fees                                    ")</f>
        <v xml:space="preserve">     Bank/card Fees                                    </v>
      </c>
      <c r="C183" s="14"/>
      <c r="D183" s="1">
        <f>SUM(OSRRefD22_4x_0)</f>
        <v>9160.4</v>
      </c>
      <c r="E183" s="1"/>
      <c r="F183" s="5">
        <f t="shared" si="50"/>
        <v>2.469727344840358E-2</v>
      </c>
      <c r="G183" s="1"/>
      <c r="H183" s="1">
        <f>SUM(OSRRefH22_4x_0)</f>
        <v>34694.480000000003</v>
      </c>
      <c r="I183" s="1"/>
      <c r="J183" s="5">
        <f t="shared" si="51"/>
        <v>2.3316154590673217E-2</v>
      </c>
      <c r="K183" s="1"/>
      <c r="L183" s="1">
        <f t="shared" si="52"/>
        <v>-25534.080000000002</v>
      </c>
      <c r="M183" s="1"/>
      <c r="N183" s="5">
        <f t="shared" si="53"/>
        <v>-0.73596952598799581</v>
      </c>
      <c r="O183" s="14"/>
      <c r="P183" s="1">
        <f>SUM(OSRRefP22_4x_0)</f>
        <v>34477.950000000004</v>
      </c>
      <c r="Q183" s="1"/>
      <c r="R183" s="5">
        <f t="shared" si="54"/>
        <v>1.5696855484326189E-2</v>
      </c>
      <c r="S183" s="1"/>
      <c r="T183" s="1">
        <f>SUM(OSRRefT22_4x_0)</f>
        <v>80117.11</v>
      </c>
      <c r="U183" s="1"/>
      <c r="V183" s="5">
        <f t="shared" si="55"/>
        <v>1.6936326692826999E-2</v>
      </c>
      <c r="W183" s="1"/>
      <c r="X183" s="1">
        <f t="shared" si="56"/>
        <v>-45639.159999999996</v>
      </c>
      <c r="Y183" s="1"/>
      <c r="Z183" s="5">
        <f t="shared" si="57"/>
        <v>-0.56965559541526145</v>
      </c>
    </row>
    <row r="184" spans="1:26" s="24" customFormat="1" hidden="1" outlineLevel="2" x14ac:dyDescent="0.25">
      <c r="A184" s="28"/>
      <c r="B184" s="11" t="str">
        <f>CONCATENATE("          ", "6381", " - ", "BANK/CREDIT CARD FEES")</f>
        <v xml:space="preserve">          6381 - BANK/CREDIT CARD FEES</v>
      </c>
      <c r="C184" s="11"/>
      <c r="D184" s="7">
        <v>9160.4</v>
      </c>
      <c r="E184" s="2"/>
      <c r="F184" s="6">
        <f t="shared" si="50"/>
        <v>2.469727344840358E-2</v>
      </c>
      <c r="G184" s="2"/>
      <c r="H184" s="7">
        <v>34694.480000000003</v>
      </c>
      <c r="I184" s="2"/>
      <c r="J184" s="6">
        <f t="shared" si="51"/>
        <v>2.3316154590673217E-2</v>
      </c>
      <c r="K184" s="2"/>
      <c r="L184" s="7">
        <f t="shared" si="52"/>
        <v>-25534.080000000002</v>
      </c>
      <c r="M184" s="2"/>
      <c r="N184" s="6">
        <f t="shared" si="53"/>
        <v>-0.73596952598799581</v>
      </c>
      <c r="O184" s="11"/>
      <c r="P184" s="7">
        <v>34477.950000000004</v>
      </c>
      <c r="Q184" s="2"/>
      <c r="R184" s="6">
        <f t="shared" si="54"/>
        <v>1.5696855484326189E-2</v>
      </c>
      <c r="S184" s="2"/>
      <c r="T184" s="7">
        <v>80117.11</v>
      </c>
      <c r="U184" s="2"/>
      <c r="V184" s="6">
        <f t="shared" si="55"/>
        <v>1.6936326692826999E-2</v>
      </c>
      <c r="W184" s="2"/>
      <c r="X184" s="7">
        <f t="shared" si="56"/>
        <v>-45639.159999999996</v>
      </c>
      <c r="Y184" s="2"/>
      <c r="Z184" s="6">
        <f t="shared" si="57"/>
        <v>-0.56965559541526145</v>
      </c>
    </row>
    <row r="185" spans="1:26" s="27" customFormat="1" outlineLevel="1" collapsed="1" x14ac:dyDescent="0.25">
      <c r="A185" s="29"/>
      <c r="B185" s="14" t="str">
        <f>CONCATENATE("     ","Depreciation                                      ")</f>
        <v xml:space="preserve">     Depreciation                                      </v>
      </c>
      <c r="C185" s="14"/>
      <c r="D185" s="1">
        <f>SUM(OSRRefD22_5x_0)</f>
        <v>40330.31</v>
      </c>
      <c r="E185" s="1"/>
      <c r="F185" s="5">
        <f t="shared" si="50"/>
        <v>0.10873419221091714</v>
      </c>
      <c r="G185" s="1"/>
      <c r="H185" s="1">
        <f>SUM(OSRRefH22_5x_0)</f>
        <v>38010.910000000003</v>
      </c>
      <c r="I185" s="1"/>
      <c r="J185" s="5">
        <f t="shared" si="51"/>
        <v>2.5544935496717824E-2</v>
      </c>
      <c r="K185" s="1"/>
      <c r="L185" s="1">
        <f t="shared" si="52"/>
        <v>2319.3999999999942</v>
      </c>
      <c r="M185" s="1"/>
      <c r="N185" s="5">
        <f t="shared" si="53"/>
        <v>6.1019323136436196E-2</v>
      </c>
      <c r="O185" s="14"/>
      <c r="P185" s="1">
        <f>SUM(OSRRefP22_5x_0)</f>
        <v>120029.22</v>
      </c>
      <c r="Q185" s="1"/>
      <c r="R185" s="5">
        <f t="shared" si="54"/>
        <v>5.4645978668580772E-2</v>
      </c>
      <c r="S185" s="1"/>
      <c r="T185" s="1">
        <f>SUM(OSRRefT22_5x_0)</f>
        <v>114032.73000000001</v>
      </c>
      <c r="U185" s="1"/>
      <c r="V185" s="5">
        <f t="shared" si="55"/>
        <v>2.410590657794489E-2</v>
      </c>
      <c r="W185" s="1"/>
      <c r="X185" s="1">
        <f t="shared" si="56"/>
        <v>5996.4899999999907</v>
      </c>
      <c r="Y185" s="1"/>
      <c r="Z185" s="5">
        <f t="shared" si="57"/>
        <v>5.2585691844788687E-2</v>
      </c>
    </row>
    <row r="186" spans="1:26" s="24" customFormat="1" hidden="1" outlineLevel="2" x14ac:dyDescent="0.25">
      <c r="A186" s="28"/>
      <c r="B186" s="11" t="str">
        <f>CONCATENATE("          ", "6321", " - ", "BUILDING DEPRECIATION")</f>
        <v xml:space="preserve">          6321 - BUILDING DEPRECIATION</v>
      </c>
      <c r="C186" s="11"/>
      <c r="D186" s="7">
        <v>21477.030000000002</v>
      </c>
      <c r="E186" s="2"/>
      <c r="F186" s="6">
        <f t="shared" si="50"/>
        <v>5.7904030694027248E-2</v>
      </c>
      <c r="G186" s="2"/>
      <c r="H186" s="7">
        <v>21477.030000000002</v>
      </c>
      <c r="I186" s="2"/>
      <c r="J186" s="6">
        <f t="shared" si="51"/>
        <v>1.4433470443382534E-2</v>
      </c>
      <c r="K186" s="2"/>
      <c r="L186" s="7">
        <f t="shared" si="52"/>
        <v>0</v>
      </c>
      <c r="M186" s="2"/>
      <c r="N186" s="6">
        <f t="shared" si="53"/>
        <v>0</v>
      </c>
      <c r="O186" s="11"/>
      <c r="P186" s="7">
        <v>64431.090000000004</v>
      </c>
      <c r="Q186" s="2"/>
      <c r="R186" s="6">
        <f t="shared" si="54"/>
        <v>2.9333690327516985E-2</v>
      </c>
      <c r="S186" s="2"/>
      <c r="T186" s="7">
        <v>64431.090000000004</v>
      </c>
      <c r="U186" s="2"/>
      <c r="V186" s="6">
        <f t="shared" si="55"/>
        <v>1.3620386324655729E-2</v>
      </c>
      <c r="W186" s="2"/>
      <c r="X186" s="7">
        <f t="shared" si="56"/>
        <v>0</v>
      </c>
      <c r="Y186" s="2"/>
      <c r="Z186" s="6">
        <f t="shared" si="57"/>
        <v>0</v>
      </c>
    </row>
    <row r="187" spans="1:26" s="24" customFormat="1" hidden="1" outlineLevel="2" x14ac:dyDescent="0.25">
      <c r="A187" s="28"/>
      <c r="B187" s="11" t="str">
        <f>CONCATENATE("          ", "6322", " - ", "EQUIPMENT DEPRECIATION EXPENSE")</f>
        <v xml:space="preserve">          6322 - EQUIPMENT DEPRECIATION EXPENSE</v>
      </c>
      <c r="C187" s="11"/>
      <c r="D187" s="7">
        <v>18853.28</v>
      </c>
      <c r="E187" s="2"/>
      <c r="F187" s="6">
        <f t="shared" si="50"/>
        <v>5.0830161516889898E-2</v>
      </c>
      <c r="G187" s="2"/>
      <c r="H187" s="7">
        <v>16533.88</v>
      </c>
      <c r="I187" s="2"/>
      <c r="J187" s="6">
        <f t="shared" si="51"/>
        <v>1.1111465053335288E-2</v>
      </c>
      <c r="K187" s="2"/>
      <c r="L187" s="7">
        <f t="shared" si="52"/>
        <v>2319.3999999999978</v>
      </c>
      <c r="M187" s="2"/>
      <c r="N187" s="6">
        <f t="shared" si="53"/>
        <v>0.14028165197763609</v>
      </c>
      <c r="O187" s="11"/>
      <c r="P187" s="7">
        <v>55598.13</v>
      </c>
      <c r="Q187" s="2"/>
      <c r="R187" s="6">
        <f t="shared" si="54"/>
        <v>2.5312288341063787E-2</v>
      </c>
      <c r="S187" s="2"/>
      <c r="T187" s="7">
        <v>49601.64</v>
      </c>
      <c r="U187" s="2"/>
      <c r="V187" s="6">
        <f t="shared" si="55"/>
        <v>1.0485520253289159E-2</v>
      </c>
      <c r="W187" s="2"/>
      <c r="X187" s="7">
        <f t="shared" si="56"/>
        <v>5996.489999999998</v>
      </c>
      <c r="Y187" s="2"/>
      <c r="Z187" s="6">
        <f t="shared" si="57"/>
        <v>0.12089297853861279</v>
      </c>
    </row>
    <row r="188" spans="1:26" s="27" customFormat="1" outlineLevel="1" collapsed="1" x14ac:dyDescent="0.25">
      <c r="A188" s="29"/>
      <c r="B188" s="14" t="str">
        <f>CONCATENATE("     ","Discounts and Markdowns                           ")</f>
        <v xml:space="preserve">     Discounts and Markdowns                           </v>
      </c>
      <c r="C188" s="14"/>
      <c r="D188" s="1">
        <f>SUM(OSRRefD22_6x_0)</f>
        <v>830.95</v>
      </c>
      <c r="E188" s="1"/>
      <c r="F188" s="5">
        <f t="shared" ref="F188:F190" si="58">IF(D$12=0,0,D188/D$12)</f>
        <v>2.2403169481628486E-3</v>
      </c>
      <c r="G188" s="1"/>
      <c r="H188" s="1">
        <f>SUM(OSRRefH22_6x_0)</f>
        <v>4957.1399999999994</v>
      </c>
      <c r="I188" s="1"/>
      <c r="J188" s="5">
        <f t="shared" ref="J188:J190" si="59">IF(H$12=0,0,H188/H$12)</f>
        <v>3.3314072603944436E-3</v>
      </c>
      <c r="K188" s="1"/>
      <c r="L188" s="1">
        <f t="shared" ref="L188:L190" si="60">+D188-H188</f>
        <v>-4126.1899999999996</v>
      </c>
      <c r="M188" s="1"/>
      <c r="N188" s="5">
        <f t="shared" ref="N188:N190" si="61">IF(H188=0,0,L188/H188)</f>
        <v>-0.83237310223233563</v>
      </c>
      <c r="O188" s="14"/>
      <c r="P188" s="1">
        <f>SUM(OSRRefP22_6x_0)</f>
        <v>830.95</v>
      </c>
      <c r="Q188" s="1"/>
      <c r="R188" s="5">
        <f t="shared" ref="R188:R190" si="62">IF(P$12=0,0,P188/P$12)</f>
        <v>3.7830851499874108E-4</v>
      </c>
      <c r="S188" s="1"/>
      <c r="T188" s="1">
        <f>SUM(OSRRefT22_6x_0)</f>
        <v>64060.639999999999</v>
      </c>
      <c r="U188" s="1"/>
      <c r="V188" s="5">
        <f t="shared" ref="V188:V190" si="63">IF(T$12=0,0,T188/T$12)</f>
        <v>1.3542075184583929E-2</v>
      </c>
      <c r="W188" s="1"/>
      <c r="X188" s="1">
        <f t="shared" ref="X188:X190" si="64">+P188-T188</f>
        <v>-63229.69</v>
      </c>
      <c r="Y188" s="1"/>
      <c r="Z188" s="5">
        <f t="shared" ref="Z188:Z190" si="65">IF(T188=0,0,X188/T188)</f>
        <v>-0.98702869656000947</v>
      </c>
    </row>
    <row r="189" spans="1:26" s="24" customFormat="1" hidden="1" outlineLevel="2" x14ac:dyDescent="0.25">
      <c r="A189" s="28"/>
      <c r="B189" s="11" t="str">
        <f>CONCATENATE("          ", "6382", " - ", "DISCOUNTS/MARK DOWNS")</f>
        <v xml:space="preserve">          6382 - DISCOUNTS/MARK DOWNS</v>
      </c>
      <c r="C189" s="11"/>
      <c r="D189" s="7">
        <v>830.95</v>
      </c>
      <c r="E189" s="2"/>
      <c r="F189" s="6">
        <f t="shared" si="58"/>
        <v>2.2403169481628486E-3</v>
      </c>
      <c r="G189" s="2"/>
      <c r="H189" s="7">
        <v>5355.44</v>
      </c>
      <c r="I189" s="2"/>
      <c r="J189" s="6">
        <f t="shared" si="59"/>
        <v>3.5990816677775534E-3</v>
      </c>
      <c r="K189" s="2"/>
      <c r="L189" s="7">
        <f t="shared" si="60"/>
        <v>-4524.49</v>
      </c>
      <c r="M189" s="2"/>
      <c r="N189" s="6">
        <f t="shared" si="61"/>
        <v>-0.84484001314551183</v>
      </c>
      <c r="O189" s="11"/>
      <c r="P189" s="7">
        <v>830.95</v>
      </c>
      <c r="Q189" s="2"/>
      <c r="R189" s="6">
        <f t="shared" si="62"/>
        <v>3.7830851499874108E-4</v>
      </c>
      <c r="S189" s="2"/>
      <c r="T189" s="7">
        <v>65708.5</v>
      </c>
      <c r="U189" s="2"/>
      <c r="V189" s="6">
        <f t="shared" si="63"/>
        <v>1.3890423936854723E-2</v>
      </c>
      <c r="W189" s="2"/>
      <c r="X189" s="7">
        <f t="shared" si="64"/>
        <v>-64877.55</v>
      </c>
      <c r="Y189" s="2"/>
      <c r="Z189" s="6">
        <f t="shared" si="65"/>
        <v>-0.98735399529741208</v>
      </c>
    </row>
    <row r="190" spans="1:26" s="24" customFormat="1" hidden="1" outlineLevel="2" x14ac:dyDescent="0.25">
      <c r="A190" s="28"/>
      <c r="B190" s="11" t="str">
        <f>CONCATENATE("          ", "9175", " - ", "EARNED DISCOUNTS")</f>
        <v xml:space="preserve">          9175 - EARNED DISCOUNTS</v>
      </c>
      <c r="C190" s="11"/>
      <c r="D190" s="7"/>
      <c r="E190" s="2"/>
      <c r="F190" s="6">
        <f t="shared" si="58"/>
        <v>0</v>
      </c>
      <c r="G190" s="2"/>
      <c r="H190" s="7">
        <v>-398.3</v>
      </c>
      <c r="I190" s="2"/>
      <c r="J190" s="6">
        <f t="shared" si="59"/>
        <v>-2.6767440738310942E-4</v>
      </c>
      <c r="K190" s="2"/>
      <c r="L190" s="7">
        <f t="shared" si="60"/>
        <v>398.3</v>
      </c>
      <c r="M190" s="2"/>
      <c r="N190" s="6">
        <f t="shared" si="61"/>
        <v>-1</v>
      </c>
      <c r="O190" s="11"/>
      <c r="P190" s="7"/>
      <c r="Q190" s="2"/>
      <c r="R190" s="6">
        <f t="shared" si="62"/>
        <v>0</v>
      </c>
      <c r="S190" s="2"/>
      <c r="T190" s="7">
        <v>-1647.86</v>
      </c>
      <c r="U190" s="2"/>
      <c r="V190" s="6">
        <f t="shared" si="63"/>
        <v>-3.483487522707933E-4</v>
      </c>
      <c r="W190" s="2"/>
      <c r="X190" s="7">
        <f t="shared" si="64"/>
        <v>1647.86</v>
      </c>
      <c r="Y190" s="2"/>
      <c r="Z190" s="6">
        <f t="shared" si="65"/>
        <v>-1</v>
      </c>
    </row>
    <row r="191" spans="1:26" s="27" customFormat="1" outlineLevel="1" collapsed="1" x14ac:dyDescent="0.25">
      <c r="A191" s="29"/>
      <c r="B191" s="14" t="str">
        <f>CONCATENATE("     ","Donations                                         ")</f>
        <v xml:space="preserve">     Donations                                         </v>
      </c>
      <c r="C191" s="14"/>
      <c r="D191" s="1">
        <f>SUM(OSRRefD22_7x_0)</f>
        <v>0</v>
      </c>
      <c r="E191" s="1"/>
      <c r="F191" s="5">
        <f t="shared" ref="F191:F199" si="66">IF(D$12=0,0,D191/D$12)</f>
        <v>0</v>
      </c>
      <c r="G191" s="1"/>
      <c r="H191" s="1">
        <f>SUM(OSRRefH22_7x_0)</f>
        <v>1608.36</v>
      </c>
      <c r="I191" s="1"/>
      <c r="J191" s="5">
        <f t="shared" ref="J191:J199" si="67">IF(H$12=0,0,H191/H$12)</f>
        <v>1.0808857892510616E-3</v>
      </c>
      <c r="K191" s="1"/>
      <c r="L191" s="1">
        <f t="shared" ref="L191:L199" si="68">+D191-H191</f>
        <v>-1608.36</v>
      </c>
      <c r="M191" s="1"/>
      <c r="N191" s="5">
        <f t="shared" ref="N191:N199" si="69">IF(H191=0,0,L191/H191)</f>
        <v>-1</v>
      </c>
      <c r="O191" s="14"/>
      <c r="P191" s="1">
        <f>SUM(OSRRefP22_7x_0)</f>
        <v>0</v>
      </c>
      <c r="Q191" s="1"/>
      <c r="R191" s="5">
        <f t="shared" ref="R191:R199" si="70">IF(P$12=0,0,P191/P$12)</f>
        <v>0</v>
      </c>
      <c r="S191" s="1"/>
      <c r="T191" s="1">
        <f>SUM(OSRRefT22_7x_0)</f>
        <v>5225.34</v>
      </c>
      <c r="U191" s="1"/>
      <c r="V191" s="5">
        <f t="shared" ref="V191:V199" si="71">IF(T$12=0,0,T191/T$12)</f>
        <v>1.1046088072959276E-3</v>
      </c>
      <c r="W191" s="1"/>
      <c r="X191" s="1">
        <f t="shared" ref="X191:X199" si="72">+P191-T191</f>
        <v>-5225.34</v>
      </c>
      <c r="Y191" s="1"/>
      <c r="Z191" s="5">
        <f t="shared" ref="Z191:Z199" si="73">IF(T191=0,0,X191/T191)</f>
        <v>-1</v>
      </c>
    </row>
    <row r="192" spans="1:26" s="24" customFormat="1" hidden="1" outlineLevel="2" x14ac:dyDescent="0.25">
      <c r="A192" s="28"/>
      <c r="B192" s="11" t="str">
        <f>CONCATENATE("          ", "6399", " - ", "DONATION-ON CAMPUS")</f>
        <v xml:space="preserve">          6399 - DONATION-ON CAMPUS</v>
      </c>
      <c r="C192" s="11"/>
      <c r="D192" s="7"/>
      <c r="E192" s="2"/>
      <c r="F192" s="6">
        <f t="shared" si="66"/>
        <v>0</v>
      </c>
      <c r="G192" s="2"/>
      <c r="H192" s="7">
        <v>1608.36</v>
      </c>
      <c r="I192" s="2"/>
      <c r="J192" s="6">
        <f t="shared" si="67"/>
        <v>1.0808857892510616E-3</v>
      </c>
      <c r="K192" s="2"/>
      <c r="L192" s="7">
        <f t="shared" si="68"/>
        <v>-1608.36</v>
      </c>
      <c r="M192" s="2"/>
      <c r="N192" s="6">
        <f t="shared" si="69"/>
        <v>-1</v>
      </c>
      <c r="O192" s="11"/>
      <c r="P192" s="7"/>
      <c r="Q192" s="2"/>
      <c r="R192" s="6">
        <f t="shared" si="70"/>
        <v>0</v>
      </c>
      <c r="S192" s="2"/>
      <c r="T192" s="7">
        <v>5225.34</v>
      </c>
      <c r="U192" s="2"/>
      <c r="V192" s="6">
        <f t="shared" si="71"/>
        <v>1.1046088072959276E-3</v>
      </c>
      <c r="W192" s="2"/>
      <c r="X192" s="7">
        <f t="shared" si="72"/>
        <v>-5225.34</v>
      </c>
      <c r="Y192" s="2"/>
      <c r="Z192" s="6">
        <f t="shared" si="73"/>
        <v>-1</v>
      </c>
    </row>
    <row r="193" spans="1:26" s="27" customFormat="1" outlineLevel="1" collapsed="1" x14ac:dyDescent="0.25">
      <c r="A193" s="29"/>
      <c r="B193" s="14" t="str">
        <f>CONCATENATE("     ","Employees' Appreciation                           ")</f>
        <v xml:space="preserve">     Employees' Appreciation                           </v>
      </c>
      <c r="C193" s="14"/>
      <c r="D193" s="1">
        <f>SUM(OSRRefD22_8x_0)</f>
        <v>0</v>
      </c>
      <c r="E193" s="1"/>
      <c r="F193" s="5">
        <f t="shared" si="66"/>
        <v>0</v>
      </c>
      <c r="G193" s="1"/>
      <c r="H193" s="1">
        <f>SUM(OSRRefH22_8x_0)</f>
        <v>134.26</v>
      </c>
      <c r="I193" s="1"/>
      <c r="J193" s="5">
        <f t="shared" si="67"/>
        <v>9.022838547641544E-5</v>
      </c>
      <c r="K193" s="1"/>
      <c r="L193" s="1">
        <f t="shared" si="68"/>
        <v>-134.26</v>
      </c>
      <c r="M193" s="1"/>
      <c r="N193" s="5">
        <f t="shared" si="69"/>
        <v>-1</v>
      </c>
      <c r="O193" s="14"/>
      <c r="P193" s="1">
        <f>SUM(OSRRefP22_8x_0)</f>
        <v>107.7</v>
      </c>
      <c r="Q193" s="1"/>
      <c r="R193" s="5">
        <f t="shared" si="70"/>
        <v>4.903282636183214E-5</v>
      </c>
      <c r="S193" s="1"/>
      <c r="T193" s="1">
        <f>SUM(OSRRefT22_8x_0)</f>
        <v>585.13</v>
      </c>
      <c r="U193" s="1"/>
      <c r="V193" s="5">
        <f t="shared" si="71"/>
        <v>1.2369333888571194E-4</v>
      </c>
      <c r="W193" s="1"/>
      <c r="X193" s="1">
        <f t="shared" si="72"/>
        <v>-477.43</v>
      </c>
      <c r="Y193" s="1"/>
      <c r="Z193" s="5">
        <f t="shared" si="73"/>
        <v>-0.81593833848888286</v>
      </c>
    </row>
    <row r="194" spans="1:26" s="24" customFormat="1" hidden="1" outlineLevel="2" x14ac:dyDescent="0.25">
      <c r="A194" s="28"/>
      <c r="B194" s="11" t="str">
        <f>CONCATENATE("          ", "6277", " - ", "EMPLOYEE APPRECIATION")</f>
        <v xml:space="preserve">          6277 - EMPLOYEE APPRECIATION</v>
      </c>
      <c r="C194" s="11"/>
      <c r="D194" s="7"/>
      <c r="E194" s="2"/>
      <c r="F194" s="6">
        <f t="shared" si="66"/>
        <v>0</v>
      </c>
      <c r="G194" s="2"/>
      <c r="H194" s="7">
        <v>134.26</v>
      </c>
      <c r="I194" s="2"/>
      <c r="J194" s="6">
        <f t="shared" si="67"/>
        <v>9.022838547641544E-5</v>
      </c>
      <c r="K194" s="2"/>
      <c r="L194" s="7">
        <f t="shared" si="68"/>
        <v>-134.26</v>
      </c>
      <c r="M194" s="2"/>
      <c r="N194" s="6">
        <f t="shared" si="69"/>
        <v>-1</v>
      </c>
      <c r="O194" s="11"/>
      <c r="P194" s="7">
        <v>107.7</v>
      </c>
      <c r="Q194" s="2"/>
      <c r="R194" s="6">
        <f t="shared" si="70"/>
        <v>4.903282636183214E-5</v>
      </c>
      <c r="S194" s="2"/>
      <c r="T194" s="7">
        <v>585.13</v>
      </c>
      <c r="U194" s="2"/>
      <c r="V194" s="6">
        <f t="shared" si="71"/>
        <v>1.2369333888571194E-4</v>
      </c>
      <c r="W194" s="2"/>
      <c r="X194" s="7">
        <f t="shared" si="72"/>
        <v>-477.43</v>
      </c>
      <c r="Y194" s="2"/>
      <c r="Z194" s="6">
        <f t="shared" si="73"/>
        <v>-0.81593833848888286</v>
      </c>
    </row>
    <row r="195" spans="1:26" s="27" customFormat="1" outlineLevel="1" collapsed="1" x14ac:dyDescent="0.25">
      <c r="A195" s="29"/>
      <c r="B195" s="14" t="str">
        <f>CONCATENATE("     ","Equipment Rental                                  ")</f>
        <v xml:space="preserve">     Equipment Rental                                  </v>
      </c>
      <c r="C195" s="14"/>
      <c r="D195" s="1">
        <f>SUM(OSRRefD22_9x_0)</f>
        <v>1712.05</v>
      </c>
      <c r="E195" s="1"/>
      <c r="F195" s="5">
        <f t="shared" si="66"/>
        <v>4.6158428679249101E-3</v>
      </c>
      <c r="G195" s="1"/>
      <c r="H195" s="1">
        <f>SUM(OSRRefH22_9x_0)</f>
        <v>1353.59</v>
      </c>
      <c r="I195" s="1"/>
      <c r="J195" s="5">
        <f t="shared" si="67"/>
        <v>9.0966959851795893E-4</v>
      </c>
      <c r="K195" s="1"/>
      <c r="L195" s="1">
        <f t="shared" si="68"/>
        <v>358.46000000000004</v>
      </c>
      <c r="M195" s="1"/>
      <c r="N195" s="5">
        <f t="shared" si="69"/>
        <v>0.26482169637778064</v>
      </c>
      <c r="O195" s="14"/>
      <c r="P195" s="1">
        <f>SUM(OSRRefP22_9x_0)</f>
        <v>4488.37</v>
      </c>
      <c r="Q195" s="1"/>
      <c r="R195" s="5">
        <f t="shared" si="70"/>
        <v>2.0434305186411931E-3</v>
      </c>
      <c r="S195" s="1"/>
      <c r="T195" s="1">
        <f>SUM(OSRRefT22_9x_0)</f>
        <v>4239.91</v>
      </c>
      <c r="U195" s="1"/>
      <c r="V195" s="5">
        <f t="shared" si="71"/>
        <v>8.9629419868220552E-4</v>
      </c>
      <c r="W195" s="1"/>
      <c r="X195" s="1">
        <f t="shared" si="72"/>
        <v>248.46000000000004</v>
      </c>
      <c r="Y195" s="1"/>
      <c r="Z195" s="5">
        <f t="shared" si="73"/>
        <v>5.8600300478076198E-2</v>
      </c>
    </row>
    <row r="196" spans="1:26" s="24" customFormat="1" hidden="1" outlineLevel="2" x14ac:dyDescent="0.25">
      <c r="A196" s="28"/>
      <c r="B196" s="11" t="str">
        <f>CONCATENATE("          ", "6351", " - ", "EQUIPMENT RENTAL")</f>
        <v xml:space="preserve">          6351 - EQUIPMENT RENTAL</v>
      </c>
      <c r="C196" s="11"/>
      <c r="D196" s="7">
        <v>1712.05</v>
      </c>
      <c r="E196" s="2"/>
      <c r="F196" s="6">
        <f t="shared" si="66"/>
        <v>4.6158428679249101E-3</v>
      </c>
      <c r="G196" s="2"/>
      <c r="H196" s="7">
        <v>1353.59</v>
      </c>
      <c r="I196" s="2"/>
      <c r="J196" s="6">
        <f t="shared" si="67"/>
        <v>9.0966959851795893E-4</v>
      </c>
      <c r="K196" s="2"/>
      <c r="L196" s="7">
        <f t="shared" si="68"/>
        <v>358.46000000000004</v>
      </c>
      <c r="M196" s="2"/>
      <c r="N196" s="6">
        <f t="shared" si="69"/>
        <v>0.26482169637778064</v>
      </c>
      <c r="O196" s="11"/>
      <c r="P196" s="7">
        <v>4488.37</v>
      </c>
      <c r="Q196" s="2"/>
      <c r="R196" s="6">
        <f t="shared" si="70"/>
        <v>2.0434305186411931E-3</v>
      </c>
      <c r="S196" s="2"/>
      <c r="T196" s="7">
        <v>4239.91</v>
      </c>
      <c r="U196" s="2"/>
      <c r="V196" s="6">
        <f t="shared" si="71"/>
        <v>8.9629419868220552E-4</v>
      </c>
      <c r="W196" s="2"/>
      <c r="X196" s="7">
        <f t="shared" si="72"/>
        <v>248.46000000000004</v>
      </c>
      <c r="Y196" s="2"/>
      <c r="Z196" s="6">
        <f t="shared" si="73"/>
        <v>5.8600300478076198E-2</v>
      </c>
    </row>
    <row r="197" spans="1:26" s="27" customFormat="1" outlineLevel="1" collapsed="1" x14ac:dyDescent="0.25">
      <c r="A197" s="29"/>
      <c r="B197" s="14" t="str">
        <f>CONCATENATE("     ","Freight out/Postage                               ")</f>
        <v xml:space="preserve">     Freight out/Postage                               </v>
      </c>
      <c r="C197" s="14"/>
      <c r="D197" s="1">
        <f>SUM(OSRRefD22_10x_0)</f>
        <v>-5933.58</v>
      </c>
      <c r="E197" s="1"/>
      <c r="F197" s="5">
        <f t="shared" si="66"/>
        <v>-1.5997472576304368E-2</v>
      </c>
      <c r="G197" s="1"/>
      <c r="H197" s="1">
        <f>SUM(OSRRefH22_10x_0)</f>
        <v>9453.9</v>
      </c>
      <c r="I197" s="1"/>
      <c r="J197" s="5">
        <f t="shared" si="67"/>
        <v>6.3534197337664529E-3</v>
      </c>
      <c r="K197" s="1"/>
      <c r="L197" s="1">
        <f t="shared" si="68"/>
        <v>-15387.48</v>
      </c>
      <c r="M197" s="1"/>
      <c r="N197" s="5">
        <f t="shared" si="69"/>
        <v>-1.6276330403325612</v>
      </c>
      <c r="O197" s="14"/>
      <c r="P197" s="1">
        <f>SUM(OSRRefP22_10x_0)</f>
        <v>-80741.510000000009</v>
      </c>
      <c r="Q197" s="1"/>
      <c r="R197" s="5">
        <f t="shared" si="70"/>
        <v>-3.6759372702155374E-2</v>
      </c>
      <c r="S197" s="1"/>
      <c r="T197" s="1">
        <f>SUM(OSRRefT22_10x_0)</f>
        <v>-5565.2899999999991</v>
      </c>
      <c r="U197" s="1"/>
      <c r="V197" s="5">
        <f t="shared" si="71"/>
        <v>-1.1764724112030894E-3</v>
      </c>
      <c r="W197" s="1"/>
      <c r="X197" s="1">
        <f t="shared" si="72"/>
        <v>-75176.220000000016</v>
      </c>
      <c r="Y197" s="1"/>
      <c r="Z197" s="5">
        <f t="shared" si="73"/>
        <v>13.508050793399811</v>
      </c>
    </row>
    <row r="198" spans="1:26" s="24" customFormat="1" hidden="1" outlineLevel="2" x14ac:dyDescent="0.25">
      <c r="A198" s="28"/>
      <c r="B198" s="11" t="str">
        <f>CONCATENATE("          ", "6305", " - ", "FREIGHT OUT")</f>
        <v xml:space="preserve">          6305 - FREIGHT OUT</v>
      </c>
      <c r="C198" s="11"/>
      <c r="D198" s="7">
        <v>5334.51</v>
      </c>
      <c r="E198" s="2"/>
      <c r="F198" s="6">
        <f t="shared" si="66"/>
        <v>1.4382325245976529E-2</v>
      </c>
      <c r="G198" s="2"/>
      <c r="H198" s="7">
        <v>10682.34</v>
      </c>
      <c r="I198" s="2"/>
      <c r="J198" s="6">
        <f t="shared" si="67"/>
        <v>7.1789832512299404E-3</v>
      </c>
      <c r="K198" s="2"/>
      <c r="L198" s="7">
        <f t="shared" si="68"/>
        <v>-5347.83</v>
      </c>
      <c r="M198" s="2"/>
      <c r="N198" s="6">
        <f t="shared" si="69"/>
        <v>-0.50062345890507132</v>
      </c>
      <c r="O198" s="11"/>
      <c r="P198" s="7">
        <v>25668.06</v>
      </c>
      <c r="Q198" s="2"/>
      <c r="R198" s="6">
        <f t="shared" si="70"/>
        <v>1.1685956629759416E-2</v>
      </c>
      <c r="S198" s="2"/>
      <c r="T198" s="7">
        <v>15076.750000000002</v>
      </c>
      <c r="U198" s="2"/>
      <c r="V198" s="6">
        <f t="shared" si="71"/>
        <v>3.1871439629572195E-3</v>
      </c>
      <c r="W198" s="2"/>
      <c r="X198" s="7">
        <f t="shared" si="72"/>
        <v>10591.31</v>
      </c>
      <c r="Y198" s="2"/>
      <c r="Z198" s="6">
        <f t="shared" si="73"/>
        <v>0.70249291127066493</v>
      </c>
    </row>
    <row r="199" spans="1:26" s="24" customFormat="1" hidden="1" outlineLevel="2" x14ac:dyDescent="0.25">
      <c r="A199" s="28"/>
      <c r="B199" s="11" t="str">
        <f>CONCATENATE("          ", "6307", " - ", "POSTAGE")</f>
        <v xml:space="preserve">          6307 - POSTAGE</v>
      </c>
      <c r="C199" s="11"/>
      <c r="D199" s="7">
        <v>-11268.09</v>
      </c>
      <c r="E199" s="2"/>
      <c r="F199" s="6">
        <f t="shared" si="66"/>
        <v>-3.0379797822280896E-2</v>
      </c>
      <c r="G199" s="2"/>
      <c r="H199" s="7">
        <v>-1228.44</v>
      </c>
      <c r="I199" s="2"/>
      <c r="J199" s="6">
        <f t="shared" si="67"/>
        <v>-8.2556351746348718E-4</v>
      </c>
      <c r="K199" s="2"/>
      <c r="L199" s="7">
        <f t="shared" si="68"/>
        <v>-10039.65</v>
      </c>
      <c r="M199" s="2"/>
      <c r="N199" s="6">
        <f t="shared" si="69"/>
        <v>8.1726824264921358</v>
      </c>
      <c r="O199" s="11"/>
      <c r="P199" s="7">
        <v>-106409.57</v>
      </c>
      <c r="Q199" s="2"/>
      <c r="R199" s="6">
        <f t="shared" si="70"/>
        <v>-4.8445329331914783E-2</v>
      </c>
      <c r="S199" s="2"/>
      <c r="T199" s="7">
        <v>-20642.04</v>
      </c>
      <c r="U199" s="2"/>
      <c r="V199" s="6">
        <f t="shared" si="71"/>
        <v>-4.3636163741603094E-3</v>
      </c>
      <c r="W199" s="2"/>
      <c r="X199" s="7">
        <f t="shared" si="72"/>
        <v>-85767.53</v>
      </c>
      <c r="Y199" s="2"/>
      <c r="Z199" s="6">
        <f t="shared" si="73"/>
        <v>4.1549929173666937</v>
      </c>
    </row>
    <row r="200" spans="1:26" s="27" customFormat="1" outlineLevel="1" collapsed="1" x14ac:dyDescent="0.25">
      <c r="A200" s="29"/>
      <c r="B200" s="14" t="str">
        <f>CONCATENATE("     ","General                                           ")</f>
        <v xml:space="preserve">     General                                           </v>
      </c>
      <c r="C200" s="14"/>
      <c r="D200" s="1">
        <f>SUM(OSRRefD22_11x_0)</f>
        <v>0</v>
      </c>
      <c r="E200" s="1"/>
      <c r="F200" s="5">
        <f t="shared" ref="F200:F216" si="74">IF(D$12=0,0,D200/D$12)</f>
        <v>0</v>
      </c>
      <c r="G200" s="1"/>
      <c r="H200" s="1">
        <f>SUM(OSRRefH22_11x_0)</f>
        <v>-1155.18</v>
      </c>
      <c r="I200" s="1"/>
      <c r="J200" s="5">
        <f t="shared" ref="J200:J216" si="75">IF(H$12=0,0,H200/H$12)</f>
        <v>-7.7632970605277525E-4</v>
      </c>
      <c r="K200" s="1"/>
      <c r="L200" s="1">
        <f t="shared" ref="L200:L216" si="76">+D200-H200</f>
        <v>1155.18</v>
      </c>
      <c r="M200" s="1"/>
      <c r="N200" s="5">
        <f t="shared" ref="N200:N216" si="77">IF(H200=0,0,L200/H200)</f>
        <v>-1</v>
      </c>
      <c r="O200" s="14"/>
      <c r="P200" s="1">
        <f>SUM(OSRRefP22_11x_0)</f>
        <v>-1697.73</v>
      </c>
      <c r="Q200" s="1"/>
      <c r="R200" s="5">
        <f t="shared" ref="R200:R216" si="78">IF(P$12=0,0,P200/P$12)</f>
        <v>-7.7292943639065245E-4</v>
      </c>
      <c r="S200" s="1"/>
      <c r="T200" s="1">
        <f>SUM(OSRRefT22_11x_0)</f>
        <v>-10937.22</v>
      </c>
      <c r="U200" s="1"/>
      <c r="V200" s="5">
        <f t="shared" ref="V200:V216" si="79">IF(T$12=0,0,T200/T$12)</f>
        <v>-2.3120695570686624E-3</v>
      </c>
      <c r="W200" s="1"/>
      <c r="X200" s="1">
        <f t="shared" ref="X200:X216" si="80">+P200-T200</f>
        <v>9239.49</v>
      </c>
      <c r="Y200" s="1"/>
      <c r="Z200" s="5">
        <f t="shared" ref="Z200:Z216" si="81">IF(T200=0,0,X200/T200)</f>
        <v>-0.84477499766851172</v>
      </c>
    </row>
    <row r="201" spans="1:26" s="24" customFormat="1" hidden="1" outlineLevel="2" x14ac:dyDescent="0.25">
      <c r="A201" s="28"/>
      <c r="B201" s="11" t="str">
        <f>CONCATENATE("          ", "6279", " - ", "GENERAL EXPENSE")</f>
        <v xml:space="preserve">          6279 - GENERAL EXPENSE</v>
      </c>
      <c r="C201" s="11"/>
      <c r="D201" s="7"/>
      <c r="E201" s="2"/>
      <c r="F201" s="6">
        <f t="shared" si="74"/>
        <v>0</v>
      </c>
      <c r="G201" s="2"/>
      <c r="H201" s="7">
        <v>-1155.18</v>
      </c>
      <c r="I201" s="2"/>
      <c r="J201" s="6">
        <f t="shared" si="75"/>
        <v>-7.7632970605277525E-4</v>
      </c>
      <c r="K201" s="2"/>
      <c r="L201" s="7">
        <f t="shared" si="76"/>
        <v>1155.18</v>
      </c>
      <c r="M201" s="2"/>
      <c r="N201" s="6">
        <f t="shared" si="77"/>
        <v>-1</v>
      </c>
      <c r="O201" s="11"/>
      <c r="P201" s="7">
        <v>-1697.73</v>
      </c>
      <c r="Q201" s="2"/>
      <c r="R201" s="6">
        <f t="shared" si="78"/>
        <v>-7.7292943639065245E-4</v>
      </c>
      <c r="S201" s="2"/>
      <c r="T201" s="7">
        <v>-10937.22</v>
      </c>
      <c r="U201" s="2"/>
      <c r="V201" s="6">
        <f t="shared" si="79"/>
        <v>-2.3120695570686624E-3</v>
      </c>
      <c r="W201" s="2"/>
      <c r="X201" s="7">
        <f t="shared" si="80"/>
        <v>9239.49</v>
      </c>
      <c r="Y201" s="2"/>
      <c r="Z201" s="6">
        <f t="shared" si="81"/>
        <v>-0.84477499766851172</v>
      </c>
    </row>
    <row r="202" spans="1:26" s="27" customFormat="1" outlineLevel="1" collapsed="1" x14ac:dyDescent="0.25">
      <c r="A202" s="29"/>
      <c r="B202" s="14" t="str">
        <f>CONCATENATE("     ","Insurance                                         ")</f>
        <v xml:space="preserve">     Insurance                                         </v>
      </c>
      <c r="C202" s="14"/>
      <c r="D202" s="1">
        <f>SUM(OSRRefD22_12x_0)</f>
        <v>4288.28</v>
      </c>
      <c r="E202" s="1"/>
      <c r="F202" s="5">
        <f t="shared" si="74"/>
        <v>1.1561593793209915E-2</v>
      </c>
      <c r="G202" s="1"/>
      <c r="H202" s="1">
        <f>SUM(OSRRefH22_12x_0)</f>
        <v>4288.28</v>
      </c>
      <c r="I202" s="1"/>
      <c r="J202" s="5">
        <f t="shared" si="75"/>
        <v>2.8819051159749949E-3</v>
      </c>
      <c r="K202" s="1"/>
      <c r="L202" s="1">
        <f t="shared" si="76"/>
        <v>0</v>
      </c>
      <c r="M202" s="1"/>
      <c r="N202" s="5">
        <f t="shared" si="77"/>
        <v>0</v>
      </c>
      <c r="O202" s="14"/>
      <c r="P202" s="1">
        <f>SUM(OSRRefP22_12x_0)</f>
        <v>12864.84</v>
      </c>
      <c r="Q202" s="1"/>
      <c r="R202" s="5">
        <f t="shared" si="78"/>
        <v>5.8570052543431067E-3</v>
      </c>
      <c r="S202" s="1"/>
      <c r="T202" s="1">
        <f>SUM(OSRRefT22_12x_0)</f>
        <v>12864.84</v>
      </c>
      <c r="U202" s="1"/>
      <c r="V202" s="5">
        <f t="shared" si="79"/>
        <v>2.7195580705663058E-3</v>
      </c>
      <c r="W202" s="1"/>
      <c r="X202" s="1">
        <f t="shared" si="80"/>
        <v>0</v>
      </c>
      <c r="Y202" s="1"/>
      <c r="Z202" s="5">
        <f t="shared" si="81"/>
        <v>0</v>
      </c>
    </row>
    <row r="203" spans="1:26" s="24" customFormat="1" hidden="1" outlineLevel="2" x14ac:dyDescent="0.25">
      <c r="A203" s="28"/>
      <c r="B203" s="11" t="str">
        <f>CONCATENATE("          ", "6314", " - ", "LIABILITY INSURANCE")</f>
        <v xml:space="preserve">          6314 - LIABILITY INSURANCE</v>
      </c>
      <c r="C203" s="11"/>
      <c r="D203" s="7">
        <v>4288.28</v>
      </c>
      <c r="E203" s="2"/>
      <c r="F203" s="6">
        <f t="shared" si="74"/>
        <v>1.1561593793209915E-2</v>
      </c>
      <c r="G203" s="2"/>
      <c r="H203" s="7">
        <v>4288.28</v>
      </c>
      <c r="I203" s="2"/>
      <c r="J203" s="6">
        <f t="shared" si="75"/>
        <v>2.8819051159749949E-3</v>
      </c>
      <c r="K203" s="2"/>
      <c r="L203" s="7">
        <f t="shared" si="76"/>
        <v>0</v>
      </c>
      <c r="M203" s="2"/>
      <c r="N203" s="6">
        <f t="shared" si="77"/>
        <v>0</v>
      </c>
      <c r="O203" s="11"/>
      <c r="P203" s="7">
        <v>12864.84</v>
      </c>
      <c r="Q203" s="2"/>
      <c r="R203" s="6">
        <f t="shared" si="78"/>
        <v>5.8570052543431067E-3</v>
      </c>
      <c r="S203" s="2"/>
      <c r="T203" s="7">
        <v>12864.84</v>
      </c>
      <c r="U203" s="2"/>
      <c r="V203" s="6">
        <f t="shared" si="79"/>
        <v>2.7195580705663058E-3</v>
      </c>
      <c r="W203" s="2"/>
      <c r="X203" s="7">
        <f t="shared" si="80"/>
        <v>0</v>
      </c>
      <c r="Y203" s="2"/>
      <c r="Z203" s="6">
        <f t="shared" si="81"/>
        <v>0</v>
      </c>
    </row>
    <row r="204" spans="1:26" s="27" customFormat="1" outlineLevel="1" collapsed="1" x14ac:dyDescent="0.25">
      <c r="A204" s="29"/>
      <c r="B204" s="14" t="str">
        <f>CONCATENATE("     ","Interest                                          ")</f>
        <v xml:space="preserve">     Interest                                          </v>
      </c>
      <c r="C204" s="14"/>
      <c r="D204" s="1">
        <f>SUM(OSRRefD22_13x_0)</f>
        <v>4044</v>
      </c>
      <c r="E204" s="1"/>
      <c r="F204" s="5">
        <f t="shared" si="74"/>
        <v>1.0902992645009397E-2</v>
      </c>
      <c r="G204" s="1"/>
      <c r="H204" s="1">
        <f>SUM(OSRRefH22_13x_0)</f>
        <v>4110</v>
      </c>
      <c r="I204" s="1"/>
      <c r="J204" s="5">
        <f t="shared" si="75"/>
        <v>2.762093432951493E-3</v>
      </c>
      <c r="K204" s="1"/>
      <c r="L204" s="1">
        <f t="shared" si="76"/>
        <v>-66</v>
      </c>
      <c r="M204" s="1"/>
      <c r="N204" s="5">
        <f t="shared" si="77"/>
        <v>-1.6058394160583942E-2</v>
      </c>
      <c r="O204" s="14"/>
      <c r="P204" s="1">
        <f>SUM(OSRRefP22_13x_0)</f>
        <v>12132</v>
      </c>
      <c r="Q204" s="1"/>
      <c r="R204" s="5">
        <f t="shared" si="78"/>
        <v>5.5233635043801998E-3</v>
      </c>
      <c r="S204" s="1"/>
      <c r="T204" s="1">
        <f>SUM(OSRRefT22_13x_0)</f>
        <v>12330</v>
      </c>
      <c r="U204" s="1"/>
      <c r="V204" s="5">
        <f t="shared" si="79"/>
        <v>2.606495767540253E-3</v>
      </c>
      <c r="W204" s="1"/>
      <c r="X204" s="1">
        <f t="shared" si="80"/>
        <v>-198</v>
      </c>
      <c r="Y204" s="1"/>
      <c r="Z204" s="5">
        <f t="shared" si="81"/>
        <v>-1.6058394160583942E-2</v>
      </c>
    </row>
    <row r="205" spans="1:26" s="24" customFormat="1" hidden="1" outlineLevel="2" x14ac:dyDescent="0.25">
      <c r="A205" s="28"/>
      <c r="B205" s="11" t="str">
        <f>CONCATENATE("          ", "6401", " - ", "INTEREST EXPENSE")</f>
        <v xml:space="preserve">          6401 - INTEREST EXPENSE</v>
      </c>
      <c r="C205" s="11"/>
      <c r="D205" s="7">
        <v>4044</v>
      </c>
      <c r="E205" s="2"/>
      <c r="F205" s="6">
        <f t="shared" si="74"/>
        <v>1.0902992645009397E-2</v>
      </c>
      <c r="G205" s="2"/>
      <c r="H205" s="7">
        <v>4110</v>
      </c>
      <c r="I205" s="2"/>
      <c r="J205" s="6">
        <f t="shared" si="75"/>
        <v>2.762093432951493E-3</v>
      </c>
      <c r="K205" s="2"/>
      <c r="L205" s="7">
        <f t="shared" si="76"/>
        <v>-66</v>
      </c>
      <c r="M205" s="2"/>
      <c r="N205" s="6">
        <f t="shared" si="77"/>
        <v>-1.6058394160583942E-2</v>
      </c>
      <c r="O205" s="11"/>
      <c r="P205" s="7">
        <v>12132</v>
      </c>
      <c r="Q205" s="2"/>
      <c r="R205" s="6">
        <f t="shared" si="78"/>
        <v>5.5233635043801998E-3</v>
      </c>
      <c r="S205" s="2"/>
      <c r="T205" s="7">
        <v>12330</v>
      </c>
      <c r="U205" s="2"/>
      <c r="V205" s="6">
        <f t="shared" si="79"/>
        <v>2.606495767540253E-3</v>
      </c>
      <c r="W205" s="2"/>
      <c r="X205" s="7">
        <f t="shared" si="80"/>
        <v>-198</v>
      </c>
      <c r="Y205" s="2"/>
      <c r="Z205" s="6">
        <f t="shared" si="81"/>
        <v>-1.6058394160583942E-2</v>
      </c>
    </row>
    <row r="206" spans="1:26" s="27" customFormat="1" outlineLevel="1" collapsed="1" x14ac:dyDescent="0.25">
      <c r="A206" s="29"/>
      <c r="B206" s="14" t="str">
        <f>CONCATENATE("     ","Inventory Adjustment                              ")</f>
        <v xml:space="preserve">     Inventory Adjustment                              </v>
      </c>
      <c r="C206" s="14"/>
      <c r="D206" s="1">
        <f>SUM(OSRRefD22_14x_0)</f>
        <v>2100</v>
      </c>
      <c r="E206" s="1"/>
      <c r="F206" s="5">
        <f t="shared" si="74"/>
        <v>5.6617914328683811E-3</v>
      </c>
      <c r="G206" s="1"/>
      <c r="H206" s="1">
        <f>SUM(OSRRefH22_14x_0)</f>
        <v>4250</v>
      </c>
      <c r="I206" s="1"/>
      <c r="J206" s="5">
        <f t="shared" si="75"/>
        <v>2.8561793406432713E-3</v>
      </c>
      <c r="K206" s="1"/>
      <c r="L206" s="1">
        <f t="shared" si="76"/>
        <v>-2150</v>
      </c>
      <c r="M206" s="1"/>
      <c r="N206" s="5">
        <f t="shared" si="77"/>
        <v>-0.50588235294117645</v>
      </c>
      <c r="O206" s="14"/>
      <c r="P206" s="1">
        <f>SUM(OSRRefP22_14x_0)</f>
        <v>6300</v>
      </c>
      <c r="Q206" s="1"/>
      <c r="R206" s="5">
        <f t="shared" si="78"/>
        <v>2.8682154696336348E-3</v>
      </c>
      <c r="S206" s="1"/>
      <c r="T206" s="1">
        <f>SUM(OSRRefT22_14x_0)</f>
        <v>12650</v>
      </c>
      <c r="U206" s="1"/>
      <c r="V206" s="5">
        <f t="shared" si="79"/>
        <v>2.6741420486118576E-3</v>
      </c>
      <c r="W206" s="1"/>
      <c r="X206" s="1">
        <f t="shared" si="80"/>
        <v>-6350</v>
      </c>
      <c r="Y206" s="1"/>
      <c r="Z206" s="5">
        <f t="shared" si="81"/>
        <v>-0.50197628458498023</v>
      </c>
    </row>
    <row r="207" spans="1:26" s="24" customFormat="1" hidden="1" outlineLevel="2" x14ac:dyDescent="0.25">
      <c r="A207" s="28"/>
      <c r="B207" s="11" t="str">
        <f>CONCATENATE("          ", "6408", " - ", "INVENTORY ADJUSTMENT")</f>
        <v xml:space="preserve">          6408 - INVENTORY ADJUSTMENT</v>
      </c>
      <c r="C207" s="11"/>
      <c r="D207" s="7">
        <v>2100</v>
      </c>
      <c r="E207" s="2"/>
      <c r="F207" s="6">
        <f t="shared" si="74"/>
        <v>5.6617914328683811E-3</v>
      </c>
      <c r="G207" s="2"/>
      <c r="H207" s="7">
        <v>4250</v>
      </c>
      <c r="I207" s="2"/>
      <c r="J207" s="6">
        <f t="shared" si="75"/>
        <v>2.8561793406432713E-3</v>
      </c>
      <c r="K207" s="2"/>
      <c r="L207" s="7">
        <f t="shared" si="76"/>
        <v>-2150</v>
      </c>
      <c r="M207" s="2"/>
      <c r="N207" s="6">
        <f t="shared" si="77"/>
        <v>-0.50588235294117645</v>
      </c>
      <c r="O207" s="11"/>
      <c r="P207" s="7">
        <v>6300</v>
      </c>
      <c r="Q207" s="2"/>
      <c r="R207" s="6">
        <f t="shared" si="78"/>
        <v>2.8682154696336348E-3</v>
      </c>
      <c r="S207" s="2"/>
      <c r="T207" s="7">
        <v>12650</v>
      </c>
      <c r="U207" s="2"/>
      <c r="V207" s="6">
        <f t="shared" si="79"/>
        <v>2.6741420486118576E-3</v>
      </c>
      <c r="W207" s="2"/>
      <c r="X207" s="7">
        <f t="shared" si="80"/>
        <v>-6350</v>
      </c>
      <c r="Y207" s="2"/>
      <c r="Z207" s="6">
        <f t="shared" si="81"/>
        <v>-0.50197628458498023</v>
      </c>
    </row>
    <row r="208" spans="1:26" s="27" customFormat="1" outlineLevel="1" collapsed="1" x14ac:dyDescent="0.25">
      <c r="A208" s="29"/>
      <c r="B208" s="14" t="str">
        <f>CONCATENATE("     ","Professional Services                             ")</f>
        <v xml:space="preserve">     Professional Services                             </v>
      </c>
      <c r="C208" s="14"/>
      <c r="D208" s="1">
        <f>SUM(OSRRefD22_15x_0)</f>
        <v>0</v>
      </c>
      <c r="E208" s="1"/>
      <c r="F208" s="5">
        <f t="shared" si="74"/>
        <v>0</v>
      </c>
      <c r="G208" s="1"/>
      <c r="H208" s="1">
        <f>SUM(OSRRefH22_15x_0)</f>
        <v>0</v>
      </c>
      <c r="I208" s="1"/>
      <c r="J208" s="5">
        <f t="shared" si="75"/>
        <v>0</v>
      </c>
      <c r="K208" s="1"/>
      <c r="L208" s="1">
        <f t="shared" si="76"/>
        <v>0</v>
      </c>
      <c r="M208" s="1"/>
      <c r="N208" s="5">
        <f t="shared" si="77"/>
        <v>0</v>
      </c>
      <c r="O208" s="14"/>
      <c r="P208" s="1">
        <f>SUM(OSRRefP22_15x_0)</f>
        <v>0</v>
      </c>
      <c r="Q208" s="1"/>
      <c r="R208" s="5">
        <f t="shared" si="78"/>
        <v>0</v>
      </c>
      <c r="S208" s="1"/>
      <c r="T208" s="1">
        <f>SUM(OSRRefT22_15x_0)</f>
        <v>6158.41</v>
      </c>
      <c r="U208" s="1"/>
      <c r="V208" s="5">
        <f t="shared" si="79"/>
        <v>1.3018547931693081E-3</v>
      </c>
      <c r="W208" s="1"/>
      <c r="X208" s="1">
        <f t="shared" si="80"/>
        <v>-6158.41</v>
      </c>
      <c r="Y208" s="1"/>
      <c r="Z208" s="5">
        <f t="shared" si="81"/>
        <v>-1</v>
      </c>
    </row>
    <row r="209" spans="1:26" s="24" customFormat="1" hidden="1" outlineLevel="2" x14ac:dyDescent="0.25">
      <c r="A209" s="28"/>
      <c r="B209" s="11" t="str">
        <f>CONCATENATE("          ", "6336", " - ", "PROFESSIONAL SERVICES")</f>
        <v xml:space="preserve">          6336 - PROFESSIONAL SERVICES</v>
      </c>
      <c r="C209" s="11"/>
      <c r="D209" s="7"/>
      <c r="E209" s="2"/>
      <c r="F209" s="6">
        <f t="shared" si="74"/>
        <v>0</v>
      </c>
      <c r="G209" s="2"/>
      <c r="H209" s="7"/>
      <c r="I209" s="2"/>
      <c r="J209" s="6">
        <f t="shared" si="75"/>
        <v>0</v>
      </c>
      <c r="K209" s="2"/>
      <c r="L209" s="7">
        <f t="shared" si="76"/>
        <v>0</v>
      </c>
      <c r="M209" s="2"/>
      <c r="N209" s="6">
        <f t="shared" si="77"/>
        <v>0</v>
      </c>
      <c r="O209" s="11"/>
      <c r="P209" s="7"/>
      <c r="Q209" s="2"/>
      <c r="R209" s="6">
        <f t="shared" si="78"/>
        <v>0</v>
      </c>
      <c r="S209" s="2"/>
      <c r="T209" s="7">
        <v>6158.41</v>
      </c>
      <c r="U209" s="2"/>
      <c r="V209" s="6">
        <f t="shared" si="79"/>
        <v>1.3018547931693081E-3</v>
      </c>
      <c r="W209" s="2"/>
      <c r="X209" s="7">
        <f t="shared" si="80"/>
        <v>-6158.41</v>
      </c>
      <c r="Y209" s="2"/>
      <c r="Z209" s="6">
        <f t="shared" si="81"/>
        <v>-1</v>
      </c>
    </row>
    <row r="210" spans="1:26" s="27" customFormat="1" outlineLevel="1" collapsed="1" x14ac:dyDescent="0.25">
      <c r="A210" s="29"/>
      <c r="B210" s="14" t="str">
        <f>CONCATENATE("     ","Rent                                              ")</f>
        <v xml:space="preserve">     Rent                                              </v>
      </c>
      <c r="C210" s="14"/>
      <c r="D210" s="1">
        <f>SUM(OSRRefD22_16x_0)</f>
        <v>6100</v>
      </c>
      <c r="E210" s="1"/>
      <c r="F210" s="5">
        <f t="shared" si="74"/>
        <v>1.6446156066903393E-2</v>
      </c>
      <c r="G210" s="1"/>
      <c r="H210" s="1">
        <f>SUM(OSRRefH22_16x_0)</f>
        <v>7250</v>
      </c>
      <c r="I210" s="1"/>
      <c r="J210" s="5">
        <f t="shared" si="75"/>
        <v>4.8723059340385223E-3</v>
      </c>
      <c r="K210" s="1"/>
      <c r="L210" s="1">
        <f t="shared" si="76"/>
        <v>-1150</v>
      </c>
      <c r="M210" s="1"/>
      <c r="N210" s="5">
        <f t="shared" si="77"/>
        <v>-0.15862068965517243</v>
      </c>
      <c r="O210" s="14"/>
      <c r="P210" s="1">
        <f>SUM(OSRRefP22_16x_0)</f>
        <v>18300</v>
      </c>
      <c r="Q210" s="1"/>
      <c r="R210" s="5">
        <f t="shared" si="78"/>
        <v>8.3314830308405582E-3</v>
      </c>
      <c r="S210" s="1"/>
      <c r="T210" s="1">
        <f>SUM(OSRRefT22_16x_0)</f>
        <v>21750</v>
      </c>
      <c r="U210" s="1"/>
      <c r="V210" s="5">
        <f t="shared" si="79"/>
        <v>4.5978331665856046E-3</v>
      </c>
      <c r="W210" s="1"/>
      <c r="X210" s="1">
        <f t="shared" si="80"/>
        <v>-3450</v>
      </c>
      <c r="Y210" s="1"/>
      <c r="Z210" s="5">
        <f t="shared" si="81"/>
        <v>-0.15862068965517243</v>
      </c>
    </row>
    <row r="211" spans="1:26" s="24" customFormat="1" hidden="1" outlineLevel="2" x14ac:dyDescent="0.25">
      <c r="A211" s="28"/>
      <c r="B211" s="11" t="str">
        <f>CONCATENATE("          ", "6273", " - ", "RENT")</f>
        <v xml:space="preserve">          6273 - RENT</v>
      </c>
      <c r="C211" s="11"/>
      <c r="D211" s="7">
        <v>6100</v>
      </c>
      <c r="E211" s="2"/>
      <c r="F211" s="6">
        <f t="shared" si="74"/>
        <v>1.6446156066903393E-2</v>
      </c>
      <c r="G211" s="2"/>
      <c r="H211" s="7">
        <v>7250</v>
      </c>
      <c r="I211" s="2"/>
      <c r="J211" s="6">
        <f t="shared" si="75"/>
        <v>4.8723059340385223E-3</v>
      </c>
      <c r="K211" s="2"/>
      <c r="L211" s="7">
        <f t="shared" si="76"/>
        <v>-1150</v>
      </c>
      <c r="M211" s="2"/>
      <c r="N211" s="6">
        <f t="shared" si="77"/>
        <v>-0.15862068965517243</v>
      </c>
      <c r="O211" s="11"/>
      <c r="P211" s="7">
        <v>18300</v>
      </c>
      <c r="Q211" s="2"/>
      <c r="R211" s="6">
        <f t="shared" si="78"/>
        <v>8.3314830308405582E-3</v>
      </c>
      <c r="S211" s="2"/>
      <c r="T211" s="7">
        <v>21750</v>
      </c>
      <c r="U211" s="2"/>
      <c r="V211" s="6">
        <f t="shared" si="79"/>
        <v>4.5978331665856046E-3</v>
      </c>
      <c r="W211" s="2"/>
      <c r="X211" s="7">
        <f t="shared" si="80"/>
        <v>-3450</v>
      </c>
      <c r="Y211" s="2"/>
      <c r="Z211" s="6">
        <f t="shared" si="81"/>
        <v>-0.15862068965517243</v>
      </c>
    </row>
    <row r="212" spans="1:26" s="27" customFormat="1" outlineLevel="1" collapsed="1" x14ac:dyDescent="0.25">
      <c r="A212" s="29"/>
      <c r="B212" s="14" t="str">
        <f>CONCATENATE("     ","Repair and Maintenance                            ")</f>
        <v xml:space="preserve">     Repair and Maintenance                            </v>
      </c>
      <c r="C212" s="14"/>
      <c r="D212" s="1">
        <f>SUM(OSRRefD22_17x_0)</f>
        <v>13868.49</v>
      </c>
      <c r="E212" s="1"/>
      <c r="F212" s="5">
        <f t="shared" si="74"/>
        <v>3.7390713270867057E-2</v>
      </c>
      <c r="G212" s="1"/>
      <c r="H212" s="1">
        <f>SUM(OSRRefH22_17x_0)</f>
        <v>16139.84</v>
      </c>
      <c r="I212" s="1"/>
      <c r="J212" s="5">
        <f t="shared" si="75"/>
        <v>1.0846653545714799E-2</v>
      </c>
      <c r="K212" s="1"/>
      <c r="L212" s="1">
        <f t="shared" si="76"/>
        <v>-2271.3500000000004</v>
      </c>
      <c r="M212" s="1"/>
      <c r="N212" s="5">
        <f t="shared" si="77"/>
        <v>-0.14072940004361878</v>
      </c>
      <c r="O212" s="14"/>
      <c r="P212" s="1">
        <f>SUM(OSRRefP22_17x_0)</f>
        <v>87478.98000000001</v>
      </c>
      <c r="Q212" s="1"/>
      <c r="R212" s="5">
        <f t="shared" si="78"/>
        <v>3.9826756143455773E-2</v>
      </c>
      <c r="S212" s="1"/>
      <c r="T212" s="1">
        <f>SUM(OSRRefT22_17x_0)</f>
        <v>56810.44</v>
      </c>
      <c r="U212" s="1"/>
      <c r="V212" s="5">
        <f t="shared" si="79"/>
        <v>1.2009421850129725E-2</v>
      </c>
      <c r="W212" s="1"/>
      <c r="X212" s="1">
        <f t="shared" si="80"/>
        <v>30668.540000000008</v>
      </c>
      <c r="Y212" s="1"/>
      <c r="Z212" s="5">
        <f t="shared" si="81"/>
        <v>0.53983986042002152</v>
      </c>
    </row>
    <row r="213" spans="1:26" s="24" customFormat="1" hidden="1" outlineLevel="2" x14ac:dyDescent="0.25">
      <c r="A213" s="28"/>
      <c r="B213" s="11" t="str">
        <f>CONCATENATE("          ", "6371", " - ", "COMPUTER SOFTWARE MAINTENANCE")</f>
        <v xml:space="preserve">          6371 - COMPUTER SOFTWARE MAINTENANCE</v>
      </c>
      <c r="C213" s="11"/>
      <c r="D213" s="7"/>
      <c r="E213" s="2"/>
      <c r="F213" s="6">
        <f t="shared" si="74"/>
        <v>0</v>
      </c>
      <c r="G213" s="2"/>
      <c r="H213" s="7">
        <v>4974.08</v>
      </c>
      <c r="I213" s="2"/>
      <c r="J213" s="6">
        <f t="shared" si="75"/>
        <v>3.3427916552251492E-3</v>
      </c>
      <c r="K213" s="2"/>
      <c r="L213" s="7">
        <f t="shared" si="76"/>
        <v>-4974.08</v>
      </c>
      <c r="M213" s="2"/>
      <c r="N213" s="6">
        <f t="shared" si="77"/>
        <v>-1</v>
      </c>
      <c r="O213" s="11"/>
      <c r="P213" s="7">
        <v>58428.780000000006</v>
      </c>
      <c r="Q213" s="2"/>
      <c r="R213" s="6">
        <f t="shared" si="78"/>
        <v>2.660100486790799E-2</v>
      </c>
      <c r="S213" s="2"/>
      <c r="T213" s="7">
        <v>13462.33</v>
      </c>
      <c r="U213" s="2"/>
      <c r="V213" s="6">
        <f t="shared" si="79"/>
        <v>2.8458642470584085E-3</v>
      </c>
      <c r="W213" s="2"/>
      <c r="X213" s="7">
        <f t="shared" si="80"/>
        <v>44966.450000000004</v>
      </c>
      <c r="Y213" s="2"/>
      <c r="Z213" s="6">
        <f t="shared" si="81"/>
        <v>3.3401684552376896</v>
      </c>
    </row>
    <row r="214" spans="1:26" s="24" customFormat="1" hidden="1" outlineLevel="2" x14ac:dyDescent="0.25">
      <c r="A214" s="28"/>
      <c r="B214" s="11" t="str">
        <f>CONCATENATE("          ", "6372", " - ", "COMPUTER HARDWARE MAINTENANCE")</f>
        <v xml:space="preserve">          6372 - COMPUTER HARDWARE MAINTENANCE</v>
      </c>
      <c r="C214" s="11"/>
      <c r="D214" s="7">
        <v>-9.09</v>
      </c>
      <c r="E214" s="2"/>
      <c r="F214" s="6">
        <f t="shared" si="74"/>
        <v>-2.4507468630844563E-5</v>
      </c>
      <c r="G214" s="2"/>
      <c r="H214" s="7"/>
      <c r="I214" s="2"/>
      <c r="J214" s="6">
        <f t="shared" si="75"/>
        <v>0</v>
      </c>
      <c r="K214" s="2"/>
      <c r="L214" s="7">
        <f t="shared" si="76"/>
        <v>-9.09</v>
      </c>
      <c r="M214" s="2"/>
      <c r="N214" s="6">
        <f t="shared" si="77"/>
        <v>0</v>
      </c>
      <c r="O214" s="11"/>
      <c r="P214" s="7">
        <v>-8.11</v>
      </c>
      <c r="Q214" s="2"/>
      <c r="R214" s="6">
        <f t="shared" si="78"/>
        <v>-3.6922583267823455E-6</v>
      </c>
      <c r="S214" s="2"/>
      <c r="T214" s="7"/>
      <c r="U214" s="2"/>
      <c r="V214" s="6">
        <f t="shared" si="79"/>
        <v>0</v>
      </c>
      <c r="W214" s="2"/>
      <c r="X214" s="7">
        <f t="shared" si="80"/>
        <v>-8.11</v>
      </c>
      <c r="Y214" s="2"/>
      <c r="Z214" s="6">
        <f t="shared" si="81"/>
        <v>0</v>
      </c>
    </row>
    <row r="215" spans="1:26" s="24" customFormat="1" hidden="1" outlineLevel="2" x14ac:dyDescent="0.25">
      <c r="A215" s="28"/>
      <c r="B215" s="11" t="str">
        <f>CONCATENATE("          ", "6373", " - ", "MAINTENANCE CONTRACTS")</f>
        <v xml:space="preserve">          6373 - MAINTENANCE CONTRACTS</v>
      </c>
      <c r="C215" s="11"/>
      <c r="D215" s="7">
        <v>12704.27</v>
      </c>
      <c r="E215" s="2"/>
      <c r="F215" s="6">
        <f t="shared" si="74"/>
        <v>3.4251870022307999E-2</v>
      </c>
      <c r="G215" s="2"/>
      <c r="H215" s="7">
        <v>6672.75</v>
      </c>
      <c r="I215" s="2"/>
      <c r="J215" s="6">
        <f t="shared" si="75"/>
        <v>4.4843695753593862E-3</v>
      </c>
      <c r="K215" s="2"/>
      <c r="L215" s="7">
        <f t="shared" si="76"/>
        <v>6031.52</v>
      </c>
      <c r="M215" s="2"/>
      <c r="N215" s="6">
        <f t="shared" si="77"/>
        <v>0.90390318834063921</v>
      </c>
      <c r="O215" s="11"/>
      <c r="P215" s="7">
        <v>25844.2</v>
      </c>
      <c r="Q215" s="2"/>
      <c r="R215" s="6">
        <f t="shared" si="78"/>
        <v>1.1766148292111997E-2</v>
      </c>
      <c r="S215" s="2"/>
      <c r="T215" s="7">
        <v>19048.190000000002</v>
      </c>
      <c r="U215" s="2"/>
      <c r="V215" s="6">
        <f t="shared" si="79"/>
        <v>4.026685045766633E-3</v>
      </c>
      <c r="W215" s="2"/>
      <c r="X215" s="7">
        <f t="shared" si="80"/>
        <v>6796.0099999999984</v>
      </c>
      <c r="Y215" s="2"/>
      <c r="Z215" s="6">
        <f t="shared" si="81"/>
        <v>0.3567798305245799</v>
      </c>
    </row>
    <row r="216" spans="1:26" s="24" customFormat="1" hidden="1" outlineLevel="2" x14ac:dyDescent="0.25">
      <c r="A216" s="28"/>
      <c r="B216" s="11" t="str">
        <f>CONCATENATE("          ", "6375", " - ", "OUTSIDE REPAIRS &amp; MAINTENANCE")</f>
        <v xml:space="preserve">          6375 - OUTSIDE REPAIRS &amp; MAINTENANCE</v>
      </c>
      <c r="C216" s="11"/>
      <c r="D216" s="7">
        <v>1173.31</v>
      </c>
      <c r="E216" s="2"/>
      <c r="F216" s="6">
        <f t="shared" si="74"/>
        <v>3.1633507171899048E-3</v>
      </c>
      <c r="G216" s="2"/>
      <c r="H216" s="7">
        <v>4493.01</v>
      </c>
      <c r="I216" s="2"/>
      <c r="J216" s="6">
        <f t="shared" si="75"/>
        <v>3.0194923151302651E-3</v>
      </c>
      <c r="K216" s="2"/>
      <c r="L216" s="7">
        <f t="shared" si="76"/>
        <v>-3319.7000000000003</v>
      </c>
      <c r="M216" s="2"/>
      <c r="N216" s="6">
        <f t="shared" si="77"/>
        <v>-0.73885880512173352</v>
      </c>
      <c r="O216" s="11"/>
      <c r="P216" s="7">
        <v>3214.11</v>
      </c>
      <c r="Q216" s="2"/>
      <c r="R216" s="6">
        <f t="shared" si="78"/>
        <v>1.4632952417625654E-3</v>
      </c>
      <c r="S216" s="2"/>
      <c r="T216" s="7">
        <v>24299.919999999998</v>
      </c>
      <c r="U216" s="2"/>
      <c r="V216" s="6">
        <f t="shared" si="79"/>
        <v>5.1368725573046831E-3</v>
      </c>
      <c r="W216" s="2"/>
      <c r="X216" s="7">
        <f t="shared" si="80"/>
        <v>-21085.809999999998</v>
      </c>
      <c r="Y216" s="2"/>
      <c r="Z216" s="6">
        <f t="shared" si="81"/>
        <v>-0.86773166331411788</v>
      </c>
    </row>
    <row r="217" spans="1:26" s="27" customFormat="1" outlineLevel="1" collapsed="1" x14ac:dyDescent="0.25">
      <c r="A217" s="29"/>
      <c r="B217" s="14" t="str">
        <f>CONCATENATE("     ","Royalty &amp; Commissions                             ")</f>
        <v xml:space="preserve">     Royalty &amp; Commissions                             </v>
      </c>
      <c r="C217" s="14"/>
      <c r="D217" s="1">
        <f>SUM(OSRRefD22_18x_0)</f>
        <v>62.6</v>
      </c>
      <c r="E217" s="1"/>
      <c r="F217" s="5">
        <f t="shared" ref="F217:F220" si="82">IF(D$12=0,0,D217/D$12)</f>
        <v>1.6877530652264794E-4</v>
      </c>
      <c r="G217" s="1"/>
      <c r="H217" s="1">
        <f>SUM(OSRRefH22_18x_0)</f>
        <v>16254.27</v>
      </c>
      <c r="I217" s="1"/>
      <c r="J217" s="5">
        <f t="shared" ref="J217:J220" si="83">IF(H$12=0,0,H217/H$12)</f>
        <v>1.0923555334408874E-2</v>
      </c>
      <c r="K217" s="1"/>
      <c r="L217" s="1">
        <f t="shared" ref="L217:L220" si="84">+D217-H217</f>
        <v>-16191.67</v>
      </c>
      <c r="M217" s="1"/>
      <c r="N217" s="5">
        <f t="shared" ref="N217:N220" si="85">IF(H217=0,0,L217/H217)</f>
        <v>-0.99614870430969826</v>
      </c>
      <c r="O217" s="14"/>
      <c r="P217" s="1">
        <f>SUM(OSRRefP22_18x_0)</f>
        <v>13307</v>
      </c>
      <c r="Q217" s="1"/>
      <c r="R217" s="5">
        <f t="shared" ref="R217:R220" si="86">IF(P$12=0,0,P217/P$12)</f>
        <v>6.0583084530817103E-3</v>
      </c>
      <c r="S217" s="1"/>
      <c r="T217" s="1">
        <f>SUM(OSRRefT22_18x_0)</f>
        <v>25125.89</v>
      </c>
      <c r="U217" s="1"/>
      <c r="V217" s="5">
        <f t="shared" ref="V217:V220" si="87">IF(T$12=0,0,T217/T$12)</f>
        <v>5.3114781784819112E-3</v>
      </c>
      <c r="W217" s="1"/>
      <c r="X217" s="1">
        <f t="shared" ref="X217:X220" si="88">+P217-T217</f>
        <v>-11818.89</v>
      </c>
      <c r="Y217" s="1"/>
      <c r="Z217" s="5">
        <f t="shared" ref="Z217:Z220" si="89">IF(T217=0,0,X217/T217)</f>
        <v>-0.4703869196275236</v>
      </c>
    </row>
    <row r="218" spans="1:26" s="24" customFormat="1" hidden="1" outlineLevel="2" x14ac:dyDescent="0.25">
      <c r="A218" s="28"/>
      <c r="B218" s="11" t="str">
        <f>CONCATENATE("          ", "6253", " - ", "ROYALTY DUE ATHLETICS-LRG")</f>
        <v xml:space="preserve">          6253 - ROYALTY DUE ATHLETICS-LRG</v>
      </c>
      <c r="C218" s="11"/>
      <c r="D218" s="7"/>
      <c r="E218" s="2"/>
      <c r="F218" s="6">
        <f t="shared" si="82"/>
        <v>0</v>
      </c>
      <c r="G218" s="2"/>
      <c r="H218" s="7"/>
      <c r="I218" s="2"/>
      <c r="J218" s="6">
        <f t="shared" si="83"/>
        <v>0</v>
      </c>
      <c r="K218" s="2"/>
      <c r="L218" s="7">
        <f t="shared" si="84"/>
        <v>0</v>
      </c>
      <c r="M218" s="2"/>
      <c r="N218" s="6">
        <f t="shared" si="85"/>
        <v>0</v>
      </c>
      <c r="O218" s="11"/>
      <c r="P218" s="7">
        <v>7922.2</v>
      </c>
      <c r="Q218" s="2"/>
      <c r="R218" s="6">
        <f t="shared" si="86"/>
        <v>3.6067581894494573E-3</v>
      </c>
      <c r="S218" s="2"/>
      <c r="T218" s="7">
        <v>4366.95</v>
      </c>
      <c r="U218" s="2"/>
      <c r="V218" s="6">
        <f t="shared" si="87"/>
        <v>9.2314977226763239E-4</v>
      </c>
      <c r="W218" s="2"/>
      <c r="X218" s="7">
        <f t="shared" si="88"/>
        <v>3555.25</v>
      </c>
      <c r="Y218" s="2"/>
      <c r="Z218" s="6">
        <f t="shared" si="89"/>
        <v>0.81412656430689612</v>
      </c>
    </row>
    <row r="219" spans="1:26" s="24" customFormat="1" hidden="1" outlineLevel="2" x14ac:dyDescent="0.25">
      <c r="A219" s="28"/>
      <c r="B219" s="11" t="str">
        <f>CONCATENATE("          ", "6254", " - ", "ROYALTY &amp; COMMISSIONS")</f>
        <v xml:space="preserve">          6254 - ROYALTY &amp; COMMISSIONS</v>
      </c>
      <c r="C219" s="11"/>
      <c r="D219" s="7"/>
      <c r="E219" s="2"/>
      <c r="F219" s="6">
        <f t="shared" si="82"/>
        <v>0</v>
      </c>
      <c r="G219" s="2"/>
      <c r="H219" s="7">
        <v>6038.83</v>
      </c>
      <c r="I219" s="2"/>
      <c r="J219" s="6">
        <f t="shared" si="83"/>
        <v>4.0583485853310135E-3</v>
      </c>
      <c r="K219" s="2"/>
      <c r="L219" s="7">
        <f t="shared" si="84"/>
        <v>-6038.83</v>
      </c>
      <c r="M219" s="2"/>
      <c r="N219" s="6">
        <f t="shared" si="85"/>
        <v>-1</v>
      </c>
      <c r="O219" s="11"/>
      <c r="P219" s="7"/>
      <c r="Q219" s="2"/>
      <c r="R219" s="6">
        <f t="shared" si="86"/>
        <v>0</v>
      </c>
      <c r="S219" s="2"/>
      <c r="T219" s="7">
        <v>6289.32</v>
      </c>
      <c r="U219" s="2"/>
      <c r="V219" s="6">
        <f t="shared" si="87"/>
        <v>1.3295284639664449E-3</v>
      </c>
      <c r="W219" s="2"/>
      <c r="X219" s="7">
        <f t="shared" si="88"/>
        <v>-6289.32</v>
      </c>
      <c r="Y219" s="2"/>
      <c r="Z219" s="6">
        <f t="shared" si="89"/>
        <v>-1</v>
      </c>
    </row>
    <row r="220" spans="1:26" s="24" customFormat="1" hidden="1" outlineLevel="2" x14ac:dyDescent="0.25">
      <c r="A220" s="28"/>
      <c r="B220" s="11" t="str">
        <f>CONCATENATE("          ", "6259", " - ", "ROYALTY &amp; COMMISSIONS")</f>
        <v xml:space="preserve">          6259 - ROYALTY &amp; COMMISSIONS</v>
      </c>
      <c r="C220" s="11"/>
      <c r="D220" s="7">
        <v>62.6</v>
      </c>
      <c r="E220" s="2"/>
      <c r="F220" s="6">
        <f t="shared" si="82"/>
        <v>1.6877530652264794E-4</v>
      </c>
      <c r="G220" s="2"/>
      <c r="H220" s="7">
        <v>10215.44</v>
      </c>
      <c r="I220" s="2"/>
      <c r="J220" s="6">
        <f t="shared" si="83"/>
        <v>6.8652067490778592E-3</v>
      </c>
      <c r="K220" s="2"/>
      <c r="L220" s="7">
        <f t="shared" si="84"/>
        <v>-10152.84</v>
      </c>
      <c r="M220" s="2"/>
      <c r="N220" s="6">
        <f t="shared" si="85"/>
        <v>-0.99387202117578877</v>
      </c>
      <c r="O220" s="11"/>
      <c r="P220" s="7">
        <v>5384.8</v>
      </c>
      <c r="Q220" s="2"/>
      <c r="R220" s="6">
        <f t="shared" si="86"/>
        <v>2.4515502636322534E-3</v>
      </c>
      <c r="S220" s="2"/>
      <c r="T220" s="7">
        <v>14469.62</v>
      </c>
      <c r="U220" s="2"/>
      <c r="V220" s="6">
        <f t="shared" si="87"/>
        <v>3.0587999422478345E-3</v>
      </c>
      <c r="W220" s="2"/>
      <c r="X220" s="7">
        <f t="shared" si="88"/>
        <v>-9084.82</v>
      </c>
      <c r="Y220" s="2"/>
      <c r="Z220" s="6">
        <f t="shared" si="89"/>
        <v>-0.62785477434790959</v>
      </c>
    </row>
    <row r="221" spans="1:26" s="27" customFormat="1" outlineLevel="1" collapsed="1" x14ac:dyDescent="0.25">
      <c r="A221" s="29"/>
      <c r="B221" s="14" t="str">
        <f>CONCATENATE("     ","Services                                          ")</f>
        <v xml:space="preserve">     Services                                          </v>
      </c>
      <c r="C221" s="14"/>
      <c r="D221" s="1">
        <f>SUM(OSRRefD22_19x_0)</f>
        <v>4558.25</v>
      </c>
      <c r="E221" s="1"/>
      <c r="F221" s="5">
        <f t="shared" ref="F221:F226" si="90">IF(D$12=0,0,D221/D$12)</f>
        <v>1.2289457523272523E-2</v>
      </c>
      <c r="G221" s="1"/>
      <c r="H221" s="1">
        <f>SUM(OSRRefH22_19x_0)</f>
        <v>5430.2699999999995</v>
      </c>
      <c r="I221" s="1"/>
      <c r="J221" s="5">
        <f t="shared" ref="J221:J226" si="91">IF(H$12=0,0,H221/H$12)</f>
        <v>3.6493705854388088E-3</v>
      </c>
      <c r="K221" s="1"/>
      <c r="L221" s="1">
        <f t="shared" ref="L221:L226" si="92">+D221-H221</f>
        <v>-872.01999999999953</v>
      </c>
      <c r="M221" s="1"/>
      <c r="N221" s="5">
        <f t="shared" ref="N221:N226" si="93">IF(H221=0,0,L221/H221)</f>
        <v>-0.16058501695127492</v>
      </c>
      <c r="O221" s="14"/>
      <c r="P221" s="1">
        <f>SUM(OSRRefP22_19x_0)</f>
        <v>7290.01</v>
      </c>
      <c r="Q221" s="1"/>
      <c r="R221" s="5">
        <f t="shared" ref="R221:R226" si="94">IF(P$12=0,0,P221/P$12)</f>
        <v>3.3189395961561738E-3</v>
      </c>
      <c r="S221" s="1"/>
      <c r="T221" s="1">
        <f>SUM(OSRRefT22_19x_0)</f>
        <v>18188.96</v>
      </c>
      <c r="U221" s="1"/>
      <c r="V221" s="5">
        <f t="shared" ref="V221:V226" si="95">IF(T$12=0,0,T221/T$12)</f>
        <v>3.8450484392505242E-3</v>
      </c>
      <c r="W221" s="1"/>
      <c r="X221" s="1">
        <f t="shared" ref="X221:X226" si="96">+P221-T221</f>
        <v>-10898.949999999999</v>
      </c>
      <c r="Y221" s="1"/>
      <c r="Z221" s="5">
        <f t="shared" ref="Z221:Z226" si="97">IF(T221=0,0,X221/T221)</f>
        <v>-0.59920688153693225</v>
      </c>
    </row>
    <row r="222" spans="1:26" s="24" customFormat="1" hidden="1" outlineLevel="2" x14ac:dyDescent="0.25">
      <c r="A222" s="28"/>
      <c r="B222" s="11" t="str">
        <f>CONCATENATE("          ", "6282", " - ", "JANITORIAL/EXTERMINATOR EXPENS")</f>
        <v xml:space="preserve">          6282 - JANITORIAL/EXTERMINATOR EXPENS</v>
      </c>
      <c r="C222" s="11"/>
      <c r="D222" s="7">
        <v>307.5</v>
      </c>
      <c r="E222" s="2"/>
      <c r="F222" s="6">
        <f t="shared" si="90"/>
        <v>8.2904803124144149E-4</v>
      </c>
      <c r="G222" s="2"/>
      <c r="H222" s="7">
        <v>752.24</v>
      </c>
      <c r="I222" s="2"/>
      <c r="J222" s="6">
        <f t="shared" si="91"/>
        <v>5.0553702287188106E-4</v>
      </c>
      <c r="K222" s="2"/>
      <c r="L222" s="7">
        <f t="shared" si="92"/>
        <v>-444.74</v>
      </c>
      <c r="M222" s="2"/>
      <c r="N222" s="6">
        <f t="shared" si="93"/>
        <v>-0.59122088695097308</v>
      </c>
      <c r="O222" s="11"/>
      <c r="P222" s="7">
        <v>14.78</v>
      </c>
      <c r="Q222" s="2"/>
      <c r="R222" s="6">
        <f t="shared" si="94"/>
        <v>6.7289245462198601E-6</v>
      </c>
      <c r="S222" s="2"/>
      <c r="T222" s="7">
        <v>2934.16</v>
      </c>
      <c r="U222" s="2"/>
      <c r="V222" s="6">
        <f t="shared" si="95"/>
        <v>6.2026566271580774E-4</v>
      </c>
      <c r="W222" s="2"/>
      <c r="X222" s="7">
        <f t="shared" si="96"/>
        <v>-2919.3799999999997</v>
      </c>
      <c r="Y222" s="2"/>
      <c r="Z222" s="6">
        <f t="shared" si="97"/>
        <v>-0.99496278321563913</v>
      </c>
    </row>
    <row r="223" spans="1:26" s="24" customFormat="1" hidden="1" outlineLevel="2" x14ac:dyDescent="0.25">
      <c r="A223" s="28"/>
      <c r="B223" s="11" t="str">
        <f>CONCATENATE("          ", "6283", " - ", "PLANT SERVICE")</f>
        <v xml:space="preserve">          6283 - PLANT SERVICE</v>
      </c>
      <c r="C223" s="11"/>
      <c r="D223" s="7"/>
      <c r="E223" s="2"/>
      <c r="F223" s="6">
        <f t="shared" si="90"/>
        <v>0</v>
      </c>
      <c r="G223" s="2"/>
      <c r="H223" s="7">
        <v>180.66</v>
      </c>
      <c r="I223" s="2"/>
      <c r="J223" s="6">
        <f t="shared" si="91"/>
        <v>1.2141114345426199E-4</v>
      </c>
      <c r="K223" s="2"/>
      <c r="L223" s="7">
        <f t="shared" si="92"/>
        <v>-180.66</v>
      </c>
      <c r="M223" s="2"/>
      <c r="N223" s="6">
        <f t="shared" si="93"/>
        <v>-1</v>
      </c>
      <c r="O223" s="11"/>
      <c r="P223" s="7">
        <v>130</v>
      </c>
      <c r="Q223" s="2"/>
      <c r="R223" s="6">
        <f t="shared" si="94"/>
        <v>5.9185398579741671E-5</v>
      </c>
      <c r="S223" s="2"/>
      <c r="T223" s="7">
        <v>541.98</v>
      </c>
      <c r="U223" s="2"/>
      <c r="V223" s="6">
        <f t="shared" si="95"/>
        <v>1.1457166067246281E-4</v>
      </c>
      <c r="W223" s="2"/>
      <c r="X223" s="7">
        <f t="shared" si="96"/>
        <v>-411.98</v>
      </c>
      <c r="Y223" s="2"/>
      <c r="Z223" s="6">
        <f t="shared" si="97"/>
        <v>-0.76013875050739876</v>
      </c>
    </row>
    <row r="224" spans="1:26" s="24" customFormat="1" hidden="1" outlineLevel="2" x14ac:dyDescent="0.25">
      <c r="A224" s="28"/>
      <c r="B224" s="11" t="str">
        <f>CONCATENATE("          ", "6284", " - ", "TRASH REMOVAL EXPENSE")</f>
        <v xml:space="preserve">          6284 - TRASH REMOVAL EXPENSE</v>
      </c>
      <c r="C224" s="11"/>
      <c r="D224" s="7">
        <v>142.57</v>
      </c>
      <c r="E224" s="2"/>
      <c r="F224" s="6">
        <f t="shared" si="90"/>
        <v>3.8438171646859289E-4</v>
      </c>
      <c r="G224" s="2"/>
      <c r="H224" s="7">
        <v>371.82</v>
      </c>
      <c r="I224" s="2"/>
      <c r="J224" s="6">
        <f t="shared" si="91"/>
        <v>2.4987872998540734E-4</v>
      </c>
      <c r="K224" s="2"/>
      <c r="L224" s="7">
        <f t="shared" si="92"/>
        <v>-229.25</v>
      </c>
      <c r="M224" s="2"/>
      <c r="N224" s="6">
        <f t="shared" si="93"/>
        <v>-0.6165617772040235</v>
      </c>
      <c r="O224" s="11"/>
      <c r="P224" s="7">
        <v>427.71</v>
      </c>
      <c r="Q224" s="2"/>
      <c r="R224" s="6">
        <f t="shared" si="94"/>
        <v>1.9472451405031776E-4</v>
      </c>
      <c r="S224" s="2"/>
      <c r="T224" s="7">
        <v>878.46</v>
      </c>
      <c r="U224" s="2"/>
      <c r="V224" s="6">
        <f t="shared" si="95"/>
        <v>1.8570172521925474E-4</v>
      </c>
      <c r="W224" s="2"/>
      <c r="X224" s="7">
        <f t="shared" si="96"/>
        <v>-450.75000000000006</v>
      </c>
      <c r="Y224" s="2"/>
      <c r="Z224" s="6">
        <f t="shared" si="97"/>
        <v>-0.51311385834300938</v>
      </c>
    </row>
    <row r="225" spans="1:26" s="24" customFormat="1" hidden="1" outlineLevel="2" x14ac:dyDescent="0.25">
      <c r="A225" s="28"/>
      <c r="B225" s="11" t="str">
        <f>CONCATENATE("          ", "6285", " - ", "JANITORIAL SERVICES")</f>
        <v xml:space="preserve">          6285 - JANITORIAL SERVICES</v>
      </c>
      <c r="C225" s="11"/>
      <c r="D225" s="7">
        <v>4108.18</v>
      </c>
      <c r="E225" s="2"/>
      <c r="F225" s="6">
        <f t="shared" si="90"/>
        <v>1.107602777556249E-2</v>
      </c>
      <c r="G225" s="2"/>
      <c r="H225" s="7">
        <v>3364.77</v>
      </c>
      <c r="I225" s="2"/>
      <c r="J225" s="6">
        <f t="shared" si="91"/>
        <v>2.2612674258861792E-3</v>
      </c>
      <c r="K225" s="2"/>
      <c r="L225" s="7">
        <f t="shared" si="92"/>
        <v>743.41000000000031</v>
      </c>
      <c r="M225" s="2"/>
      <c r="N225" s="6">
        <f t="shared" si="93"/>
        <v>0.22093932126118584</v>
      </c>
      <c r="O225" s="11"/>
      <c r="P225" s="7">
        <v>6717.52</v>
      </c>
      <c r="Q225" s="2"/>
      <c r="R225" s="6">
        <f t="shared" si="94"/>
        <v>3.0583007589798945E-3</v>
      </c>
      <c r="S225" s="2"/>
      <c r="T225" s="7">
        <v>11654.33</v>
      </c>
      <c r="U225" s="2"/>
      <c r="V225" s="6">
        <f t="shared" si="95"/>
        <v>2.4636627590038443E-3</v>
      </c>
      <c r="W225" s="2"/>
      <c r="X225" s="7">
        <f t="shared" si="96"/>
        <v>-4936.8099999999995</v>
      </c>
      <c r="Y225" s="2"/>
      <c r="Z225" s="6">
        <f t="shared" si="97"/>
        <v>-0.42360307284931864</v>
      </c>
    </row>
    <row r="226" spans="1:26" s="24" customFormat="1" hidden="1" outlineLevel="2" x14ac:dyDescent="0.25">
      <c r="A226" s="28"/>
      <c r="B226" s="11" t="str">
        <f>CONCATENATE("          ", "6286", " - ", "LAUNDRY EXPENSE")</f>
        <v xml:space="preserve">          6286 - LAUNDRY EXPENSE</v>
      </c>
      <c r="C226" s="11"/>
      <c r="D226" s="7"/>
      <c r="E226" s="2"/>
      <c r="F226" s="6">
        <f t="shared" si="90"/>
        <v>0</v>
      </c>
      <c r="G226" s="2"/>
      <c r="H226" s="7">
        <v>760.78</v>
      </c>
      <c r="I226" s="2"/>
      <c r="J226" s="6">
        <f t="shared" si="91"/>
        <v>5.112762632410795E-4</v>
      </c>
      <c r="K226" s="2"/>
      <c r="L226" s="7">
        <f t="shared" si="92"/>
        <v>-760.78</v>
      </c>
      <c r="M226" s="2"/>
      <c r="N226" s="6">
        <f t="shared" si="93"/>
        <v>-1</v>
      </c>
      <c r="O226" s="11"/>
      <c r="P226" s="7"/>
      <c r="Q226" s="2"/>
      <c r="R226" s="6">
        <f t="shared" si="94"/>
        <v>0</v>
      </c>
      <c r="S226" s="2"/>
      <c r="T226" s="7">
        <v>2180.0300000000002</v>
      </c>
      <c r="U226" s="2"/>
      <c r="V226" s="6">
        <f t="shared" si="95"/>
        <v>4.6084663163915477E-4</v>
      </c>
      <c r="W226" s="2"/>
      <c r="X226" s="7">
        <f t="shared" si="96"/>
        <v>-2180.0300000000002</v>
      </c>
      <c r="Y226" s="2"/>
      <c r="Z226" s="6">
        <f t="shared" si="97"/>
        <v>-1</v>
      </c>
    </row>
    <row r="227" spans="1:26" s="27" customFormat="1" outlineLevel="1" collapsed="1" x14ac:dyDescent="0.25">
      <c r="A227" s="29"/>
      <c r="B227" s="14" t="str">
        <f>CONCATENATE("     ","Subscriptions &amp; Dues                              ")</f>
        <v xml:space="preserve">     Subscriptions &amp; Dues                              </v>
      </c>
      <c r="C227" s="14"/>
      <c r="D227" s="1">
        <f>SUM(OSRRefD22_20x_0)</f>
        <v>148.77000000000001</v>
      </c>
      <c r="E227" s="1"/>
      <c r="F227" s="5">
        <f t="shared" ref="F227:F229" si="98">IF(D$12=0,0,D227/D$12)</f>
        <v>4.0109748165134722E-4</v>
      </c>
      <c r="G227" s="1"/>
      <c r="H227" s="1">
        <f>SUM(OSRRefH22_20x_0)</f>
        <v>883.02</v>
      </c>
      <c r="I227" s="1"/>
      <c r="J227" s="5">
        <f t="shared" ref="J227:J229" si="99">IF(H$12=0,0,H227/H$12)</f>
        <v>5.9342670149995804E-4</v>
      </c>
      <c r="K227" s="1"/>
      <c r="L227" s="1">
        <f t="shared" ref="L227:L229" si="100">+D227-H227</f>
        <v>-734.25</v>
      </c>
      <c r="M227" s="1"/>
      <c r="N227" s="5">
        <f t="shared" ref="N227:N229" si="101">IF(H227=0,0,L227/H227)</f>
        <v>-0.83152136984439762</v>
      </c>
      <c r="O227" s="14"/>
      <c r="P227" s="1">
        <f>SUM(OSRRefP22_20x_0)</f>
        <v>783.77</v>
      </c>
      <c r="Q227" s="1"/>
      <c r="R227" s="5">
        <f t="shared" ref="R227:R229" si="102">IF(P$12=0,0,P227/P$12)</f>
        <v>3.5682876803726254E-4</v>
      </c>
      <c r="S227" s="1"/>
      <c r="T227" s="1">
        <f>SUM(OSRRefT22_20x_0)</f>
        <v>2228.0500000000002</v>
      </c>
      <c r="U227" s="1"/>
      <c r="V227" s="5">
        <f t="shared" ref="V227:V229" si="103">IF(T$12=0,0,T227/T$12)</f>
        <v>4.7099780169246243E-4</v>
      </c>
      <c r="W227" s="1"/>
      <c r="X227" s="1">
        <f t="shared" ref="X227:X229" si="104">+P227-T227</f>
        <v>-1444.2800000000002</v>
      </c>
      <c r="Y227" s="1"/>
      <c r="Z227" s="5">
        <f t="shared" ref="Z227:Z229" si="105">IF(T227=0,0,X227/T227)</f>
        <v>-0.64822602724355383</v>
      </c>
    </row>
    <row r="228" spans="1:26" s="24" customFormat="1" hidden="1" outlineLevel="2" x14ac:dyDescent="0.25">
      <c r="A228" s="28"/>
      <c r="B228" s="11" t="str">
        <f>CONCATENATE("          ", "6258", " - ", "MEMBERSHIP DUES")</f>
        <v xml:space="preserve">          6258 - MEMBERSHIP DUES</v>
      </c>
      <c r="C228" s="11"/>
      <c r="D228" s="7">
        <v>73.040000000000006</v>
      </c>
      <c r="E228" s="2"/>
      <c r="F228" s="6">
        <f t="shared" si="98"/>
        <v>1.9692249821747933E-4</v>
      </c>
      <c r="G228" s="2"/>
      <c r="H228" s="7">
        <v>250</v>
      </c>
      <c r="I228" s="2"/>
      <c r="J228" s="6">
        <f t="shared" si="99"/>
        <v>1.6801054944960421E-4</v>
      </c>
      <c r="K228" s="2"/>
      <c r="L228" s="7">
        <f t="shared" si="100"/>
        <v>-176.95999999999998</v>
      </c>
      <c r="M228" s="2"/>
      <c r="N228" s="6">
        <f t="shared" si="101"/>
        <v>-0.70783999999999991</v>
      </c>
      <c r="O228" s="11"/>
      <c r="P228" s="7">
        <v>633.04</v>
      </c>
      <c r="Q228" s="2"/>
      <c r="R228" s="6">
        <f t="shared" si="102"/>
        <v>2.8820557474553587E-4</v>
      </c>
      <c r="S228" s="2"/>
      <c r="T228" s="7">
        <v>908.85</v>
      </c>
      <c r="U228" s="2"/>
      <c r="V228" s="6">
        <f t="shared" si="103"/>
        <v>1.9212600797477366E-4</v>
      </c>
      <c r="W228" s="2"/>
      <c r="X228" s="7">
        <f t="shared" si="104"/>
        <v>-275.81000000000006</v>
      </c>
      <c r="Y228" s="2"/>
      <c r="Z228" s="6">
        <f t="shared" si="105"/>
        <v>-0.30347141992628052</v>
      </c>
    </row>
    <row r="229" spans="1:26" s="24" customFormat="1" hidden="1" outlineLevel="2" x14ac:dyDescent="0.25">
      <c r="A229" s="28"/>
      <c r="B229" s="11" t="str">
        <f>CONCATENATE("          ", "6275", " - ", "SUBSCRIPTIONS")</f>
        <v xml:space="preserve">          6275 - SUBSCRIPTIONS</v>
      </c>
      <c r="C229" s="11"/>
      <c r="D229" s="7">
        <v>75.73</v>
      </c>
      <c r="E229" s="2"/>
      <c r="F229" s="6">
        <f t="shared" si="98"/>
        <v>2.0417498343386787E-4</v>
      </c>
      <c r="G229" s="2"/>
      <c r="H229" s="7">
        <v>633.02</v>
      </c>
      <c r="I229" s="2"/>
      <c r="J229" s="6">
        <f t="shared" si="99"/>
        <v>4.2541615205035383E-4</v>
      </c>
      <c r="K229" s="2"/>
      <c r="L229" s="7">
        <f t="shared" si="100"/>
        <v>-557.29</v>
      </c>
      <c r="M229" s="2"/>
      <c r="N229" s="6">
        <f t="shared" si="101"/>
        <v>-0.8803671290006635</v>
      </c>
      <c r="O229" s="11"/>
      <c r="P229" s="7">
        <v>150.72999999999999</v>
      </c>
      <c r="Q229" s="2"/>
      <c r="R229" s="6">
        <f t="shared" si="102"/>
        <v>6.8623193291726629E-5</v>
      </c>
      <c r="S229" s="2"/>
      <c r="T229" s="7">
        <v>1319.2</v>
      </c>
      <c r="U229" s="2"/>
      <c r="V229" s="6">
        <f t="shared" si="103"/>
        <v>2.7887179371768872E-4</v>
      </c>
      <c r="W229" s="2"/>
      <c r="X229" s="7">
        <f t="shared" si="104"/>
        <v>-1168.47</v>
      </c>
      <c r="Y229" s="2"/>
      <c r="Z229" s="6">
        <f t="shared" si="105"/>
        <v>-0.88574135839902968</v>
      </c>
    </row>
    <row r="230" spans="1:26" s="27" customFormat="1" outlineLevel="1" collapsed="1" x14ac:dyDescent="0.25">
      <c r="A230" s="29"/>
      <c r="B230" s="14" t="str">
        <f>CONCATENATE("     ","Supplies                                          ")</f>
        <v xml:space="preserve">     Supplies                                          </v>
      </c>
      <c r="C230" s="14"/>
      <c r="D230" s="1">
        <f>SUM(OSRRefD22_21x_0)</f>
        <v>14576.420000000002</v>
      </c>
      <c r="E230" s="1"/>
      <c r="F230" s="5">
        <f t="shared" ref="F230:F237" si="106">IF(D$12=0,0,D230/D$12)</f>
        <v>3.9299357084710163E-2</v>
      </c>
      <c r="G230" s="1"/>
      <c r="H230" s="1">
        <f>SUM(OSRRefH22_21x_0)</f>
        <v>27368.699999999997</v>
      </c>
      <c r="I230" s="1"/>
      <c r="J230" s="5">
        <f t="shared" ref="J230:J237" si="107">IF(H$12=0,0,H230/H$12)</f>
        <v>1.839292129888553E-2</v>
      </c>
      <c r="K230" s="1"/>
      <c r="L230" s="1">
        <f t="shared" ref="L230:L237" si="108">+D230-H230</f>
        <v>-12792.279999999995</v>
      </c>
      <c r="M230" s="1"/>
      <c r="N230" s="5">
        <f t="shared" ref="N230:N237" si="109">IF(H230=0,0,L230/H230)</f>
        <v>-0.46740546682889567</v>
      </c>
      <c r="O230" s="14"/>
      <c r="P230" s="1">
        <f>SUM(OSRRefP22_21x_0)</f>
        <v>34443.229999999996</v>
      </c>
      <c r="Q230" s="1"/>
      <c r="R230" s="5">
        <f t="shared" ref="R230:R237" si="110">IF(P$12=0,0,P230/P$12)</f>
        <v>1.5681048430182427E-2</v>
      </c>
      <c r="S230" s="1"/>
      <c r="T230" s="1">
        <f>SUM(OSRRefT22_21x_0)</f>
        <v>57370.770000000004</v>
      </c>
      <c r="U230" s="1"/>
      <c r="V230" s="5">
        <f t="shared" ref="V230:V237" si="111">IF(T$12=0,0,T230/T$12)</f>
        <v>1.2127872602232387E-2</v>
      </c>
      <c r="W230" s="1"/>
      <c r="X230" s="1">
        <f t="shared" ref="X230:X237" si="112">+P230-T230</f>
        <v>-22927.540000000008</v>
      </c>
      <c r="Y230" s="1"/>
      <c r="Z230" s="5">
        <f t="shared" ref="Z230:Z237" si="113">IF(T230=0,0,X230/T230)</f>
        <v>-0.39963800381274306</v>
      </c>
    </row>
    <row r="231" spans="1:26" s="24" customFormat="1" hidden="1" outlineLevel="2" x14ac:dyDescent="0.25">
      <c r="A231" s="28"/>
      <c r="B231" s="11" t="str">
        <f>CONCATENATE("          ", "6234", " - ", "EXPENDABLE SUPPLIES &amp; EQUIPMEN")</f>
        <v xml:space="preserve">          6234 - EXPENDABLE SUPPLIES &amp; EQUIPMEN</v>
      </c>
      <c r="C231" s="11"/>
      <c r="D231" s="7">
        <v>316.67</v>
      </c>
      <c r="E231" s="2"/>
      <c r="F231" s="6">
        <f t="shared" si="106"/>
        <v>8.5377118716496682E-4</v>
      </c>
      <c r="G231" s="2"/>
      <c r="H231" s="7"/>
      <c r="I231" s="2"/>
      <c r="J231" s="6">
        <f t="shared" si="107"/>
        <v>0</v>
      </c>
      <c r="K231" s="2"/>
      <c r="L231" s="7">
        <f t="shared" si="108"/>
        <v>316.67</v>
      </c>
      <c r="M231" s="2"/>
      <c r="N231" s="6">
        <f t="shared" si="109"/>
        <v>0</v>
      </c>
      <c r="O231" s="11"/>
      <c r="P231" s="7">
        <v>316.67</v>
      </c>
      <c r="Q231" s="2"/>
      <c r="R231" s="6">
        <f t="shared" si="110"/>
        <v>1.4417107821728303E-4</v>
      </c>
      <c r="S231" s="2"/>
      <c r="T231" s="7">
        <v>2780.34</v>
      </c>
      <c r="U231" s="2"/>
      <c r="V231" s="6">
        <f t="shared" si="111"/>
        <v>5.87748940983201E-4</v>
      </c>
      <c r="W231" s="2"/>
      <c r="X231" s="7">
        <f t="shared" si="112"/>
        <v>-2463.67</v>
      </c>
      <c r="Y231" s="2"/>
      <c r="Z231" s="6">
        <f t="shared" si="113"/>
        <v>-0.88610385780156387</v>
      </c>
    </row>
    <row r="232" spans="1:26" s="24" customFormat="1" hidden="1" outlineLevel="2" x14ac:dyDescent="0.25">
      <c r="A232" s="28"/>
      <c r="B232" s="11" t="str">
        <f>CONCATENATE("          ", "6235", " - ", "COVID-19 EXPENSES")</f>
        <v xml:space="preserve">          6235 - COVID-19 EXPENSES</v>
      </c>
      <c r="C232" s="11"/>
      <c r="D232" s="7">
        <v>2460.7800000000002</v>
      </c>
      <c r="E232" s="2"/>
      <c r="F232" s="6">
        <f t="shared" si="106"/>
        <v>6.63448720103517E-3</v>
      </c>
      <c r="G232" s="2"/>
      <c r="H232" s="7"/>
      <c r="I232" s="2"/>
      <c r="J232" s="6">
        <f t="shared" si="107"/>
        <v>0</v>
      </c>
      <c r="K232" s="2"/>
      <c r="L232" s="7">
        <f t="shared" si="108"/>
        <v>2460.7800000000002</v>
      </c>
      <c r="M232" s="2"/>
      <c r="N232" s="6">
        <f t="shared" si="109"/>
        <v>0</v>
      </c>
      <c r="O232" s="11"/>
      <c r="P232" s="7">
        <v>9301.94</v>
      </c>
      <c r="Q232" s="2"/>
      <c r="R232" s="6">
        <f t="shared" si="110"/>
        <v>4.2349155881910945E-3</v>
      </c>
      <c r="S232" s="2"/>
      <c r="T232" s="7"/>
      <c r="U232" s="2"/>
      <c r="V232" s="6">
        <f t="shared" si="111"/>
        <v>0</v>
      </c>
      <c r="W232" s="2"/>
      <c r="X232" s="7">
        <f t="shared" si="112"/>
        <v>9301.94</v>
      </c>
      <c r="Y232" s="2"/>
      <c r="Z232" s="6">
        <f t="shared" si="113"/>
        <v>0</v>
      </c>
    </row>
    <row r="233" spans="1:26" s="24" customFormat="1" hidden="1" outlineLevel="2" x14ac:dyDescent="0.25">
      <c r="A233" s="28"/>
      <c r="B233" s="11" t="str">
        <f>CONCATENATE("          ", "6237", " - ", "JANITORIAL SUPPLIES")</f>
        <v xml:space="preserve">          6237 - JANITORIAL SUPPLIES</v>
      </c>
      <c r="C233" s="11"/>
      <c r="D233" s="7">
        <v>317.57</v>
      </c>
      <c r="E233" s="2"/>
      <c r="F233" s="6">
        <f t="shared" si="106"/>
        <v>8.561976692076247E-4</v>
      </c>
      <c r="G233" s="2"/>
      <c r="H233" s="7">
        <v>1260.17</v>
      </c>
      <c r="I233" s="2"/>
      <c r="J233" s="6">
        <f t="shared" si="107"/>
        <v>8.4688741639963097E-4</v>
      </c>
      <c r="K233" s="2"/>
      <c r="L233" s="7">
        <f t="shared" si="108"/>
        <v>-942.60000000000014</v>
      </c>
      <c r="M233" s="2"/>
      <c r="N233" s="6">
        <f t="shared" si="109"/>
        <v>-0.74799431822690599</v>
      </c>
      <c r="O233" s="11"/>
      <c r="P233" s="7">
        <v>456.88</v>
      </c>
      <c r="Q233" s="2"/>
      <c r="R233" s="6">
        <f t="shared" si="110"/>
        <v>2.0800480694701826E-4</v>
      </c>
      <c r="S233" s="2"/>
      <c r="T233" s="7">
        <v>3049.51</v>
      </c>
      <c r="U233" s="2"/>
      <c r="V233" s="6">
        <f t="shared" si="111"/>
        <v>6.4465003309583768E-4</v>
      </c>
      <c r="W233" s="2"/>
      <c r="X233" s="7">
        <f t="shared" si="112"/>
        <v>-2592.63</v>
      </c>
      <c r="Y233" s="2"/>
      <c r="Z233" s="6">
        <f t="shared" si="113"/>
        <v>-0.85017920911884204</v>
      </c>
    </row>
    <row r="234" spans="1:26" s="24" customFormat="1" hidden="1" outlineLevel="2" x14ac:dyDescent="0.25">
      <c r="A234" s="28"/>
      <c r="B234" s="11" t="str">
        <f>CONCATENATE("          ", "6241", " - ", "OFFICE EXPENSE")</f>
        <v xml:space="preserve">          6241 - OFFICE EXPENSE</v>
      </c>
      <c r="C234" s="11"/>
      <c r="D234" s="7">
        <v>4845.55</v>
      </c>
      <c r="E234" s="2"/>
      <c r="F234" s="6">
        <f t="shared" si="106"/>
        <v>1.3064044513112088E-2</v>
      </c>
      <c r="G234" s="2"/>
      <c r="H234" s="7">
        <v>2982.56</v>
      </c>
      <c r="I234" s="2"/>
      <c r="J234" s="6">
        <f t="shared" si="107"/>
        <v>2.0044061774656462E-3</v>
      </c>
      <c r="K234" s="2"/>
      <c r="L234" s="7">
        <f t="shared" si="108"/>
        <v>1862.9900000000002</v>
      </c>
      <c r="M234" s="2"/>
      <c r="N234" s="6">
        <f t="shared" si="109"/>
        <v>0.62462783648945885</v>
      </c>
      <c r="O234" s="11"/>
      <c r="P234" s="7">
        <v>7610.79</v>
      </c>
      <c r="Q234" s="2"/>
      <c r="R234" s="6">
        <f t="shared" si="110"/>
        <v>3.4649818435131701E-3</v>
      </c>
      <c r="S234" s="2"/>
      <c r="T234" s="7">
        <v>10730.64</v>
      </c>
      <c r="U234" s="2"/>
      <c r="V234" s="6">
        <f t="shared" si="111"/>
        <v>2.2683996547443745E-3</v>
      </c>
      <c r="W234" s="2"/>
      <c r="X234" s="7">
        <f t="shared" si="112"/>
        <v>-3119.8499999999995</v>
      </c>
      <c r="Y234" s="2"/>
      <c r="Z234" s="6">
        <f t="shared" si="113"/>
        <v>-0.29074221108899373</v>
      </c>
    </row>
    <row r="235" spans="1:26" s="24" customFormat="1" hidden="1" outlineLevel="2" x14ac:dyDescent="0.25">
      <c r="A235" s="28"/>
      <c r="B235" s="11" t="str">
        <f>CONCATENATE("          ", "6243", " - ", "PAPER SUPPLIES")</f>
        <v xml:space="preserve">          6243 - PAPER SUPPLIES</v>
      </c>
      <c r="C235" s="11"/>
      <c r="D235" s="7"/>
      <c r="E235" s="2"/>
      <c r="F235" s="6">
        <f t="shared" si="106"/>
        <v>0</v>
      </c>
      <c r="G235" s="2"/>
      <c r="H235" s="7">
        <v>516.04999999999995</v>
      </c>
      <c r="I235" s="2"/>
      <c r="J235" s="6">
        <f t="shared" si="107"/>
        <v>3.4680737617387295E-4</v>
      </c>
      <c r="K235" s="2"/>
      <c r="L235" s="7">
        <f t="shared" si="108"/>
        <v>-516.04999999999995</v>
      </c>
      <c r="M235" s="2"/>
      <c r="N235" s="6">
        <f t="shared" si="109"/>
        <v>-1</v>
      </c>
      <c r="O235" s="11"/>
      <c r="P235" s="7">
        <v>3124.69</v>
      </c>
      <c r="Q235" s="2"/>
      <c r="R235" s="6">
        <f t="shared" si="110"/>
        <v>1.4225847929856385E-3</v>
      </c>
      <c r="S235" s="2"/>
      <c r="T235" s="7">
        <v>3776.01</v>
      </c>
      <c r="U235" s="2"/>
      <c r="V235" s="6">
        <f t="shared" si="111"/>
        <v>7.9822823059121431E-4</v>
      </c>
      <c r="W235" s="2"/>
      <c r="X235" s="7">
        <f t="shared" si="112"/>
        <v>-651.32000000000016</v>
      </c>
      <c r="Y235" s="2"/>
      <c r="Z235" s="6">
        <f t="shared" si="113"/>
        <v>-0.17248894997629777</v>
      </c>
    </row>
    <row r="236" spans="1:26" s="24" customFormat="1" hidden="1" outlineLevel="2" x14ac:dyDescent="0.25">
      <c r="A236" s="28"/>
      <c r="B236" s="11" t="str">
        <f>CONCATENATE("          ", "6245", " - ", "PRINTING")</f>
        <v xml:space="preserve">          6245 - PRINTING</v>
      </c>
      <c r="C236" s="11"/>
      <c r="D236" s="7">
        <v>356.96</v>
      </c>
      <c r="E236" s="2"/>
      <c r="F236" s="6">
        <f t="shared" si="106"/>
        <v>9.6239669994128442E-4</v>
      </c>
      <c r="G236" s="2"/>
      <c r="H236" s="7">
        <v>290.44</v>
      </c>
      <c r="I236" s="2"/>
      <c r="J236" s="6">
        <f t="shared" si="107"/>
        <v>1.9518793592857218E-4</v>
      </c>
      <c r="K236" s="2"/>
      <c r="L236" s="7">
        <f t="shared" si="108"/>
        <v>66.519999999999982</v>
      </c>
      <c r="M236" s="2"/>
      <c r="N236" s="6">
        <f t="shared" si="109"/>
        <v>0.22903181379975204</v>
      </c>
      <c r="O236" s="11"/>
      <c r="P236" s="7">
        <v>61.46</v>
      </c>
      <c r="Q236" s="2"/>
      <c r="R236" s="6">
        <f t="shared" si="110"/>
        <v>2.7981035359314792E-5</v>
      </c>
      <c r="S236" s="2"/>
      <c r="T236" s="7">
        <v>5275.55</v>
      </c>
      <c r="U236" s="2"/>
      <c r="V236" s="6">
        <f t="shared" si="111"/>
        <v>1.115222931585319E-3</v>
      </c>
      <c r="W236" s="2"/>
      <c r="X236" s="7">
        <f t="shared" si="112"/>
        <v>-5214.09</v>
      </c>
      <c r="Y236" s="2"/>
      <c r="Z236" s="6">
        <f t="shared" si="113"/>
        <v>-0.9883500298547071</v>
      </c>
    </row>
    <row r="237" spans="1:26" s="24" customFormat="1" hidden="1" outlineLevel="2" x14ac:dyDescent="0.25">
      <c r="A237" s="28"/>
      <c r="B237" s="11" t="str">
        <f>CONCATENATE("          ", "6247", " - ", "STORE SUPPLIES")</f>
        <v xml:space="preserve">          6247 - STORE SUPPLIES</v>
      </c>
      <c r="C237" s="11"/>
      <c r="D237" s="7">
        <v>6278.89</v>
      </c>
      <c r="E237" s="2"/>
      <c r="F237" s="6">
        <f t="shared" si="106"/>
        <v>1.6928459814249026E-2</v>
      </c>
      <c r="G237" s="2"/>
      <c r="H237" s="7">
        <v>22319.48</v>
      </c>
      <c r="I237" s="2"/>
      <c r="J237" s="6">
        <f t="shared" si="107"/>
        <v>1.4999632392917808E-2</v>
      </c>
      <c r="K237" s="2"/>
      <c r="L237" s="7">
        <f t="shared" si="108"/>
        <v>-16040.59</v>
      </c>
      <c r="M237" s="2"/>
      <c r="N237" s="6">
        <f t="shared" si="109"/>
        <v>-0.71868116999141562</v>
      </c>
      <c r="O237" s="11"/>
      <c r="P237" s="7">
        <v>13570.8</v>
      </c>
      <c r="Q237" s="2"/>
      <c r="R237" s="6">
        <f t="shared" si="110"/>
        <v>6.1784092849689089E-3</v>
      </c>
      <c r="S237" s="2"/>
      <c r="T237" s="7">
        <v>31758.720000000001</v>
      </c>
      <c r="U237" s="2"/>
      <c r="V237" s="6">
        <f t="shared" si="111"/>
        <v>6.7136228112324404E-3</v>
      </c>
      <c r="W237" s="2"/>
      <c r="X237" s="7">
        <f t="shared" si="112"/>
        <v>-18187.920000000002</v>
      </c>
      <c r="Y237" s="2"/>
      <c r="Z237" s="6">
        <f t="shared" si="113"/>
        <v>-0.57269058702617737</v>
      </c>
    </row>
    <row r="238" spans="1:26" s="27" customFormat="1" outlineLevel="1" collapsed="1" x14ac:dyDescent="0.25">
      <c r="A238" s="29"/>
      <c r="B238" s="14" t="str">
        <f>CONCATENATE("     ","Telephone/Data Lines                              ")</f>
        <v xml:space="preserve">     Telephone/Data Lines                              </v>
      </c>
      <c r="C238" s="14"/>
      <c r="D238" s="1">
        <f>SUM(OSRRefD22_22x_0)</f>
        <v>5389.41</v>
      </c>
      <c r="E238" s="1"/>
      <c r="F238" s="5">
        <f t="shared" ref="F238:F240" si="114">IF(D$12=0,0,D238/D$12)</f>
        <v>1.4530340650578658E-2</v>
      </c>
      <c r="G238" s="1"/>
      <c r="H238" s="1">
        <f>SUM(OSRRefH22_22x_0)</f>
        <v>6427.04</v>
      </c>
      <c r="I238" s="1"/>
      <c r="J238" s="5">
        <f t="shared" ref="J238:J240" si="115">IF(H$12=0,0,H238/H$12)</f>
        <v>4.3192420869383368E-3</v>
      </c>
      <c r="K238" s="1"/>
      <c r="L238" s="1">
        <f t="shared" ref="L238:L240" si="116">+D238-H238</f>
        <v>-1037.6300000000001</v>
      </c>
      <c r="M238" s="1"/>
      <c r="N238" s="5">
        <f t="shared" ref="N238:N240" si="117">IF(H238=0,0,L238/H238)</f>
        <v>-0.1614475715103687</v>
      </c>
      <c r="O238" s="14"/>
      <c r="P238" s="1">
        <f>SUM(OSRRefP22_22x_0)</f>
        <v>10637.03</v>
      </c>
      <c r="Q238" s="1"/>
      <c r="R238" s="5">
        <f t="shared" ref="R238:R240" si="118">IF(P$12=0,0,P238/P$12)</f>
        <v>4.8427450788820735E-3</v>
      </c>
      <c r="S238" s="1"/>
      <c r="T238" s="1">
        <f>SUM(OSRRefT22_22x_0)</f>
        <v>11425.98</v>
      </c>
      <c r="U238" s="1"/>
      <c r="V238" s="5">
        <f t="shared" ref="V238:V240" si="119">IF(T$12=0,0,T238/T$12)</f>
        <v>2.4153907956204041E-3</v>
      </c>
      <c r="W238" s="1"/>
      <c r="X238" s="1">
        <f t="shared" ref="X238:X240" si="120">+P238-T238</f>
        <v>-788.94999999999891</v>
      </c>
      <c r="Y238" s="1"/>
      <c r="Z238" s="5">
        <f t="shared" ref="Z238:Z240" si="121">IF(T238=0,0,X238/T238)</f>
        <v>-6.904878181127562E-2</v>
      </c>
    </row>
    <row r="239" spans="1:26" s="24" customFormat="1" hidden="1" outlineLevel="2" x14ac:dyDescent="0.25">
      <c r="A239" s="28"/>
      <c r="B239" s="11" t="str">
        <f>CONCATENATE("          ", "6303", " - ", "DATA PHONE LINES")</f>
        <v xml:space="preserve">          6303 - DATA PHONE LINES</v>
      </c>
      <c r="C239" s="11"/>
      <c r="D239" s="7">
        <v>885</v>
      </c>
      <c r="E239" s="2"/>
      <c r="F239" s="6">
        <f t="shared" si="114"/>
        <v>2.3860406752802465E-3</v>
      </c>
      <c r="G239" s="2"/>
      <c r="H239" s="7">
        <v>295</v>
      </c>
      <c r="I239" s="2"/>
      <c r="J239" s="6">
        <f t="shared" si="115"/>
        <v>1.9825244835053297E-4</v>
      </c>
      <c r="K239" s="2"/>
      <c r="L239" s="7">
        <f t="shared" si="116"/>
        <v>590</v>
      </c>
      <c r="M239" s="2"/>
      <c r="N239" s="6">
        <f t="shared" si="117"/>
        <v>2</v>
      </c>
      <c r="O239" s="11"/>
      <c r="P239" s="7">
        <v>1180</v>
      </c>
      <c r="Q239" s="2"/>
      <c r="R239" s="6">
        <f t="shared" si="118"/>
        <v>5.372213101853474E-4</v>
      </c>
      <c r="S239" s="2"/>
      <c r="T239" s="7">
        <v>885</v>
      </c>
      <c r="U239" s="2"/>
      <c r="V239" s="6">
        <f t="shared" si="119"/>
        <v>1.8708424608865565E-4</v>
      </c>
      <c r="W239" s="2"/>
      <c r="X239" s="7">
        <f t="shared" si="120"/>
        <v>295</v>
      </c>
      <c r="Y239" s="2"/>
      <c r="Z239" s="6">
        <f t="shared" si="121"/>
        <v>0.33333333333333331</v>
      </c>
    </row>
    <row r="240" spans="1:26" s="24" customFormat="1" hidden="1" outlineLevel="2" x14ac:dyDescent="0.25">
      <c r="A240" s="28"/>
      <c r="B240" s="11" t="str">
        <f>CONCATENATE("          ", "6309", " - ", "TELEPHONE")</f>
        <v xml:space="preserve">          6309 - TELEPHONE</v>
      </c>
      <c r="C240" s="11"/>
      <c r="D240" s="7">
        <v>4504.41</v>
      </c>
      <c r="E240" s="2"/>
      <c r="F240" s="6">
        <f t="shared" si="114"/>
        <v>1.2144299975298412E-2</v>
      </c>
      <c r="G240" s="2"/>
      <c r="H240" s="7">
        <v>6132.04</v>
      </c>
      <c r="I240" s="2"/>
      <c r="J240" s="6">
        <f t="shared" si="115"/>
        <v>4.1209896385878035E-3</v>
      </c>
      <c r="K240" s="2"/>
      <c r="L240" s="7">
        <f t="shared" si="116"/>
        <v>-1627.63</v>
      </c>
      <c r="M240" s="2"/>
      <c r="N240" s="6">
        <f t="shared" si="117"/>
        <v>-0.26543042772062808</v>
      </c>
      <c r="O240" s="11"/>
      <c r="P240" s="7">
        <v>9457.0300000000007</v>
      </c>
      <c r="Q240" s="2"/>
      <c r="R240" s="6">
        <f t="shared" si="118"/>
        <v>4.3055237686967264E-3</v>
      </c>
      <c r="S240" s="2"/>
      <c r="T240" s="7">
        <v>10540.98</v>
      </c>
      <c r="U240" s="2"/>
      <c r="V240" s="6">
        <f t="shared" si="119"/>
        <v>2.2283065495317484E-3</v>
      </c>
      <c r="W240" s="2"/>
      <c r="X240" s="7">
        <f t="shared" si="120"/>
        <v>-1083.9499999999989</v>
      </c>
      <c r="Y240" s="2"/>
      <c r="Z240" s="6">
        <f t="shared" si="121"/>
        <v>-0.1028319947481163</v>
      </c>
    </row>
    <row r="241" spans="1:26" s="27" customFormat="1" outlineLevel="1" collapsed="1" x14ac:dyDescent="0.25">
      <c r="A241" s="29"/>
      <c r="B241" s="14" t="str">
        <f>CONCATENATE("     ","Training                                          ")</f>
        <v xml:space="preserve">     Training                                          </v>
      </c>
      <c r="C241" s="14"/>
      <c r="D241" s="1">
        <f>SUM(OSRRefD22_23x_0)</f>
        <v>0</v>
      </c>
      <c r="E241" s="1"/>
      <c r="F241" s="5">
        <f t="shared" ref="F241:F246" si="122">IF(D$12=0,0,D241/D$12)</f>
        <v>0</v>
      </c>
      <c r="G241" s="1"/>
      <c r="H241" s="1">
        <f>SUM(OSRRefH22_23x_0)</f>
        <v>-4806.29</v>
      </c>
      <c r="I241" s="1"/>
      <c r="J241" s="5">
        <f t="shared" ref="J241:J246" si="123">IF(H$12=0,0,H241/H$12)</f>
        <v>-3.2300296948565527E-3</v>
      </c>
      <c r="K241" s="1"/>
      <c r="L241" s="1">
        <f t="shared" ref="L241:L246" si="124">+D241-H241</f>
        <v>4806.29</v>
      </c>
      <c r="M241" s="1"/>
      <c r="N241" s="5">
        <f t="shared" ref="N241:N246" si="125">IF(H241=0,0,L241/H241)</f>
        <v>-1</v>
      </c>
      <c r="O241" s="14"/>
      <c r="P241" s="1">
        <f>SUM(OSRRefP22_23x_0)</f>
        <v>131.63</v>
      </c>
      <c r="Q241" s="1"/>
      <c r="R241" s="5">
        <f t="shared" ref="R241:R246" si="126">IF(P$12=0,0,P241/P$12)</f>
        <v>5.9927492423472275E-5</v>
      </c>
      <c r="S241" s="1"/>
      <c r="T241" s="1">
        <f>SUM(OSRRefT22_23x_0)</f>
        <v>2516.2399999999998</v>
      </c>
      <c r="U241" s="1"/>
      <c r="V241" s="5">
        <f t="shared" ref="V241:V246" si="127">IF(T$12=0,0,T241/T$12)</f>
        <v>5.3191961963629242E-4</v>
      </c>
      <c r="W241" s="1"/>
      <c r="X241" s="1">
        <f t="shared" ref="X241:X246" si="128">+P241-T241</f>
        <v>-2384.6099999999997</v>
      </c>
      <c r="Y241" s="1"/>
      <c r="Z241" s="5">
        <f t="shared" ref="Z241:Z246" si="129">IF(T241=0,0,X241/T241)</f>
        <v>-0.94768781992178797</v>
      </c>
    </row>
    <row r="242" spans="1:26" s="24" customFormat="1" hidden="1" outlineLevel="2" x14ac:dyDescent="0.25">
      <c r="A242" s="28"/>
      <c r="B242" s="11" t="str">
        <f>CONCATENATE("          ", "6376", " - ", "TRAINING")</f>
        <v xml:space="preserve">          6376 - TRAINING</v>
      </c>
      <c r="C242" s="11"/>
      <c r="D242" s="7"/>
      <c r="E242" s="2"/>
      <c r="F242" s="6">
        <f t="shared" si="122"/>
        <v>0</v>
      </c>
      <c r="G242" s="2"/>
      <c r="H242" s="7">
        <v>-4806.29</v>
      </c>
      <c r="I242" s="2"/>
      <c r="J242" s="6">
        <f t="shared" si="123"/>
        <v>-3.2300296948565527E-3</v>
      </c>
      <c r="K242" s="2"/>
      <c r="L242" s="7">
        <f t="shared" si="124"/>
        <v>4806.29</v>
      </c>
      <c r="M242" s="2"/>
      <c r="N242" s="6">
        <f t="shared" si="125"/>
        <v>-1</v>
      </c>
      <c r="O242" s="11"/>
      <c r="P242" s="7">
        <v>131.63</v>
      </c>
      <c r="Q242" s="2"/>
      <c r="R242" s="6">
        <f t="shared" si="126"/>
        <v>5.9927492423472275E-5</v>
      </c>
      <c r="S242" s="2"/>
      <c r="T242" s="7">
        <v>2516.2399999999998</v>
      </c>
      <c r="U242" s="2"/>
      <c r="V242" s="6">
        <f t="shared" si="127"/>
        <v>5.3191961963629242E-4</v>
      </c>
      <c r="W242" s="2"/>
      <c r="X242" s="7">
        <f t="shared" si="128"/>
        <v>-2384.6099999999997</v>
      </c>
      <c r="Y242" s="2"/>
      <c r="Z242" s="6">
        <f t="shared" si="129"/>
        <v>-0.94768781992178797</v>
      </c>
    </row>
    <row r="243" spans="1:26" s="27" customFormat="1" outlineLevel="1" collapsed="1" x14ac:dyDescent="0.25">
      <c r="A243" s="29"/>
      <c r="B243" s="14" t="str">
        <f>CONCATENATE("     ","Travel                                            ")</f>
        <v xml:space="preserve">     Travel                                            </v>
      </c>
      <c r="C243" s="14"/>
      <c r="D243" s="1">
        <f>SUM(OSRRefD22_24x_0)</f>
        <v>0</v>
      </c>
      <c r="E243" s="1"/>
      <c r="F243" s="5">
        <f t="shared" si="122"/>
        <v>0</v>
      </c>
      <c r="G243" s="1"/>
      <c r="H243" s="1">
        <f>SUM(OSRRefH22_24x_0)</f>
        <v>207.82999999999998</v>
      </c>
      <c r="I243" s="1"/>
      <c r="J243" s="5">
        <f t="shared" si="123"/>
        <v>1.3967052996844497E-4</v>
      </c>
      <c r="K243" s="1"/>
      <c r="L243" s="1">
        <f t="shared" si="124"/>
        <v>-207.82999999999998</v>
      </c>
      <c r="M243" s="1"/>
      <c r="N243" s="5">
        <f t="shared" si="125"/>
        <v>-1</v>
      </c>
      <c r="O243" s="14"/>
      <c r="P243" s="1">
        <f>SUM(OSRRefP22_24x_0)</f>
        <v>300.96999999999997</v>
      </c>
      <c r="Q243" s="1"/>
      <c r="R243" s="5">
        <f t="shared" si="126"/>
        <v>1.3702330315803728E-4</v>
      </c>
      <c r="S243" s="1"/>
      <c r="T243" s="1">
        <f>SUM(OSRRefT22_24x_0)</f>
        <v>613.86</v>
      </c>
      <c r="U243" s="1"/>
      <c r="V243" s="5">
        <f t="shared" si="127"/>
        <v>1.2976670655817193E-4</v>
      </c>
      <c r="W243" s="1"/>
      <c r="X243" s="1">
        <f t="shared" si="128"/>
        <v>-312.89000000000004</v>
      </c>
      <c r="Y243" s="1"/>
      <c r="Z243" s="5">
        <f t="shared" si="129"/>
        <v>-0.50970905418173529</v>
      </c>
    </row>
    <row r="244" spans="1:26" s="24" customFormat="1" hidden="1" outlineLevel="2" x14ac:dyDescent="0.25">
      <c r="A244" s="28"/>
      <c r="B244" s="11" t="str">
        <f>CONCATENATE("          ", "6292", " - ", "TRAVEL/CONFERENCE")</f>
        <v xml:space="preserve">          6292 - TRAVEL/CONFERENCE</v>
      </c>
      <c r="C244" s="11"/>
      <c r="D244" s="7"/>
      <c r="E244" s="2"/>
      <c r="F244" s="6">
        <f t="shared" si="122"/>
        <v>0</v>
      </c>
      <c r="G244" s="2"/>
      <c r="H244" s="7">
        <v>91.13</v>
      </c>
      <c r="I244" s="2"/>
      <c r="J244" s="6">
        <f t="shared" si="123"/>
        <v>6.1243205485369723E-5</v>
      </c>
      <c r="K244" s="2"/>
      <c r="L244" s="7">
        <f t="shared" si="124"/>
        <v>-91.13</v>
      </c>
      <c r="M244" s="2"/>
      <c r="N244" s="6">
        <f t="shared" si="125"/>
        <v>-1</v>
      </c>
      <c r="O244" s="11"/>
      <c r="P244" s="7">
        <v>0.16</v>
      </c>
      <c r="Q244" s="2"/>
      <c r="R244" s="6">
        <f t="shared" si="126"/>
        <v>7.2843567482758982E-8</v>
      </c>
      <c r="S244" s="2"/>
      <c r="T244" s="7">
        <v>341.77</v>
      </c>
      <c r="U244" s="2"/>
      <c r="V244" s="6">
        <f t="shared" si="127"/>
        <v>7.2248342130756875E-5</v>
      </c>
      <c r="W244" s="2"/>
      <c r="X244" s="7">
        <f t="shared" si="128"/>
        <v>-341.60999999999996</v>
      </c>
      <c r="Y244" s="2"/>
      <c r="Z244" s="6">
        <f t="shared" si="129"/>
        <v>-0.99953184890423374</v>
      </c>
    </row>
    <row r="245" spans="1:26" s="24" customFormat="1" hidden="1" outlineLevel="2" x14ac:dyDescent="0.25">
      <c r="A245" s="28"/>
      <c r="B245" s="11" t="str">
        <f>CONCATENATE("          ", "6294", " - ", "TRAVEL OPERATIONAL")</f>
        <v xml:space="preserve">          6294 - TRAVEL OPERATIONAL</v>
      </c>
      <c r="C245" s="11"/>
      <c r="D245" s="7"/>
      <c r="E245" s="2"/>
      <c r="F245" s="6">
        <f t="shared" si="122"/>
        <v>0</v>
      </c>
      <c r="G245" s="2"/>
      <c r="H245" s="7">
        <v>33.43</v>
      </c>
      <c r="I245" s="2"/>
      <c r="J245" s="6">
        <f t="shared" si="123"/>
        <v>2.2466370672401076E-5</v>
      </c>
      <c r="K245" s="2"/>
      <c r="L245" s="7">
        <f t="shared" si="124"/>
        <v>-33.43</v>
      </c>
      <c r="M245" s="2"/>
      <c r="N245" s="6">
        <f t="shared" si="125"/>
        <v>-1</v>
      </c>
      <c r="O245" s="11"/>
      <c r="P245" s="7">
        <v>240.92</v>
      </c>
      <c r="Q245" s="2"/>
      <c r="R245" s="6">
        <f t="shared" si="126"/>
        <v>1.0968420173716433E-4</v>
      </c>
      <c r="S245" s="2"/>
      <c r="T245" s="7">
        <v>102.1</v>
      </c>
      <c r="U245" s="2"/>
      <c r="V245" s="6">
        <f t="shared" si="127"/>
        <v>2.1583391554408745E-5</v>
      </c>
      <c r="W245" s="2"/>
      <c r="X245" s="7">
        <f t="shared" si="128"/>
        <v>138.82</v>
      </c>
      <c r="Y245" s="2"/>
      <c r="Z245" s="6">
        <f t="shared" si="129"/>
        <v>1.3596474045053868</v>
      </c>
    </row>
    <row r="246" spans="1:26" s="24" customFormat="1" hidden="1" outlineLevel="2" x14ac:dyDescent="0.25">
      <c r="A246" s="28"/>
      <c r="B246" s="11" t="str">
        <f>CONCATENATE("          ", "6298", " - ", "VEHICLE MILEAGE")</f>
        <v xml:space="preserve">          6298 - VEHICLE MILEAGE</v>
      </c>
      <c r="C246" s="11"/>
      <c r="D246" s="7"/>
      <c r="E246" s="2"/>
      <c r="F246" s="6">
        <f t="shared" si="122"/>
        <v>0</v>
      </c>
      <c r="G246" s="2"/>
      <c r="H246" s="7">
        <v>83.27</v>
      </c>
      <c r="I246" s="2"/>
      <c r="J246" s="6">
        <f t="shared" si="123"/>
        <v>5.5960953810674166E-5</v>
      </c>
      <c r="K246" s="2"/>
      <c r="L246" s="7">
        <f t="shared" si="124"/>
        <v>-83.27</v>
      </c>
      <c r="M246" s="2"/>
      <c r="N246" s="6">
        <f t="shared" si="125"/>
        <v>-1</v>
      </c>
      <c r="O246" s="11"/>
      <c r="P246" s="7">
        <v>59.89</v>
      </c>
      <c r="Q246" s="2"/>
      <c r="R246" s="6">
        <f t="shared" si="126"/>
        <v>2.726625785339022E-5</v>
      </c>
      <c r="S246" s="2"/>
      <c r="T246" s="7">
        <v>169.99</v>
      </c>
      <c r="U246" s="2"/>
      <c r="V246" s="6">
        <f t="shared" si="127"/>
        <v>3.5934972873006295E-5</v>
      </c>
      <c r="W246" s="2"/>
      <c r="X246" s="7">
        <f t="shared" si="128"/>
        <v>-110.10000000000001</v>
      </c>
      <c r="Y246" s="2"/>
      <c r="Z246" s="6">
        <f t="shared" si="129"/>
        <v>-0.64768515795046766</v>
      </c>
    </row>
    <row r="247" spans="1:26" s="27" customFormat="1" outlineLevel="1" collapsed="1" x14ac:dyDescent="0.25">
      <c r="A247" s="29"/>
      <c r="B247" s="14" t="str">
        <f>CONCATENATE("     ","Utilities                                         ")</f>
        <v xml:space="preserve">     Utilities                                         </v>
      </c>
      <c r="C247" s="14"/>
      <c r="D247" s="1">
        <f>SUM(OSRRefD22_25x_0)</f>
        <v>6211.01</v>
      </c>
      <c r="E247" s="1"/>
      <c r="F247" s="5">
        <f t="shared" ref="F247:F248" si="130">IF(D$12=0,0,D247/D$12)</f>
        <v>1.674544914640945E-2</v>
      </c>
      <c r="G247" s="1"/>
      <c r="H247" s="1">
        <f>SUM(OSRRefH22_25x_0)</f>
        <v>6647.02</v>
      </c>
      <c r="I247" s="1"/>
      <c r="J247" s="5">
        <f t="shared" ref="J247:J248" si="131">IF(H$12=0,0,H247/H$12)</f>
        <v>4.4670779296100329E-3</v>
      </c>
      <c r="K247" s="1"/>
      <c r="L247" s="1">
        <f t="shared" ref="L247:L248" si="132">+D247-H247</f>
        <v>-436.01000000000022</v>
      </c>
      <c r="M247" s="1"/>
      <c r="N247" s="5">
        <f t="shared" ref="N247:N248" si="133">IF(H247=0,0,L247/H247)</f>
        <v>-6.5594807898878019E-2</v>
      </c>
      <c r="O247" s="14"/>
      <c r="P247" s="1">
        <f>SUM(OSRRefP22_25x_0)</f>
        <v>18632.38</v>
      </c>
      <c r="Q247" s="1"/>
      <c r="R247" s="5">
        <f t="shared" ref="R247:R248" si="134">IF(P$12=0,0,P247/P$12)</f>
        <v>8.4828064368400544E-3</v>
      </c>
      <c r="S247" s="1"/>
      <c r="T247" s="1">
        <f>SUM(OSRRefT22_25x_0)</f>
        <v>12392.92</v>
      </c>
      <c r="U247" s="1"/>
      <c r="V247" s="5">
        <f t="shared" ref="V247:V248" si="135">IF(T$12=0,0,T247/T$12)</f>
        <v>2.6197967175559576E-3</v>
      </c>
      <c r="W247" s="1"/>
      <c r="X247" s="1">
        <f t="shared" ref="X247:X248" si="136">+P247-T247</f>
        <v>6239.4600000000009</v>
      </c>
      <c r="Y247" s="1"/>
      <c r="Z247" s="5">
        <f t="shared" ref="Z247:Z248" si="137">IF(T247=0,0,X247/T247)</f>
        <v>0.5034697230354106</v>
      </c>
    </row>
    <row r="248" spans="1:26" s="24" customFormat="1" hidden="1" outlineLevel="2" x14ac:dyDescent="0.25">
      <c r="A248" s="28"/>
      <c r="B248" s="11" t="str">
        <f>CONCATENATE("          ", "6274", " - ", "UTILITIES")</f>
        <v xml:space="preserve">          6274 - UTILITIES</v>
      </c>
      <c r="C248" s="11"/>
      <c r="D248" s="7">
        <v>6211.01</v>
      </c>
      <c r="E248" s="2"/>
      <c r="F248" s="6">
        <f t="shared" si="130"/>
        <v>1.674544914640945E-2</v>
      </c>
      <c r="G248" s="2"/>
      <c r="H248" s="7">
        <v>6647.02</v>
      </c>
      <c r="I248" s="2"/>
      <c r="J248" s="6">
        <f t="shared" si="131"/>
        <v>4.4670779296100329E-3</v>
      </c>
      <c r="K248" s="2"/>
      <c r="L248" s="7">
        <f t="shared" si="132"/>
        <v>-436.01000000000022</v>
      </c>
      <c r="M248" s="2"/>
      <c r="N248" s="6">
        <f t="shared" si="133"/>
        <v>-6.5594807898878019E-2</v>
      </c>
      <c r="O248" s="11"/>
      <c r="P248" s="7">
        <v>18632.38</v>
      </c>
      <c r="Q248" s="2"/>
      <c r="R248" s="6">
        <f t="shared" si="134"/>
        <v>8.4828064368400544E-3</v>
      </c>
      <c r="S248" s="2"/>
      <c r="T248" s="7">
        <v>12392.92</v>
      </c>
      <c r="U248" s="2"/>
      <c r="V248" s="6">
        <f t="shared" si="135"/>
        <v>2.6197967175559576E-3</v>
      </c>
      <c r="W248" s="2"/>
      <c r="X248" s="7">
        <f t="shared" si="136"/>
        <v>6239.4600000000009</v>
      </c>
      <c r="Y248" s="2"/>
      <c r="Z248" s="6">
        <f t="shared" si="137"/>
        <v>0.5034697230354106</v>
      </c>
    </row>
    <row r="249" spans="1:26" s="60" customFormat="1" x14ac:dyDescent="0.25">
      <c r="A249" s="37"/>
      <c r="B249" s="37"/>
      <c r="C249" s="37"/>
      <c r="D249" s="1"/>
      <c r="E249" s="1"/>
      <c r="F249" s="5"/>
      <c r="G249" s="1"/>
      <c r="H249" s="1"/>
      <c r="I249" s="1"/>
      <c r="J249" s="5"/>
      <c r="K249" s="1"/>
      <c r="L249" s="1"/>
      <c r="M249" s="1"/>
      <c r="N249" s="5"/>
      <c r="O249" s="37"/>
      <c r="P249" s="1"/>
      <c r="Q249" s="1"/>
      <c r="R249" s="5"/>
      <c r="S249" s="1"/>
      <c r="T249" s="1"/>
      <c r="U249" s="1"/>
      <c r="V249" s="5"/>
      <c r="W249" s="1"/>
      <c r="X249" s="1"/>
      <c r="Y249" s="1"/>
      <c r="Z249" s="5"/>
    </row>
    <row r="250" spans="1:26" s="23" customFormat="1" collapsed="1" x14ac:dyDescent="0.25">
      <c r="A250" s="10"/>
      <c r="B250" s="26" t="s">
        <v>0</v>
      </c>
      <c r="C250" s="10"/>
      <c r="D250" s="4">
        <f>SUM(OSRRefD25x_0)</f>
        <v>166664.99</v>
      </c>
      <c r="E250" s="4"/>
      <c r="F250" s="12">
        <f t="shared" ref="F250:F258" si="138">IF(D$12=0,0,D250/D$12)</f>
        <v>0.44934400597194968</v>
      </c>
      <c r="G250" s="4"/>
      <c r="H250" s="4">
        <f>SUM(OSRRefH25x_0)</f>
        <v>123340.45</v>
      </c>
      <c r="I250" s="4"/>
      <c r="J250" s="12">
        <f t="shared" ref="J250:J258" si="139">IF(H$12=0,0,H250/H$12)</f>
        <v>8.2889987095445733E-2</v>
      </c>
      <c r="K250" s="4"/>
      <c r="L250" s="4">
        <f t="shared" ref="L250:L258" si="140">+D250-H250</f>
        <v>43324.539999999994</v>
      </c>
      <c r="M250" s="4"/>
      <c r="N250" s="12">
        <f t="shared" ref="N250:N258" si="141">IF(H250=0,0,L250/H250)</f>
        <v>0.35125978541508479</v>
      </c>
      <c r="O250" s="10"/>
      <c r="P250" s="4">
        <f>SUM(OSRRefP25x_0)</f>
        <v>421405.64</v>
      </c>
      <c r="Q250" s="4"/>
      <c r="R250" s="12">
        <f t="shared" ref="R250:R258" si="142">IF(P$12=0,0,P250/P$12)</f>
        <v>0.19185431359347022</v>
      </c>
      <c r="S250" s="4"/>
      <c r="T250" s="4">
        <f>SUM(OSRRefT25x_0)</f>
        <v>244543.30000000002</v>
      </c>
      <c r="U250" s="4"/>
      <c r="V250" s="12">
        <f t="shared" ref="V250:V258" si="143">IF(T$12=0,0,T250/T$12)</f>
        <v>5.1695140018680162E-2</v>
      </c>
      <c r="W250" s="4"/>
      <c r="X250" s="4">
        <f t="shared" ref="X250:X258" si="144">+P250-T250</f>
        <v>176862.34</v>
      </c>
      <c r="Y250" s="4"/>
      <c r="Z250" s="12">
        <f t="shared" ref="Z250:Z258" si="145">IF(T250=0,0,X250/T250)</f>
        <v>0.7232352716267425</v>
      </c>
    </row>
    <row r="251" spans="1:26" s="24" customFormat="1" hidden="1" outlineLevel="1" x14ac:dyDescent="0.25">
      <c r="A251" s="44"/>
      <c r="B251" s="11" t="str">
        <f>CONCATENATE("          ", "4098", " - ", "TAXABLE SALES-GRAD RENTALS")</f>
        <v xml:space="preserve">          4098 - TAXABLE SALES-GRAD RENTALS</v>
      </c>
      <c r="C251" s="11"/>
      <c r="D251" s="2">
        <f t="shared" ref="D251:D253" si="146">0</f>
        <v>0</v>
      </c>
      <c r="E251" s="2"/>
      <c r="F251" s="19">
        <f t="shared" si="138"/>
        <v>0</v>
      </c>
      <c r="G251" s="2"/>
      <c r="H251" s="2">
        <f t="shared" ref="H251:H252" si="147">0</f>
        <v>0</v>
      </c>
      <c r="I251" s="2"/>
      <c r="J251" s="19">
        <f t="shared" si="139"/>
        <v>0</v>
      </c>
      <c r="K251" s="2"/>
      <c r="L251" s="2">
        <f t="shared" si="140"/>
        <v>0</v>
      </c>
      <c r="M251" s="2"/>
      <c r="N251" s="19">
        <f t="shared" si="141"/>
        <v>0</v>
      </c>
      <c r="O251" s="11"/>
      <c r="P251" s="2">
        <f t="shared" ref="P251:P253" si="148">0</f>
        <v>0</v>
      </c>
      <c r="Q251" s="2"/>
      <c r="R251" s="19">
        <f t="shared" si="142"/>
        <v>0</v>
      </c>
      <c r="S251" s="2"/>
      <c r="T251" s="2">
        <f>--1626.85</f>
        <v>1626.85</v>
      </c>
      <c r="U251" s="2"/>
      <c r="V251" s="19">
        <f t="shared" si="143"/>
        <v>3.439073511291858E-4</v>
      </c>
      <c r="W251" s="2"/>
      <c r="X251" s="2">
        <f t="shared" si="144"/>
        <v>-1626.85</v>
      </c>
      <c r="Y251" s="2"/>
      <c r="Z251" s="19">
        <f t="shared" si="145"/>
        <v>-1</v>
      </c>
    </row>
    <row r="252" spans="1:26" s="24" customFormat="1" hidden="1" outlineLevel="1" x14ac:dyDescent="0.25">
      <c r="A252" s="44"/>
      <c r="B252" s="11" t="str">
        <f>CONCATENATE("          ", "4197", " - ", "NON-TAXABLE SALES-RETURNED CHE")</f>
        <v xml:space="preserve">          4197 - NON-TAXABLE SALES-RETURNED CHE</v>
      </c>
      <c r="C252" s="11"/>
      <c r="D252" s="2">
        <f t="shared" si="146"/>
        <v>0</v>
      </c>
      <c r="E252" s="2"/>
      <c r="F252" s="19">
        <f t="shared" si="138"/>
        <v>0</v>
      </c>
      <c r="G252" s="2"/>
      <c r="H252" s="2">
        <f t="shared" si="147"/>
        <v>0</v>
      </c>
      <c r="I252" s="2"/>
      <c r="J252" s="19">
        <f t="shared" si="139"/>
        <v>0</v>
      </c>
      <c r="K252" s="2"/>
      <c r="L252" s="2">
        <f t="shared" si="140"/>
        <v>0</v>
      </c>
      <c r="M252" s="2"/>
      <c r="N252" s="19">
        <f t="shared" si="141"/>
        <v>0</v>
      </c>
      <c r="O252" s="11"/>
      <c r="P252" s="2">
        <f t="shared" si="148"/>
        <v>0</v>
      </c>
      <c r="Q252" s="2"/>
      <c r="R252" s="19">
        <f t="shared" si="142"/>
        <v>0</v>
      </c>
      <c r="S252" s="2"/>
      <c r="T252" s="2">
        <f>--30</f>
        <v>30</v>
      </c>
      <c r="U252" s="2"/>
      <c r="V252" s="19">
        <f t="shared" si="143"/>
        <v>6.3418388504629028E-6</v>
      </c>
      <c r="W252" s="2"/>
      <c r="X252" s="2">
        <f t="shared" si="144"/>
        <v>-30</v>
      </c>
      <c r="Y252" s="2"/>
      <c r="Z252" s="19">
        <f t="shared" si="145"/>
        <v>-1</v>
      </c>
    </row>
    <row r="253" spans="1:26" s="24" customFormat="1" hidden="1" outlineLevel="1" x14ac:dyDescent="0.25">
      <c r="A253" s="44"/>
      <c r="B253" s="11" t="str">
        <f>CONCATENATE("          ", "4198", " - ", "NON-TAXABLE SALES-GRAD RENTALS")</f>
        <v xml:space="preserve">          4198 - NON-TAXABLE SALES-GRAD RENTALS</v>
      </c>
      <c r="C253" s="11"/>
      <c r="D253" s="2">
        <f t="shared" si="146"/>
        <v>0</v>
      </c>
      <c r="E253" s="2"/>
      <c r="F253" s="19">
        <f t="shared" si="138"/>
        <v>0</v>
      </c>
      <c r="G253" s="2"/>
      <c r="H253" s="2">
        <f>--30</f>
        <v>30</v>
      </c>
      <c r="I253" s="2"/>
      <c r="J253" s="19">
        <f t="shared" si="139"/>
        <v>2.0161265933952504E-5</v>
      </c>
      <c r="K253" s="2"/>
      <c r="L253" s="2">
        <f t="shared" si="140"/>
        <v>-30</v>
      </c>
      <c r="M253" s="2"/>
      <c r="N253" s="19">
        <f t="shared" si="141"/>
        <v>-1</v>
      </c>
      <c r="O253" s="11"/>
      <c r="P253" s="2">
        <f t="shared" si="148"/>
        <v>0</v>
      </c>
      <c r="Q253" s="2"/>
      <c r="R253" s="19">
        <f t="shared" si="142"/>
        <v>0</v>
      </c>
      <c r="S253" s="2"/>
      <c r="T253" s="2">
        <f>--495</f>
        <v>495</v>
      </c>
      <c r="U253" s="2"/>
      <c r="V253" s="19">
        <f t="shared" si="143"/>
        <v>1.0464034103263789E-4</v>
      </c>
      <c r="W253" s="2"/>
      <c r="X253" s="2">
        <f t="shared" si="144"/>
        <v>-495</v>
      </c>
      <c r="Y253" s="2"/>
      <c r="Z253" s="19">
        <f t="shared" si="145"/>
        <v>-1</v>
      </c>
    </row>
    <row r="254" spans="1:26" s="24" customFormat="1" hidden="1" outlineLevel="1" x14ac:dyDescent="0.25">
      <c r="A254" s="44"/>
      <c r="B254" s="11" t="str">
        <f>CONCATENATE("          ", "9150", " - ", "MISC. INCOME")</f>
        <v xml:space="preserve">          9150 - MISC. INCOME</v>
      </c>
      <c r="C254" s="11"/>
      <c r="D254" s="2">
        <f>--18837.05</f>
        <v>18837.05</v>
      </c>
      <c r="E254" s="2"/>
      <c r="F254" s="19">
        <f t="shared" si="138"/>
        <v>5.0786403957387302E-2</v>
      </c>
      <c r="G254" s="2"/>
      <c r="H254" s="2">
        <f>--39218.84</f>
        <v>39218.839999999997</v>
      </c>
      <c r="I254" s="2"/>
      <c r="J254" s="19">
        <f t="shared" si="139"/>
        <v>2.635671542870446E-2</v>
      </c>
      <c r="K254" s="2"/>
      <c r="L254" s="2">
        <f t="shared" si="140"/>
        <v>-20381.789999999997</v>
      </c>
      <c r="M254" s="2"/>
      <c r="N254" s="19">
        <f t="shared" si="141"/>
        <v>-0.51969385122048484</v>
      </c>
      <c r="O254" s="11"/>
      <c r="P254" s="2">
        <f>--111367.41</f>
        <v>111367.41</v>
      </c>
      <c r="Q254" s="2"/>
      <c r="R254" s="19">
        <f t="shared" si="142"/>
        <v>5.0702496535719295E-2</v>
      </c>
      <c r="S254" s="2"/>
      <c r="T254" s="2">
        <f>--137386.92</f>
        <v>137386.92000000001</v>
      </c>
      <c r="U254" s="2"/>
      <c r="V254" s="19">
        <f t="shared" si="143"/>
        <v>2.9042856893381298E-2</v>
      </c>
      <c r="W254" s="2"/>
      <c r="X254" s="2">
        <f t="shared" si="144"/>
        <v>-26019.510000000009</v>
      </c>
      <c r="Y254" s="2"/>
      <c r="Z254" s="19">
        <f t="shared" si="145"/>
        <v>-0.18938855314610742</v>
      </c>
    </row>
    <row r="255" spans="1:26" s="24" customFormat="1" hidden="1" outlineLevel="1" x14ac:dyDescent="0.25">
      <c r="A255" s="44"/>
      <c r="B255" s="11" t="str">
        <f>CONCATENATE("          ", "9151", " - ", "MISC. INCOME")</f>
        <v xml:space="preserve">          9151 - MISC. INCOME</v>
      </c>
      <c r="C255" s="11"/>
      <c r="D255" s="2">
        <f>--147285.39</f>
        <v>147285.39000000001</v>
      </c>
      <c r="E255" s="2"/>
      <c r="F255" s="19">
        <f t="shared" si="138"/>
        <v>0.39709483775651355</v>
      </c>
      <c r="G255" s="2"/>
      <c r="H255" s="2">
        <f>--83458.02</f>
        <v>83458.02</v>
      </c>
      <c r="I255" s="2"/>
      <c r="J255" s="19">
        <f t="shared" si="139"/>
        <v>5.6087311184704232E-2</v>
      </c>
      <c r="K255" s="2"/>
      <c r="L255" s="2">
        <f t="shared" si="140"/>
        <v>63827.37000000001</v>
      </c>
      <c r="M255" s="2"/>
      <c r="N255" s="19">
        <f t="shared" si="141"/>
        <v>0.76478413937929524</v>
      </c>
      <c r="O255" s="11"/>
      <c r="P255" s="2">
        <f>--147285.39</f>
        <v>147285.39000000001</v>
      </c>
      <c r="Q255" s="2"/>
      <c r="R255" s="19">
        <f t="shared" si="142"/>
        <v>6.7054957785559213E-2</v>
      </c>
      <c r="S255" s="2"/>
      <c r="T255" s="2">
        <f>--83193.51</f>
        <v>83193.509999999995</v>
      </c>
      <c r="U255" s="2"/>
      <c r="V255" s="19">
        <f t="shared" si="143"/>
        <v>1.7586661127479135E-2</v>
      </c>
      <c r="W255" s="2"/>
      <c r="X255" s="2">
        <f t="shared" si="144"/>
        <v>64091.880000000019</v>
      </c>
      <c r="Y255" s="2"/>
      <c r="Z255" s="19">
        <f t="shared" si="145"/>
        <v>0.7703951906825427</v>
      </c>
    </row>
    <row r="256" spans="1:26" s="24" customFormat="1" hidden="1" outlineLevel="1" x14ac:dyDescent="0.25">
      <c r="A256" s="44"/>
      <c r="B256" s="11" t="str">
        <f>CONCATENATE("          ", "9152", " - ", "MISC. INCOME")</f>
        <v xml:space="preserve">          9152 - MISC. INCOME</v>
      </c>
      <c r="C256" s="11"/>
      <c r="D256" s="2">
        <f>--542.55</f>
        <v>542.54999999999995</v>
      </c>
      <c r="E256" s="2"/>
      <c r="F256" s="19">
        <f t="shared" si="138"/>
        <v>1.4627642580489239E-3</v>
      </c>
      <c r="G256" s="2"/>
      <c r="H256" s="2">
        <f>--633.59</f>
        <v>633.59</v>
      </c>
      <c r="I256" s="2"/>
      <c r="J256" s="19">
        <f t="shared" si="139"/>
        <v>4.2579921610309894E-4</v>
      </c>
      <c r="K256" s="2"/>
      <c r="L256" s="2">
        <f t="shared" si="140"/>
        <v>-91.040000000000077</v>
      </c>
      <c r="M256" s="2"/>
      <c r="N256" s="19">
        <f t="shared" si="141"/>
        <v>-0.14368913650783641</v>
      </c>
      <c r="O256" s="11"/>
      <c r="P256" s="2">
        <f>--2088.94</f>
        <v>2088.94</v>
      </c>
      <c r="Q256" s="2"/>
      <c r="R256" s="19">
        <f t="shared" si="142"/>
        <v>9.5103651160896585E-4</v>
      </c>
      <c r="S256" s="2"/>
      <c r="T256" s="2">
        <f>--641.02</f>
        <v>641.02</v>
      </c>
      <c r="U256" s="2"/>
      <c r="V256" s="19">
        <f t="shared" si="143"/>
        <v>1.3550818466412433E-4</v>
      </c>
      <c r="W256" s="2"/>
      <c r="X256" s="2">
        <f t="shared" si="144"/>
        <v>1447.92</v>
      </c>
      <c r="Y256" s="2"/>
      <c r="Z256" s="19">
        <f t="shared" si="145"/>
        <v>2.2587750772206796</v>
      </c>
    </row>
    <row r="257" spans="1:26" s="24" customFormat="1" hidden="1" outlineLevel="1" x14ac:dyDescent="0.25">
      <c r="A257" s="44"/>
      <c r="B257" s="11" t="str">
        <f>CONCATENATE("          ", "9160", " - ", "MISC. INCOME")</f>
        <v xml:space="preserve">          9160 - MISC. INCOME</v>
      </c>
      <c r="C257" s="11"/>
      <c r="D257" s="2">
        <f t="shared" ref="D257:D258" si="149">0</f>
        <v>0</v>
      </c>
      <c r="E257" s="2"/>
      <c r="F257" s="19">
        <f t="shared" si="138"/>
        <v>0</v>
      </c>
      <c r="G257" s="2"/>
      <c r="H257" s="2">
        <f t="shared" ref="H257:H258" si="150">0</f>
        <v>0</v>
      </c>
      <c r="I257" s="2"/>
      <c r="J257" s="19">
        <f t="shared" si="139"/>
        <v>0</v>
      </c>
      <c r="K257" s="2"/>
      <c r="L257" s="2">
        <f t="shared" si="140"/>
        <v>0</v>
      </c>
      <c r="M257" s="2"/>
      <c r="N257" s="19">
        <f t="shared" si="141"/>
        <v>0</v>
      </c>
      <c r="O257" s="11"/>
      <c r="P257" s="2">
        <f>0</f>
        <v>0</v>
      </c>
      <c r="Q257" s="2"/>
      <c r="R257" s="19">
        <f t="shared" si="142"/>
        <v>0</v>
      </c>
      <c r="S257" s="2"/>
      <c r="T257" s="2">
        <f>--21170</f>
        <v>21170</v>
      </c>
      <c r="U257" s="2"/>
      <c r="V257" s="19">
        <f t="shared" si="143"/>
        <v>4.4752242821433216E-3</v>
      </c>
      <c r="W257" s="2"/>
      <c r="X257" s="2">
        <f t="shared" si="144"/>
        <v>-21170</v>
      </c>
      <c r="Y257" s="2"/>
      <c r="Z257" s="19">
        <f t="shared" si="145"/>
        <v>-1</v>
      </c>
    </row>
    <row r="258" spans="1:26" s="24" customFormat="1" hidden="1" outlineLevel="1" x14ac:dyDescent="0.25">
      <c r="A258" s="44"/>
      <c r="B258" s="11" t="str">
        <f>CONCATENATE("          ", "9163", " - ", "MISC. INCOME")</f>
        <v xml:space="preserve">          9163 - MISC. INCOME</v>
      </c>
      <c r="C258" s="11"/>
      <c r="D258" s="2">
        <f t="shared" si="149"/>
        <v>0</v>
      </c>
      <c r="E258" s="2"/>
      <c r="F258" s="19">
        <f t="shared" si="138"/>
        <v>0</v>
      </c>
      <c r="G258" s="2"/>
      <c r="H258" s="2">
        <f t="shared" si="150"/>
        <v>0</v>
      </c>
      <c r="I258" s="2"/>
      <c r="J258" s="19">
        <f t="shared" si="139"/>
        <v>0</v>
      </c>
      <c r="K258" s="2"/>
      <c r="L258" s="2">
        <f t="shared" si="140"/>
        <v>0</v>
      </c>
      <c r="M258" s="2"/>
      <c r="N258" s="19">
        <f t="shared" si="141"/>
        <v>0</v>
      </c>
      <c r="O258" s="11"/>
      <c r="P258" s="2">
        <f>--160663.9</f>
        <v>160663.9</v>
      </c>
      <c r="Q258" s="2"/>
      <c r="R258" s="19">
        <f t="shared" si="142"/>
        <v>7.3145822760582749E-2</v>
      </c>
      <c r="S258" s="2"/>
      <c r="T258" s="2">
        <f>0</f>
        <v>0</v>
      </c>
      <c r="U258" s="2"/>
      <c r="V258" s="19">
        <f t="shared" si="143"/>
        <v>0</v>
      </c>
      <c r="W258" s="2"/>
      <c r="X258" s="2">
        <f t="shared" si="144"/>
        <v>160663.9</v>
      </c>
      <c r="Y258" s="2"/>
      <c r="Z258" s="19">
        <f t="shared" si="145"/>
        <v>0</v>
      </c>
    </row>
    <row r="259" spans="1:26" x14ac:dyDescent="0.25">
      <c r="A259" s="9"/>
      <c r="B259" s="10"/>
      <c r="C259" s="10"/>
      <c r="D259" s="3"/>
      <c r="E259" s="3"/>
      <c r="F259" s="8"/>
      <c r="G259" s="3"/>
      <c r="H259" s="3"/>
      <c r="I259" s="3"/>
      <c r="J259" s="8"/>
      <c r="K259" s="3"/>
      <c r="L259" s="3"/>
      <c r="M259" s="3"/>
      <c r="N259" s="8"/>
      <c r="O259" s="10"/>
      <c r="P259" s="3"/>
      <c r="Q259" s="3"/>
      <c r="R259" s="8"/>
      <c r="S259" s="3"/>
      <c r="T259" s="3"/>
      <c r="U259" s="3"/>
      <c r="V259" s="8"/>
      <c r="W259" s="3"/>
      <c r="X259" s="3"/>
      <c r="Y259" s="3"/>
      <c r="Z259" s="8"/>
    </row>
    <row r="260" spans="1:26" s="23" customFormat="1" x14ac:dyDescent="0.25">
      <c r="A260" s="10"/>
      <c r="B260" s="25" t="s">
        <v>3</v>
      </c>
      <c r="C260" s="25"/>
      <c r="D260" s="22">
        <f>+D157-D159+D250</f>
        <v>14391.640000000101</v>
      </c>
      <c r="E260" s="13"/>
      <c r="F260" s="21">
        <f>IF(D$12=0,0,D260/D$12)</f>
        <v>3.8801173360441185E-2</v>
      </c>
      <c r="G260" s="13"/>
      <c r="H260" s="22">
        <f>+H157-H159+H250</f>
        <v>311728.65999999893</v>
      </c>
      <c r="I260" s="13"/>
      <c r="J260" s="21">
        <f>IF(H$12=0,0,H260/H$12)</f>
        <v>0.20949481378315471</v>
      </c>
      <c r="K260" s="15"/>
      <c r="L260" s="22">
        <f>+D260-H260</f>
        <v>-297337.01999999885</v>
      </c>
      <c r="M260" s="15"/>
      <c r="N260" s="21">
        <f>IF(H260=0,0,L260/H260)</f>
        <v>-0.95383279804943144</v>
      </c>
      <c r="O260" s="26"/>
      <c r="P260" s="22">
        <f>+P157-P159+P250</f>
        <v>266421.51999999944</v>
      </c>
      <c r="Q260" s="13"/>
      <c r="R260" s="21">
        <f>IF(P$12=0,0,P260/P$12)</f>
        <v>0.12129433731861987</v>
      </c>
      <c r="S260" s="13"/>
      <c r="T260" s="22">
        <f>+T157-T159+T250</f>
        <v>681174.60999999894</v>
      </c>
      <c r="U260" s="13"/>
      <c r="V260" s="21">
        <f>IF(T$12=0,0,T260/T$12)</f>
        <v>0.14399665352156366</v>
      </c>
      <c r="W260" s="15"/>
      <c r="X260" s="22">
        <f>+P260-T260</f>
        <v>-414753.0899999995</v>
      </c>
      <c r="Y260" s="15"/>
      <c r="Z260" s="21">
        <f>IF(T260=0,0,X260/T260)</f>
        <v>-0.60887925637745088</v>
      </c>
    </row>
    <row r="261" spans="1:26" x14ac:dyDescent="0.25">
      <c r="A261" s="9"/>
      <c r="B261" s="10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51"/>
      <c r="B262" s="10" t="s">
        <v>13</v>
      </c>
      <c r="C262" s="10"/>
      <c r="D262" s="4">
        <v>98685.319999999992</v>
      </c>
      <c r="E262" s="4"/>
      <c r="F262" s="12">
        <f>IF(D$12=0,0,D262/D$12)</f>
        <v>0.26606461872660697</v>
      </c>
      <c r="G262" s="4"/>
      <c r="H262" s="4">
        <v>103838.16</v>
      </c>
      <c r="I262" s="4"/>
      <c r="J262" s="12">
        <f>IF(H$12=0,0,H262/H$12)</f>
        <v>6.9783625261743656E-2</v>
      </c>
      <c r="K262" s="4"/>
      <c r="L262" s="4">
        <f>+D262-H262</f>
        <v>-5152.8400000000111</v>
      </c>
      <c r="M262" s="4"/>
      <c r="N262" s="12">
        <f>IF(H262=0,0,L262/H262)</f>
        <v>-4.9623760667562009E-2</v>
      </c>
      <c r="O262" s="10"/>
      <c r="P262" s="4">
        <v>406910.31</v>
      </c>
      <c r="Q262" s="4"/>
      <c r="R262" s="12">
        <f>IF(P$12=0,0,P262/P$12)</f>
        <v>0.1852549914119711</v>
      </c>
      <c r="S262" s="4"/>
      <c r="T262" s="4">
        <v>508117.2</v>
      </c>
      <c r="U262" s="4"/>
      <c r="V262" s="12">
        <f>IF(T$12=0,0,T262/T$12)</f>
        <v>0.10741324665161431</v>
      </c>
      <c r="W262" s="4"/>
      <c r="X262" s="4">
        <f>+P262-T262</f>
        <v>-101206.89000000001</v>
      </c>
      <c r="Y262" s="4"/>
      <c r="Z262" s="12">
        <f>IF(T262=0,0,X262/T262)</f>
        <v>-0.19918020881796564</v>
      </c>
    </row>
    <row r="263" spans="1:26" x14ac:dyDescent="0.25">
      <c r="A263" s="9"/>
      <c r="B263" s="10"/>
      <c r="C263" s="10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O263" s="10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ht="15.75" thickBot="1" x14ac:dyDescent="0.3">
      <c r="A264" s="10"/>
      <c r="B264" s="25" t="s">
        <v>4</v>
      </c>
      <c r="C264" s="25"/>
      <c r="D264" s="33">
        <f>+D260-D262</f>
        <v>-84293.679999999891</v>
      </c>
      <c r="E264" s="13"/>
      <c r="F264" s="32">
        <f>IF(D$12=0,0,D264/D$12)</f>
        <v>-0.2272634453661658</v>
      </c>
      <c r="G264" s="13"/>
      <c r="H264" s="33">
        <f>+H260-H262</f>
        <v>207890.49999999892</v>
      </c>
      <c r="I264" s="13"/>
      <c r="J264" s="32">
        <f>IF(H$12=0,0,H264/H$12)</f>
        <v>0.13971118852141104</v>
      </c>
      <c r="K264" s="15"/>
      <c r="L264" s="33">
        <f>D264-H264</f>
        <v>-292184.17999999883</v>
      </c>
      <c r="M264" s="15"/>
      <c r="N264" s="32">
        <f>IF(H264=0,0,L264/H264)</f>
        <v>-1.4054715342932955</v>
      </c>
      <c r="O264" s="26"/>
      <c r="P264" s="33">
        <f>+P260-P262</f>
        <v>-140488.79000000056</v>
      </c>
      <c r="Q264" s="13"/>
      <c r="R264" s="32">
        <f>IF(P$12=0,0,P264/P$12)</f>
        <v>-6.3960654093351221E-2</v>
      </c>
      <c r="S264" s="13"/>
      <c r="T264" s="33">
        <f>+T260-T262</f>
        <v>173057.40999999893</v>
      </c>
      <c r="U264" s="13"/>
      <c r="V264" s="32">
        <f>IF(T$12=0,0,T264/T$12)</f>
        <v>3.6583406869949348E-2</v>
      </c>
      <c r="W264" s="15"/>
      <c r="X264" s="33">
        <f>P264-T264</f>
        <v>-313546.19999999949</v>
      </c>
      <c r="Y264" s="15"/>
      <c r="Z264" s="32">
        <f>IF(T264=0,0,X264/T264)</f>
        <v>-1.811804533536018</v>
      </c>
    </row>
    <row r="265" spans="1:26" ht="15.75" thickTop="1" x14ac:dyDescent="0.25">
      <c r="A265" s="9"/>
      <c r="B265" s="9"/>
      <c r="C265" s="9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x14ac:dyDescent="0.25">
      <c r="A266" s="9"/>
      <c r="B266" s="9"/>
      <c r="C266" s="9"/>
      <c r="D266" s="3"/>
      <c r="E266" s="3"/>
      <c r="F266" s="8"/>
      <c r="G266" s="3"/>
      <c r="H266" s="3"/>
      <c r="I266" s="3"/>
      <c r="J266" s="8"/>
      <c r="K266" s="3"/>
      <c r="L266" s="3"/>
      <c r="M266" s="3"/>
      <c r="N266" s="8"/>
      <c r="P266" s="3"/>
      <c r="Q266" s="3"/>
      <c r="R266" s="8"/>
      <c r="S266" s="3"/>
      <c r="T266" s="3"/>
      <c r="U266" s="3"/>
      <c r="V266" s="8"/>
      <c r="W266" s="3"/>
      <c r="X266" s="3"/>
      <c r="Y266" s="3"/>
      <c r="Z266" s="8"/>
    </row>
    <row r="267" spans="1:26" s="23" customFormat="1" ht="15.75" thickBot="1" x14ac:dyDescent="0.3">
      <c r="A267" s="10"/>
      <c r="B267" s="25" t="s">
        <v>5</v>
      </c>
      <c r="C267" s="25"/>
      <c r="D267" s="34">
        <f>SUM(D264:D266)</f>
        <v>-84293.679999999891</v>
      </c>
      <c r="E267" s="13"/>
      <c r="F267" s="31">
        <f>IF(D$12=0,0,D267/D$12)</f>
        <v>-0.2272634453661658</v>
      </c>
      <c r="G267" s="13"/>
      <c r="H267" s="34">
        <f>SUM(H264:H266)</f>
        <v>207890.49999999892</v>
      </c>
      <c r="I267" s="13"/>
      <c r="J267" s="31">
        <f>IF(H$12=0,0,H267/H$12)</f>
        <v>0.13971118852141104</v>
      </c>
      <c r="K267" s="15"/>
      <c r="L267" s="34">
        <f>+D267-H267</f>
        <v>-292184.17999999883</v>
      </c>
      <c r="M267" s="15"/>
      <c r="N267" s="31">
        <f>IF(H267=0,0,L267/H267)</f>
        <v>-1.4054715342932955</v>
      </c>
      <c r="O267" s="26"/>
      <c r="P267" s="34">
        <f>SUM(P264:P266)</f>
        <v>-140488.79000000056</v>
      </c>
      <c r="Q267" s="13"/>
      <c r="R267" s="31">
        <f>IF(P$12=0,0,P267/P$12)</f>
        <v>-6.3960654093351221E-2</v>
      </c>
      <c r="S267" s="13"/>
      <c r="T267" s="34">
        <f>SUM(T264:T266)</f>
        <v>173057.40999999893</v>
      </c>
      <c r="U267" s="13"/>
      <c r="V267" s="31">
        <f>IF(T$12=0,0,T267/T$12)</f>
        <v>3.6583406869949348E-2</v>
      </c>
      <c r="W267" s="15"/>
      <c r="X267" s="34">
        <f>+P267-T267</f>
        <v>-313546.19999999949</v>
      </c>
      <c r="Y267" s="15"/>
      <c r="Z267" s="31">
        <f>IF(T267=0,0,X267/T267)</f>
        <v>-1.811804533536018</v>
      </c>
    </row>
    <row r="268" spans="1:26" ht="15.75" thickTop="1" x14ac:dyDescent="0.25">
      <c r="A268" s="9"/>
      <c r="C268" s="9"/>
      <c r="D268" s="18"/>
      <c r="E268" s="18"/>
      <c r="G268" s="18"/>
      <c r="H268" s="18"/>
      <c r="I268" s="18"/>
      <c r="J268" s="42"/>
      <c r="K268" s="18"/>
      <c r="L268" s="18"/>
      <c r="M268" s="18"/>
      <c r="P268" s="18"/>
      <c r="Q268" s="18"/>
      <c r="R268" s="42"/>
      <c r="S268" s="18"/>
      <c r="T268" s="18"/>
      <c r="U268" s="18"/>
      <c r="V268" s="42"/>
      <c r="W268" s="18"/>
      <c r="X268" s="18"/>
    </row>
    <row r="269" spans="1:26" x14ac:dyDescent="0.25">
      <c r="A269" s="9"/>
      <c r="B269" s="54">
        <v>44123.564613425922</v>
      </c>
      <c r="D269" s="18"/>
      <c r="E269" s="18"/>
      <c r="G269" s="18"/>
      <c r="H269" s="18"/>
      <c r="I269" s="18"/>
      <c r="J269" s="42"/>
      <c r="K269" s="18"/>
      <c r="L269" s="18"/>
      <c r="M269" s="18"/>
      <c r="P269" s="18"/>
      <c r="Q269" s="18"/>
      <c r="R269" s="42"/>
      <c r="S269" s="18"/>
      <c r="T269" s="18"/>
      <c r="U269" s="18"/>
      <c r="V269" s="42"/>
      <c r="W269" s="18"/>
      <c r="X269" s="18"/>
    </row>
    <row r="270" spans="1:26" x14ac:dyDescent="0.25">
      <c r="A270" s="9"/>
      <c r="B270" s="59" t="s">
        <v>313</v>
      </c>
      <c r="D270" s="18"/>
      <c r="E270" s="18"/>
      <c r="G270" s="18"/>
      <c r="H270" s="18"/>
      <c r="I270" s="18"/>
      <c r="J270" s="42"/>
      <c r="K270" s="18"/>
      <c r="L270" s="18"/>
      <c r="M270" s="18"/>
      <c r="P270" s="18"/>
      <c r="Q270" s="18"/>
      <c r="R270" s="42"/>
      <c r="S270" s="18"/>
      <c r="T270" s="18"/>
      <c r="U270" s="18"/>
      <c r="V270" s="42"/>
      <c r="W270" s="18"/>
      <c r="X270" s="18"/>
    </row>
    <row r="271" spans="1:26" x14ac:dyDescent="0.25">
      <c r="A271" s="9"/>
      <c r="B271" s="58"/>
      <c r="D271" s="18"/>
      <c r="E271" s="18"/>
      <c r="G271" s="18"/>
      <c r="H271" s="18"/>
      <c r="I271" s="18"/>
      <c r="J271" s="42"/>
      <c r="K271" s="18"/>
      <c r="L271" s="18"/>
      <c r="M271" s="18"/>
      <c r="P271" s="18"/>
      <c r="Q271" s="18"/>
      <c r="R271" s="42"/>
      <c r="S271" s="18"/>
      <c r="T271" s="18"/>
      <c r="U271" s="18"/>
      <c r="V271" s="42"/>
      <c r="W271" s="18"/>
      <c r="X271" s="18"/>
    </row>
    <row r="272" spans="1:26" x14ac:dyDescent="0.25">
      <c r="D272" s="18"/>
      <c r="E272" s="18"/>
      <c r="G272" s="18"/>
      <c r="H272" s="18"/>
      <c r="I272" s="18"/>
      <c r="J272" s="42"/>
      <c r="K272" s="18"/>
      <c r="L272" s="18"/>
      <c r="M272" s="18"/>
      <c r="P272" s="18"/>
      <c r="Q272" s="18"/>
      <c r="R272" s="42"/>
      <c r="S272" s="18"/>
      <c r="T272" s="18"/>
      <c r="U272" s="18"/>
      <c r="V272" s="42"/>
      <c r="W272" s="18"/>
      <c r="X272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6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369144.87</v>
      </c>
      <c r="E12" s="4"/>
      <c r="F12" s="12"/>
      <c r="G12" s="4"/>
      <c r="H12" s="4">
        <f>SUM(OSRRefH13x_0)</f>
        <v>1087059.2599999998</v>
      </c>
      <c r="I12" s="4"/>
      <c r="J12" s="12"/>
      <c r="K12" s="4"/>
      <c r="L12" s="4">
        <f t="shared" ref="L12:L101" si="0">+D12-H12</f>
        <v>-717914.38999999978</v>
      </c>
      <c r="M12" s="4"/>
      <c r="N12" s="12">
        <f t="shared" ref="N12:N101" si="1">IF(H12=0,0,L12/H12)</f>
        <v>-0.66041881654179546</v>
      </c>
      <c r="O12" s="10"/>
      <c r="P12" s="4">
        <f>SUM(OSRRefP13x_0)</f>
        <v>2193901.2299999995</v>
      </c>
      <c r="Q12" s="4"/>
      <c r="R12" s="12"/>
      <c r="S12" s="4"/>
      <c r="T12" s="4">
        <f>SUM(OSRRefT13x_0)</f>
        <v>4142003.3299999982</v>
      </c>
      <c r="U12" s="4"/>
      <c r="V12" s="12"/>
      <c r="W12" s="4"/>
      <c r="X12" s="4">
        <f t="shared" ref="X12:X101" si="2">+P12-T12</f>
        <v>-1948102.0999999987</v>
      </c>
      <c r="Y12" s="4"/>
      <c r="Z12" s="12">
        <f t="shared" ref="Z12:Z101" si="3">IF(T12=0,0,X12/T12)</f>
        <v>-0.47032847267170103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-8123.23</f>
        <v>-8123.23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-8123.23</v>
      </c>
      <c r="M13" s="2"/>
      <c r="N13" s="19">
        <f t="shared" si="1"/>
        <v>0</v>
      </c>
      <c r="O13" s="11"/>
      <c r="P13" s="2">
        <f>-36077.08</f>
        <v>-36077.08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-36077.08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19"/>
      <c r="G14" s="2"/>
      <c r="H14" s="2">
        <f>--336733.45</f>
        <v>336733.45</v>
      </c>
      <c r="I14" s="2"/>
      <c r="J14" s="19"/>
      <c r="K14" s="2"/>
      <c r="L14" s="2">
        <f t="shared" si="0"/>
        <v>-226234.13</v>
      </c>
      <c r="M14" s="2"/>
      <c r="N14" s="19">
        <f t="shared" si="1"/>
        <v>-0.67184929207359712</v>
      </c>
      <c r="O14" s="11"/>
      <c r="P14" s="2">
        <f>--694696.64</f>
        <v>694696.64</v>
      </c>
      <c r="Q14" s="2"/>
      <c r="R14" s="19"/>
      <c r="S14" s="2"/>
      <c r="T14" s="2">
        <f>--1463955.42</f>
        <v>1463955.42</v>
      </c>
      <c r="U14" s="2"/>
      <c r="V14" s="19"/>
      <c r="W14" s="2"/>
      <c r="X14" s="2">
        <f t="shared" si="2"/>
        <v>-769258.77999999991</v>
      </c>
      <c r="Y14" s="2"/>
      <c r="Z14" s="19">
        <f t="shared" si="3"/>
        <v>-0.5254659872088181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19"/>
      <c r="G15" s="2"/>
      <c r="H15" s="2">
        <f>--101849.66</f>
        <v>101849.66</v>
      </c>
      <c r="I15" s="2"/>
      <c r="J15" s="19"/>
      <c r="K15" s="2"/>
      <c r="L15" s="2">
        <f t="shared" si="0"/>
        <v>-63805.920000000006</v>
      </c>
      <c r="M15" s="2"/>
      <c r="N15" s="19">
        <f t="shared" si="1"/>
        <v>-0.62647160530530988</v>
      </c>
      <c r="O15" s="11"/>
      <c r="P15" s="2">
        <f>--316655.9</f>
        <v>316655.90000000002</v>
      </c>
      <c r="Q15" s="2"/>
      <c r="R15" s="19"/>
      <c r="S15" s="2"/>
      <c r="T15" s="2">
        <f>--657310.58</f>
        <v>657310.57999999996</v>
      </c>
      <c r="U15" s="2"/>
      <c r="V15" s="19"/>
      <c r="W15" s="2"/>
      <c r="X15" s="2">
        <f t="shared" si="2"/>
        <v>-340654.67999999993</v>
      </c>
      <c r="Y15" s="2"/>
      <c r="Z15" s="19">
        <f t="shared" si="3"/>
        <v>-0.51825528200078563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19"/>
      <c r="G16" s="2"/>
      <c r="H16" s="2">
        <f>--2800.64</f>
        <v>2800.64</v>
      </c>
      <c r="I16" s="2"/>
      <c r="J16" s="19"/>
      <c r="K16" s="2"/>
      <c r="L16" s="2">
        <f t="shared" si="0"/>
        <v>-1260.8499999999999</v>
      </c>
      <c r="M16" s="2"/>
      <c r="N16" s="19">
        <f t="shared" si="1"/>
        <v>-0.45020066841864714</v>
      </c>
      <c r="O16" s="11"/>
      <c r="P16" s="2">
        <f>--10595.63</f>
        <v>10595.63</v>
      </c>
      <c r="Q16" s="2"/>
      <c r="R16" s="19"/>
      <c r="S16" s="2"/>
      <c r="T16" s="2">
        <f>--15536.69</f>
        <v>15536.69</v>
      </c>
      <c r="U16" s="2"/>
      <c r="V16" s="19"/>
      <c r="W16" s="2"/>
      <c r="X16" s="2">
        <f t="shared" si="2"/>
        <v>-4941.0600000000013</v>
      </c>
      <c r="Y16" s="2"/>
      <c r="Z16" s="19">
        <f t="shared" si="3"/>
        <v>-0.31802526793029928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19"/>
      <c r="G17" s="2"/>
      <c r="H17" s="2">
        <f>--7290.37</f>
        <v>7290.37</v>
      </c>
      <c r="I17" s="2"/>
      <c r="J17" s="19"/>
      <c r="K17" s="2"/>
      <c r="L17" s="2">
        <f t="shared" si="0"/>
        <v>-7006.15</v>
      </c>
      <c r="M17" s="2"/>
      <c r="N17" s="19">
        <f t="shared" si="1"/>
        <v>-0.96101432437585466</v>
      </c>
      <c r="O17" s="11"/>
      <c r="P17" s="2">
        <f>--2105.11</f>
        <v>2105.11</v>
      </c>
      <c r="Q17" s="2"/>
      <c r="R17" s="19"/>
      <c r="S17" s="2"/>
      <c r="T17" s="2">
        <f>--29700.44</f>
        <v>29700.44</v>
      </c>
      <c r="U17" s="2"/>
      <c r="V17" s="19"/>
      <c r="W17" s="2"/>
      <c r="X17" s="2">
        <f t="shared" si="2"/>
        <v>-27595.329999999998</v>
      </c>
      <c r="Y17" s="2"/>
      <c r="Z17" s="19">
        <f t="shared" si="3"/>
        <v>-0.92912192546642403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ref="D18:D19" si="4">0</f>
        <v>0</v>
      </c>
      <c r="E18" s="2"/>
      <c r="F18" s="19"/>
      <c r="G18" s="2"/>
      <c r="H18" s="2">
        <f>--9.6</f>
        <v>9.6</v>
      </c>
      <c r="I18" s="2"/>
      <c r="J18" s="19"/>
      <c r="K18" s="2"/>
      <c r="L18" s="2">
        <f t="shared" si="0"/>
        <v>-9.6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--29.95</f>
        <v>29.95</v>
      </c>
      <c r="I19" s="2"/>
      <c r="J19" s="19"/>
      <c r="K19" s="2"/>
      <c r="L19" s="2">
        <f t="shared" si="0"/>
        <v>-29.95</v>
      </c>
      <c r="M19" s="2"/>
      <c r="N19" s="19">
        <f t="shared" si="1"/>
        <v>-1</v>
      </c>
      <c r="O19" s="11"/>
      <c r="P19" s="2">
        <f>--39.9</f>
        <v>39.9</v>
      </c>
      <c r="Q19" s="2"/>
      <c r="R19" s="19"/>
      <c r="S19" s="2"/>
      <c r="T19" s="2">
        <f>--140.76</f>
        <v>140.76</v>
      </c>
      <c r="U19" s="2"/>
      <c r="V19" s="19"/>
      <c r="W19" s="2"/>
      <c r="X19" s="2">
        <f t="shared" si="2"/>
        <v>-100.85999999999999</v>
      </c>
      <c r="Y19" s="2"/>
      <c r="Z19" s="19">
        <f t="shared" si="3"/>
        <v>-0.71653878942881499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--97.51</f>
        <v>97.51</v>
      </c>
      <c r="E20" s="2"/>
      <c r="F20" s="19"/>
      <c r="G20" s="2"/>
      <c r="H20" s="2">
        <f>--97.44</f>
        <v>97.44</v>
      </c>
      <c r="I20" s="2"/>
      <c r="J20" s="19"/>
      <c r="K20" s="2"/>
      <c r="L20" s="2">
        <f t="shared" si="0"/>
        <v>7.000000000000739E-2</v>
      </c>
      <c r="M20" s="2"/>
      <c r="N20" s="19">
        <f t="shared" si="1"/>
        <v>7.1839080459777703E-4</v>
      </c>
      <c r="O20" s="11"/>
      <c r="P20" s="2">
        <f>--304.44</f>
        <v>304.44</v>
      </c>
      <c r="Q20" s="2"/>
      <c r="R20" s="19"/>
      <c r="S20" s="2"/>
      <c r="T20" s="2">
        <f>--523.09</f>
        <v>523.09</v>
      </c>
      <c r="U20" s="2"/>
      <c r="V20" s="19"/>
      <c r="W20" s="2"/>
      <c r="X20" s="2">
        <f t="shared" si="2"/>
        <v>-218.65000000000003</v>
      </c>
      <c r="Y20" s="2"/>
      <c r="Z20" s="19">
        <f t="shared" si="3"/>
        <v>-0.41799690301860104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--65.39</f>
        <v>65.39</v>
      </c>
      <c r="I21" s="2"/>
      <c r="J21" s="19"/>
      <c r="K21" s="2"/>
      <c r="L21" s="2">
        <f t="shared" si="0"/>
        <v>-65.39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--222.69</f>
        <v>222.69</v>
      </c>
      <c r="U21" s="2"/>
      <c r="V21" s="19"/>
      <c r="W21" s="2"/>
      <c r="X21" s="2">
        <f t="shared" si="2"/>
        <v>-222.69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--48.87</f>
        <v>48.87</v>
      </c>
      <c r="E22" s="2"/>
      <c r="F22" s="19"/>
      <c r="G22" s="2"/>
      <c r="H22" s="2">
        <f>--696.02</f>
        <v>696.02</v>
      </c>
      <c r="I22" s="2"/>
      <c r="J22" s="19"/>
      <c r="K22" s="2"/>
      <c r="L22" s="2">
        <f t="shared" si="0"/>
        <v>-647.15</v>
      </c>
      <c r="M22" s="2"/>
      <c r="N22" s="19">
        <f t="shared" si="1"/>
        <v>-0.92978650038791988</v>
      </c>
      <c r="O22" s="11"/>
      <c r="P22" s="2">
        <f>--183.89</f>
        <v>183.89</v>
      </c>
      <c r="Q22" s="2"/>
      <c r="R22" s="19"/>
      <c r="S22" s="2"/>
      <c r="T22" s="2">
        <f>--2060.15</f>
        <v>2060.15</v>
      </c>
      <c r="U22" s="2"/>
      <c r="V22" s="19"/>
      <c r="W22" s="2"/>
      <c r="X22" s="2">
        <f t="shared" si="2"/>
        <v>-1876.2600000000002</v>
      </c>
      <c r="Y22" s="2"/>
      <c r="Z22" s="19">
        <f t="shared" si="3"/>
        <v>-0.91073950925903457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--14.95</f>
        <v>14.95</v>
      </c>
      <c r="U23" s="2"/>
      <c r="V23" s="19"/>
      <c r="W23" s="2"/>
      <c r="X23" s="2">
        <f t="shared" si="2"/>
        <v>-14.95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--11837.54</f>
        <v>11837.54</v>
      </c>
      <c r="I24" s="2"/>
      <c r="J24" s="19"/>
      <c r="K24" s="2"/>
      <c r="L24" s="2">
        <f t="shared" si="0"/>
        <v>-11837.54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--16296.07</f>
        <v>16296.07</v>
      </c>
      <c r="U24" s="2"/>
      <c r="V24" s="19"/>
      <c r="W24" s="2"/>
      <c r="X24" s="2">
        <f t="shared" si="2"/>
        <v>-16296.07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--21.47</f>
        <v>21.47</v>
      </c>
      <c r="E25" s="2"/>
      <c r="F25" s="19"/>
      <c r="G25" s="2"/>
      <c r="H25" s="2">
        <f>--11722.76</f>
        <v>11722.76</v>
      </c>
      <c r="I25" s="2"/>
      <c r="J25" s="19"/>
      <c r="K25" s="2"/>
      <c r="L25" s="2">
        <f t="shared" si="0"/>
        <v>-11701.29</v>
      </c>
      <c r="M25" s="2"/>
      <c r="N25" s="19">
        <f t="shared" si="1"/>
        <v>-0.99816852004135548</v>
      </c>
      <c r="O25" s="11"/>
      <c r="P25" s="2">
        <f>--258.03</f>
        <v>258.02999999999997</v>
      </c>
      <c r="Q25" s="2"/>
      <c r="R25" s="19"/>
      <c r="S25" s="2"/>
      <c r="T25" s="2">
        <f>--24499.3</f>
        <v>24499.3</v>
      </c>
      <c r="U25" s="2"/>
      <c r="V25" s="19"/>
      <c r="W25" s="2"/>
      <c r="X25" s="2">
        <f t="shared" si="2"/>
        <v>-24241.27</v>
      </c>
      <c r="Y25" s="2"/>
      <c r="Z25" s="19">
        <f t="shared" si="3"/>
        <v>-0.9894678623470875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--10773.55</f>
        <v>10773.55</v>
      </c>
      <c r="E26" s="2"/>
      <c r="F26" s="19"/>
      <c r="G26" s="2"/>
      <c r="H26" s="2">
        <f>--44221.34</f>
        <v>44221.34</v>
      </c>
      <c r="I26" s="2"/>
      <c r="J26" s="19"/>
      <c r="K26" s="2"/>
      <c r="L26" s="2">
        <f t="shared" si="0"/>
        <v>-33447.789999999994</v>
      </c>
      <c r="M26" s="2"/>
      <c r="N26" s="19">
        <f t="shared" si="1"/>
        <v>-0.75637214973585143</v>
      </c>
      <c r="O26" s="11"/>
      <c r="P26" s="2">
        <f>--32674.61</f>
        <v>32674.61</v>
      </c>
      <c r="Q26" s="2"/>
      <c r="R26" s="19"/>
      <c r="S26" s="2"/>
      <c r="T26" s="2">
        <f>--123320.59</f>
        <v>123320.59</v>
      </c>
      <c r="U26" s="2"/>
      <c r="V26" s="19"/>
      <c r="W26" s="2"/>
      <c r="X26" s="2">
        <f t="shared" si="2"/>
        <v>-90645.98</v>
      </c>
      <c r="Y26" s="2"/>
      <c r="Z26" s="19">
        <f t="shared" si="3"/>
        <v>-0.73504335326323045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--2807.8</f>
        <v>2807.8</v>
      </c>
      <c r="E27" s="2"/>
      <c r="F27" s="19"/>
      <c r="G27" s="2"/>
      <c r="H27" s="2">
        <f>--51812.13</f>
        <v>51812.13</v>
      </c>
      <c r="I27" s="2"/>
      <c r="J27" s="19"/>
      <c r="K27" s="2"/>
      <c r="L27" s="2">
        <f t="shared" si="0"/>
        <v>-49004.329999999994</v>
      </c>
      <c r="M27" s="2"/>
      <c r="N27" s="19">
        <f t="shared" si="1"/>
        <v>-0.94580805691640157</v>
      </c>
      <c r="O27" s="11"/>
      <c r="P27" s="2">
        <f>--12498.9</f>
        <v>12498.9</v>
      </c>
      <c r="Q27" s="2"/>
      <c r="R27" s="19"/>
      <c r="S27" s="2"/>
      <c r="T27" s="2">
        <f>--100727.68</f>
        <v>100727.67999999999</v>
      </c>
      <c r="U27" s="2"/>
      <c r="V27" s="19"/>
      <c r="W27" s="2"/>
      <c r="X27" s="2">
        <f t="shared" si="2"/>
        <v>-88228.78</v>
      </c>
      <c r="Y27" s="2"/>
      <c r="Z27" s="19">
        <f t="shared" si="3"/>
        <v>-0.87591394937320111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--685.9</f>
        <v>685.9</v>
      </c>
      <c r="E28" s="2"/>
      <c r="F28" s="19"/>
      <c r="G28" s="2"/>
      <c r="H28" s="2">
        <f>--88.48</f>
        <v>88.48</v>
      </c>
      <c r="I28" s="2"/>
      <c r="J28" s="19"/>
      <c r="K28" s="2"/>
      <c r="L28" s="2">
        <f t="shared" si="0"/>
        <v>597.41999999999996</v>
      </c>
      <c r="M28" s="2"/>
      <c r="N28" s="19">
        <f t="shared" si="1"/>
        <v>6.7520343580470152</v>
      </c>
      <c r="O28" s="11"/>
      <c r="P28" s="2">
        <f>--1238.16</f>
        <v>1238.1600000000001</v>
      </c>
      <c r="Q28" s="2"/>
      <c r="R28" s="19"/>
      <c r="S28" s="2"/>
      <c r="T28" s="2">
        <f>--120.82</f>
        <v>120.82</v>
      </c>
      <c r="U28" s="2"/>
      <c r="V28" s="19"/>
      <c r="W28" s="2"/>
      <c r="X28" s="2">
        <f t="shared" si="2"/>
        <v>1117.3400000000001</v>
      </c>
      <c r="Y28" s="2"/>
      <c r="Z28" s="19">
        <f t="shared" si="3"/>
        <v>9.2479721900347638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--17.54</f>
        <v>17.54</v>
      </c>
      <c r="I29" s="2"/>
      <c r="J29" s="19"/>
      <c r="K29" s="2"/>
      <c r="L29" s="2">
        <f t="shared" si="0"/>
        <v>-17.54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--21.35</f>
        <v>21.35</v>
      </c>
      <c r="U29" s="2"/>
      <c r="V29" s="19"/>
      <c r="W29" s="2"/>
      <c r="X29" s="2">
        <f t="shared" si="2"/>
        <v>-21.35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--27.97</f>
        <v>27.97</v>
      </c>
      <c r="I30" s="2"/>
      <c r="J30" s="19"/>
      <c r="K30" s="2"/>
      <c r="L30" s="2">
        <f t="shared" si="0"/>
        <v>-27.97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--40.97</f>
        <v>40.97</v>
      </c>
      <c r="U30" s="2"/>
      <c r="V30" s="19"/>
      <c r="W30" s="2"/>
      <c r="X30" s="2">
        <f t="shared" si="2"/>
        <v>-40.97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--1544.01</f>
        <v>1544.01</v>
      </c>
      <c r="I31" s="2"/>
      <c r="J31" s="19"/>
      <c r="K31" s="2"/>
      <c r="L31" s="2">
        <f t="shared" si="0"/>
        <v>-1544.01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--1859.55</f>
        <v>1859.55</v>
      </c>
      <c r="U31" s="2"/>
      <c r="V31" s="19"/>
      <c r="W31" s="2"/>
      <c r="X31" s="2">
        <f t="shared" si="2"/>
        <v>-1852.77</v>
      </c>
      <c r="Y31" s="2"/>
      <c r="Z31" s="19">
        <f t="shared" si="3"/>
        <v>-0.99635395660240378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--339.98</f>
        <v>339.98</v>
      </c>
      <c r="I32" s="2"/>
      <c r="J32" s="19"/>
      <c r="K32" s="2"/>
      <c r="L32" s="2">
        <f t="shared" si="0"/>
        <v>-339.98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--438.43</f>
        <v>438.43</v>
      </c>
      <c r="U32" s="2"/>
      <c r="V32" s="19"/>
      <c r="W32" s="2"/>
      <c r="X32" s="2">
        <f t="shared" si="2"/>
        <v>-438.43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--131.98</f>
        <v>131.97999999999999</v>
      </c>
      <c r="I33" s="2"/>
      <c r="J33" s="19"/>
      <c r="K33" s="2"/>
      <c r="L33" s="2">
        <f t="shared" si="0"/>
        <v>-131.97999999999999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--174.15</f>
        <v>174.15</v>
      </c>
      <c r="U33" s="2"/>
      <c r="V33" s="19"/>
      <c r="W33" s="2"/>
      <c r="X33" s="2">
        <f t="shared" si="2"/>
        <v>-174.15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--78841.84</f>
        <v>78841.84</v>
      </c>
      <c r="E34" s="2"/>
      <c r="F34" s="19"/>
      <c r="G34" s="2"/>
      <c r="H34" s="2">
        <f>--243145.84</f>
        <v>243145.84</v>
      </c>
      <c r="I34" s="2"/>
      <c r="J34" s="19"/>
      <c r="K34" s="2"/>
      <c r="L34" s="2">
        <f t="shared" si="0"/>
        <v>-164304</v>
      </c>
      <c r="M34" s="2"/>
      <c r="N34" s="19">
        <f t="shared" si="1"/>
        <v>-0.67574259135998382</v>
      </c>
      <c r="O34" s="11"/>
      <c r="P34" s="2">
        <f>--328420.19</f>
        <v>328420.19</v>
      </c>
      <c r="Q34" s="2"/>
      <c r="R34" s="19"/>
      <c r="S34" s="2"/>
      <c r="T34" s="2">
        <f>--632899.52</f>
        <v>632899.52</v>
      </c>
      <c r="U34" s="2"/>
      <c r="V34" s="19"/>
      <c r="W34" s="2"/>
      <c r="X34" s="2">
        <f t="shared" si="2"/>
        <v>-304479.33</v>
      </c>
      <c r="Y34" s="2"/>
      <c r="Z34" s="19">
        <f t="shared" si="3"/>
        <v>-0.48108636581048442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--27724.06</f>
        <v>27724.06</v>
      </c>
      <c r="E35" s="2"/>
      <c r="F35" s="19"/>
      <c r="G35" s="2"/>
      <c r="H35" s="2">
        <f>--49940.2</f>
        <v>49940.2</v>
      </c>
      <c r="I35" s="2"/>
      <c r="J35" s="19"/>
      <c r="K35" s="2"/>
      <c r="L35" s="2">
        <f t="shared" si="0"/>
        <v>-22216.139999999996</v>
      </c>
      <c r="M35" s="2"/>
      <c r="N35" s="19">
        <f t="shared" si="1"/>
        <v>-0.44485484639628992</v>
      </c>
      <c r="O35" s="11"/>
      <c r="P35" s="2">
        <f>--131033.62</f>
        <v>131033.62</v>
      </c>
      <c r="Q35" s="2"/>
      <c r="R35" s="19"/>
      <c r="S35" s="2"/>
      <c r="T35" s="2">
        <f>--201632.61</f>
        <v>201632.61</v>
      </c>
      <c r="U35" s="2"/>
      <c r="V35" s="19"/>
      <c r="W35" s="2"/>
      <c r="X35" s="2">
        <f t="shared" si="2"/>
        <v>-70598.989999999991</v>
      </c>
      <c r="Y35" s="2"/>
      <c r="Z35" s="19">
        <f t="shared" si="3"/>
        <v>-0.35013676607171823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--8004.46</f>
        <v>8004.46</v>
      </c>
      <c r="E36" s="2"/>
      <c r="F36" s="19"/>
      <c r="G36" s="2"/>
      <c r="H36" s="2">
        <f>--35079.3</f>
        <v>35079.300000000003</v>
      </c>
      <c r="I36" s="2"/>
      <c r="J36" s="19"/>
      <c r="K36" s="2"/>
      <c r="L36" s="2">
        <f t="shared" si="0"/>
        <v>-27074.840000000004</v>
      </c>
      <c r="M36" s="2"/>
      <c r="N36" s="19">
        <f t="shared" si="1"/>
        <v>-0.77181813776215602</v>
      </c>
      <c r="O36" s="11"/>
      <c r="P36" s="2">
        <f>--47929.5</f>
        <v>47929.5</v>
      </c>
      <c r="Q36" s="2"/>
      <c r="R36" s="19"/>
      <c r="S36" s="2"/>
      <c r="T36" s="2">
        <f>--95118.27</f>
        <v>95118.27</v>
      </c>
      <c r="U36" s="2"/>
      <c r="V36" s="19"/>
      <c r="W36" s="2"/>
      <c r="X36" s="2">
        <f t="shared" si="2"/>
        <v>-47188.770000000004</v>
      </c>
      <c r="Y36" s="2"/>
      <c r="Z36" s="19">
        <f t="shared" si="3"/>
        <v>-0.49610626854336187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--2805.53</f>
        <v>2805.53</v>
      </c>
      <c r="E37" s="2"/>
      <c r="F37" s="19"/>
      <c r="G37" s="2"/>
      <c r="H37" s="2">
        <f>--272.36</f>
        <v>272.36</v>
      </c>
      <c r="I37" s="2"/>
      <c r="J37" s="19"/>
      <c r="K37" s="2"/>
      <c r="L37" s="2">
        <f t="shared" si="0"/>
        <v>2533.17</v>
      </c>
      <c r="M37" s="2"/>
      <c r="N37" s="19">
        <f t="shared" si="1"/>
        <v>9.3008150976648558</v>
      </c>
      <c r="O37" s="11"/>
      <c r="P37" s="2">
        <f>--9791.16</f>
        <v>9791.16</v>
      </c>
      <c r="Q37" s="2"/>
      <c r="R37" s="19"/>
      <c r="S37" s="2"/>
      <c r="T37" s="2">
        <f>--457.81</f>
        <v>457.81</v>
      </c>
      <c r="U37" s="2"/>
      <c r="V37" s="19"/>
      <c r="W37" s="2"/>
      <c r="X37" s="2">
        <f t="shared" si="2"/>
        <v>9333.35</v>
      </c>
      <c r="Y37" s="2"/>
      <c r="Z37" s="19">
        <f t="shared" si="3"/>
        <v>20.38695091850331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--2962.32</f>
        <v>2962.32</v>
      </c>
      <c r="E38" s="2"/>
      <c r="F38" s="19"/>
      <c r="G38" s="2"/>
      <c r="H38" s="2">
        <f>--6451.34</f>
        <v>6451.34</v>
      </c>
      <c r="I38" s="2"/>
      <c r="J38" s="19"/>
      <c r="K38" s="2"/>
      <c r="L38" s="2">
        <f t="shared" si="0"/>
        <v>-3489.02</v>
      </c>
      <c r="M38" s="2"/>
      <c r="N38" s="19">
        <f t="shared" si="1"/>
        <v>-0.54082097672731555</v>
      </c>
      <c r="O38" s="11"/>
      <c r="P38" s="2">
        <f>--11331.52</f>
        <v>11331.52</v>
      </c>
      <c r="Q38" s="2"/>
      <c r="R38" s="19"/>
      <c r="S38" s="2"/>
      <c r="T38" s="2">
        <f>--28228.41</f>
        <v>28228.41</v>
      </c>
      <c r="U38" s="2"/>
      <c r="V38" s="19"/>
      <c r="W38" s="2"/>
      <c r="X38" s="2">
        <f t="shared" si="2"/>
        <v>-16896.89</v>
      </c>
      <c r="Y38" s="2"/>
      <c r="Z38" s="19">
        <f t="shared" si="3"/>
        <v>-0.59857746150066549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--2575.36</f>
        <v>2575.36</v>
      </c>
      <c r="E39" s="2"/>
      <c r="F39" s="19"/>
      <c r="G39" s="2"/>
      <c r="H39" s="2">
        <f>--5803.07</f>
        <v>5803.07</v>
      </c>
      <c r="I39" s="2"/>
      <c r="J39" s="19"/>
      <c r="K39" s="2"/>
      <c r="L39" s="2">
        <f t="shared" si="0"/>
        <v>-3227.7099999999996</v>
      </c>
      <c r="M39" s="2"/>
      <c r="N39" s="19">
        <f t="shared" si="1"/>
        <v>-0.55620731785072375</v>
      </c>
      <c r="O39" s="11"/>
      <c r="P39" s="2">
        <f>--92006.44</f>
        <v>92006.44</v>
      </c>
      <c r="Q39" s="2"/>
      <c r="R39" s="19"/>
      <c r="S39" s="2"/>
      <c r="T39" s="2">
        <f>--31327.11</f>
        <v>31327.11</v>
      </c>
      <c r="U39" s="2"/>
      <c r="V39" s="19"/>
      <c r="W39" s="2"/>
      <c r="X39" s="2">
        <f t="shared" si="2"/>
        <v>60679.33</v>
      </c>
      <c r="Y39" s="2"/>
      <c r="Z39" s="19">
        <f t="shared" si="3"/>
        <v>1.9369590747438881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--488.97</f>
        <v>488.97</v>
      </c>
      <c r="I40" s="2"/>
      <c r="J40" s="19"/>
      <c r="K40" s="2"/>
      <c r="L40" s="2">
        <f t="shared" si="0"/>
        <v>-488.97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--971.35</f>
        <v>971.35</v>
      </c>
      <c r="U40" s="2"/>
      <c r="V40" s="19"/>
      <c r="W40" s="2"/>
      <c r="X40" s="2">
        <f t="shared" si="2"/>
        <v>-971.35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--71.95</f>
        <v>71.95</v>
      </c>
      <c r="E41" s="2"/>
      <c r="F41" s="19"/>
      <c r="G41" s="2"/>
      <c r="H41" s="2">
        <f>--650.56</f>
        <v>650.55999999999995</v>
      </c>
      <c r="I41" s="2"/>
      <c r="J41" s="19"/>
      <c r="K41" s="2"/>
      <c r="L41" s="2">
        <f t="shared" si="0"/>
        <v>-578.6099999999999</v>
      </c>
      <c r="M41" s="2"/>
      <c r="N41" s="19">
        <f t="shared" si="1"/>
        <v>-0.88940297589768802</v>
      </c>
      <c r="O41" s="11"/>
      <c r="P41" s="2">
        <f>--71.95</f>
        <v>71.95</v>
      </c>
      <c r="Q41" s="2"/>
      <c r="R41" s="19"/>
      <c r="S41" s="2"/>
      <c r="T41" s="2">
        <f>--919.42</f>
        <v>919.42</v>
      </c>
      <c r="U41" s="2"/>
      <c r="V41" s="19"/>
      <c r="W41" s="2"/>
      <c r="X41" s="2">
        <f t="shared" si="2"/>
        <v>-847.46999999999991</v>
      </c>
      <c r="Y41" s="2"/>
      <c r="Z41" s="19">
        <f t="shared" si="3"/>
        <v>-0.92174414304670327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0</f>
        <v>0</v>
      </c>
      <c r="E42" s="2"/>
      <c r="F42" s="19"/>
      <c r="G42" s="2"/>
      <c r="H42" s="2">
        <f>--124</f>
        <v>124</v>
      </c>
      <c r="I42" s="2"/>
      <c r="J42" s="19"/>
      <c r="K42" s="2"/>
      <c r="L42" s="2">
        <f t="shared" si="0"/>
        <v>-124</v>
      </c>
      <c r="M42" s="2"/>
      <c r="N42" s="19">
        <f t="shared" si="1"/>
        <v>-1</v>
      </c>
      <c r="O42" s="11"/>
      <c r="P42" s="2">
        <f>0</f>
        <v>0</v>
      </c>
      <c r="Q42" s="2"/>
      <c r="R42" s="19"/>
      <c r="S42" s="2"/>
      <c r="T42" s="2">
        <f>--162</f>
        <v>162</v>
      </c>
      <c r="U42" s="2"/>
      <c r="V42" s="19"/>
      <c r="W42" s="2"/>
      <c r="X42" s="2">
        <f t="shared" si="2"/>
        <v>-162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--9.99</f>
        <v>9.99</v>
      </c>
      <c r="E43" s="2"/>
      <c r="F43" s="19"/>
      <c r="G43" s="2"/>
      <c r="H43" s="2">
        <f>--269.82</f>
        <v>269.82</v>
      </c>
      <c r="I43" s="2"/>
      <c r="J43" s="19"/>
      <c r="K43" s="2"/>
      <c r="L43" s="2">
        <f t="shared" si="0"/>
        <v>-259.83</v>
      </c>
      <c r="M43" s="2"/>
      <c r="N43" s="19">
        <f t="shared" si="1"/>
        <v>-0.9629753168779186</v>
      </c>
      <c r="O43" s="11"/>
      <c r="P43" s="2">
        <f>--9.99</f>
        <v>9.99</v>
      </c>
      <c r="Q43" s="2"/>
      <c r="R43" s="19"/>
      <c r="S43" s="2"/>
      <c r="T43" s="2">
        <f>--299.8</f>
        <v>299.8</v>
      </c>
      <c r="U43" s="2"/>
      <c r="V43" s="19"/>
      <c r="W43" s="2"/>
      <c r="X43" s="2">
        <f t="shared" si="2"/>
        <v>-289.81</v>
      </c>
      <c r="Y43" s="2"/>
      <c r="Z43" s="19">
        <f t="shared" si="3"/>
        <v>-0.9666777851901267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ref="D44:D46" si="10">0</f>
        <v>0</v>
      </c>
      <c r="E44" s="2"/>
      <c r="F44" s="19"/>
      <c r="G44" s="2"/>
      <c r="H44" s="2">
        <f>--344.87</f>
        <v>344.87</v>
      </c>
      <c r="I44" s="2"/>
      <c r="J44" s="19"/>
      <c r="K44" s="2"/>
      <c r="L44" s="2">
        <f t="shared" si="0"/>
        <v>-344.87</v>
      </c>
      <c r="M44" s="2"/>
      <c r="N44" s="19">
        <f t="shared" si="1"/>
        <v>-1</v>
      </c>
      <c r="O44" s="11"/>
      <c r="P44" s="2">
        <f t="shared" ref="P44:P46" si="11">0</f>
        <v>0</v>
      </c>
      <c r="Q44" s="2"/>
      <c r="R44" s="19"/>
      <c r="S44" s="2"/>
      <c r="T44" s="2">
        <f>--453.82</f>
        <v>453.82</v>
      </c>
      <c r="U44" s="2"/>
      <c r="V44" s="19"/>
      <c r="W44" s="2"/>
      <c r="X44" s="2">
        <f t="shared" si="2"/>
        <v>-453.82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10"/>
        <v>0</v>
      </c>
      <c r="E45" s="2"/>
      <c r="F45" s="19"/>
      <c r="G45" s="2"/>
      <c r="H45" s="2">
        <f>--49.9</f>
        <v>49.9</v>
      </c>
      <c r="I45" s="2"/>
      <c r="J45" s="19"/>
      <c r="K45" s="2"/>
      <c r="L45" s="2">
        <f t="shared" si="0"/>
        <v>-49.9</v>
      </c>
      <c r="M45" s="2"/>
      <c r="N45" s="19">
        <f t="shared" si="1"/>
        <v>-1</v>
      </c>
      <c r="O45" s="11"/>
      <c r="P45" s="2">
        <f t="shared" si="11"/>
        <v>0</v>
      </c>
      <c r="Q45" s="2"/>
      <c r="R45" s="19"/>
      <c r="S45" s="2"/>
      <c r="T45" s="2">
        <f>--3872.63</f>
        <v>3872.63</v>
      </c>
      <c r="U45" s="2"/>
      <c r="V45" s="19"/>
      <c r="W45" s="2"/>
      <c r="X45" s="2">
        <f t="shared" si="2"/>
        <v>-3872.63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10"/>
        <v>0</v>
      </c>
      <c r="E46" s="2"/>
      <c r="F46" s="19"/>
      <c r="G46" s="2"/>
      <c r="H46" s="2">
        <f>--26.83</f>
        <v>26.83</v>
      </c>
      <c r="I46" s="2"/>
      <c r="J46" s="19"/>
      <c r="K46" s="2"/>
      <c r="L46" s="2">
        <f t="shared" si="0"/>
        <v>-26.83</v>
      </c>
      <c r="M46" s="2"/>
      <c r="N46" s="19">
        <f t="shared" si="1"/>
        <v>-1</v>
      </c>
      <c r="O46" s="11"/>
      <c r="P46" s="2">
        <f t="shared" si="11"/>
        <v>0</v>
      </c>
      <c r="Q46" s="2"/>
      <c r="R46" s="19"/>
      <c r="S46" s="2"/>
      <c r="T46" s="2">
        <f>--200.85</f>
        <v>200.85</v>
      </c>
      <c r="U46" s="2"/>
      <c r="V46" s="19"/>
      <c r="W46" s="2"/>
      <c r="X46" s="2">
        <f t="shared" si="2"/>
        <v>-200.85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--10945.69</f>
        <v>10945.69</v>
      </c>
      <c r="E47" s="2"/>
      <c r="F47" s="19"/>
      <c r="G47" s="2"/>
      <c r="H47" s="2">
        <f>--66153.34</f>
        <v>66153.34</v>
      </c>
      <c r="I47" s="2"/>
      <c r="J47" s="19"/>
      <c r="K47" s="2"/>
      <c r="L47" s="2">
        <f t="shared" si="0"/>
        <v>-55207.649999999994</v>
      </c>
      <c r="M47" s="2"/>
      <c r="N47" s="19">
        <f t="shared" si="1"/>
        <v>-0.83454062939225737</v>
      </c>
      <c r="O47" s="11"/>
      <c r="P47" s="2">
        <f>--164344.02</f>
        <v>164344.01999999999</v>
      </c>
      <c r="Q47" s="2"/>
      <c r="R47" s="19"/>
      <c r="S47" s="2"/>
      <c r="T47" s="2">
        <f>--331667.77</f>
        <v>331667.77</v>
      </c>
      <c r="U47" s="2"/>
      <c r="V47" s="19"/>
      <c r="W47" s="2"/>
      <c r="X47" s="2">
        <f t="shared" si="2"/>
        <v>-167323.75000000003</v>
      </c>
      <c r="Y47" s="2"/>
      <c r="Z47" s="19">
        <f t="shared" si="3"/>
        <v>-0.50449204033301165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--18824.16</f>
        <v>18824.16</v>
      </c>
      <c r="E48" s="2"/>
      <c r="F48" s="19"/>
      <c r="G48" s="2"/>
      <c r="H48" s="2">
        <f>--27999.53</f>
        <v>27999.53</v>
      </c>
      <c r="I48" s="2"/>
      <c r="J48" s="19"/>
      <c r="K48" s="2"/>
      <c r="L48" s="2">
        <f t="shared" si="0"/>
        <v>-9175.369999999999</v>
      </c>
      <c r="M48" s="2"/>
      <c r="N48" s="19">
        <f t="shared" si="1"/>
        <v>-0.32769728634730655</v>
      </c>
      <c r="O48" s="11"/>
      <c r="P48" s="2">
        <f>--70404.84</f>
        <v>70404.84</v>
      </c>
      <c r="Q48" s="2"/>
      <c r="R48" s="19"/>
      <c r="S48" s="2"/>
      <c r="T48" s="2">
        <f>--83892.55</f>
        <v>83892.55</v>
      </c>
      <c r="U48" s="2"/>
      <c r="V48" s="19"/>
      <c r="W48" s="2"/>
      <c r="X48" s="2">
        <f t="shared" si="2"/>
        <v>-13487.710000000006</v>
      </c>
      <c r="Y48" s="2"/>
      <c r="Z48" s="19">
        <f t="shared" si="3"/>
        <v>-0.16077363246200058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--8807.08</f>
        <v>8807.08</v>
      </c>
      <c r="E49" s="2"/>
      <c r="F49" s="19"/>
      <c r="G49" s="2"/>
      <c r="H49" s="2">
        <f>--3969.18</f>
        <v>3969.18</v>
      </c>
      <c r="I49" s="2"/>
      <c r="J49" s="19"/>
      <c r="K49" s="2"/>
      <c r="L49" s="2">
        <f t="shared" si="0"/>
        <v>4837.8999999999996</v>
      </c>
      <c r="M49" s="2"/>
      <c r="N49" s="19">
        <f t="shared" si="1"/>
        <v>1.2188663653449832</v>
      </c>
      <c r="O49" s="11"/>
      <c r="P49" s="2">
        <f>--30370.82</f>
        <v>30370.82</v>
      </c>
      <c r="Q49" s="2"/>
      <c r="R49" s="19"/>
      <c r="S49" s="2"/>
      <c r="T49" s="2">
        <f>--36443.51</f>
        <v>36443.51</v>
      </c>
      <c r="U49" s="2"/>
      <c r="V49" s="19"/>
      <c r="W49" s="2"/>
      <c r="X49" s="2">
        <f t="shared" si="2"/>
        <v>-6072.6900000000023</v>
      </c>
      <c r="Y49" s="2"/>
      <c r="Z49" s="19">
        <f t="shared" si="3"/>
        <v>-0.16663296153416621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--284.97</f>
        <v>284.97000000000003</v>
      </c>
      <c r="E50" s="2"/>
      <c r="F50" s="19"/>
      <c r="G50" s="2"/>
      <c r="H50" s="2">
        <f>-144.99</f>
        <v>-144.99</v>
      </c>
      <c r="I50" s="2"/>
      <c r="J50" s="19"/>
      <c r="K50" s="2"/>
      <c r="L50" s="2">
        <f t="shared" si="0"/>
        <v>429.96000000000004</v>
      </c>
      <c r="M50" s="2"/>
      <c r="N50" s="19">
        <f t="shared" si="1"/>
        <v>-2.9654458928201946</v>
      </c>
      <c r="O50" s="11"/>
      <c r="P50" s="2">
        <f>--284.97</f>
        <v>284.97000000000003</v>
      </c>
      <c r="Q50" s="2"/>
      <c r="R50" s="19"/>
      <c r="S50" s="2"/>
      <c r="T50" s="2">
        <f>--329.98</f>
        <v>329.98</v>
      </c>
      <c r="U50" s="2"/>
      <c r="V50" s="19"/>
      <c r="W50" s="2"/>
      <c r="X50" s="2">
        <f t="shared" si="2"/>
        <v>-45.009999999999991</v>
      </c>
      <c r="Y50" s="2"/>
      <c r="Z50" s="19">
        <f t="shared" si="3"/>
        <v>-0.13640220619431478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--73817.67</f>
        <v>73817.67</v>
      </c>
      <c r="E51" s="2"/>
      <c r="F51" s="19"/>
      <c r="G51" s="2"/>
      <c r="H51" s="2">
        <f>--59065.75</f>
        <v>59065.75</v>
      </c>
      <c r="I51" s="2"/>
      <c r="J51" s="19"/>
      <c r="K51" s="2"/>
      <c r="L51" s="2">
        <f t="shared" si="0"/>
        <v>14751.919999999998</v>
      </c>
      <c r="M51" s="2"/>
      <c r="N51" s="19">
        <f t="shared" si="1"/>
        <v>0.24975421458290123</v>
      </c>
      <c r="O51" s="11"/>
      <c r="P51" s="2">
        <f>--286707.85</f>
        <v>286707.84999999998</v>
      </c>
      <c r="Q51" s="2"/>
      <c r="R51" s="19"/>
      <c r="S51" s="2"/>
      <c r="T51" s="2">
        <f>--318933.82</f>
        <v>318933.82</v>
      </c>
      <c r="U51" s="2"/>
      <c r="V51" s="19"/>
      <c r="W51" s="2"/>
      <c r="X51" s="2">
        <f t="shared" si="2"/>
        <v>-32225.97000000003</v>
      </c>
      <c r="Y51" s="2"/>
      <c r="Z51" s="19">
        <f t="shared" si="3"/>
        <v>-0.10104281195390326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 t="shared" ref="D52:D53" si="12">0</f>
        <v>0</v>
      </c>
      <c r="E52" s="2"/>
      <c r="F52" s="19"/>
      <c r="G52" s="2"/>
      <c r="H52" s="2">
        <f>--594.06</f>
        <v>594.05999999999995</v>
      </c>
      <c r="I52" s="2"/>
      <c r="J52" s="19"/>
      <c r="K52" s="2"/>
      <c r="L52" s="2">
        <f t="shared" si="0"/>
        <v>-594.05999999999995</v>
      </c>
      <c r="M52" s="2"/>
      <c r="N52" s="19">
        <f t="shared" si="1"/>
        <v>-1</v>
      </c>
      <c r="O52" s="11"/>
      <c r="P52" s="2">
        <f t="shared" ref="P52:P53" si="13">0</f>
        <v>0</v>
      </c>
      <c r="Q52" s="2"/>
      <c r="R52" s="19"/>
      <c r="S52" s="2"/>
      <c r="T52" s="2">
        <f>--6342.17</f>
        <v>6342.17</v>
      </c>
      <c r="U52" s="2"/>
      <c r="V52" s="19"/>
      <c r="W52" s="2"/>
      <c r="X52" s="2">
        <f t="shared" si="2"/>
        <v>-6342.17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si="12"/>
        <v>0</v>
      </c>
      <c r="E53" s="2"/>
      <c r="F53" s="19"/>
      <c r="G53" s="2"/>
      <c r="H53" s="2">
        <f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3"/>
        <v>0</v>
      </c>
      <c r="Q53" s="2"/>
      <c r="R53" s="19"/>
      <c r="S53" s="2"/>
      <c r="T53" s="2">
        <f>--1146.72</f>
        <v>1146.72</v>
      </c>
      <c r="U53" s="2"/>
      <c r="V53" s="19"/>
      <c r="W53" s="2"/>
      <c r="X53" s="2">
        <f t="shared" si="2"/>
        <v>-1146.72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--6.5</f>
        <v>6.5</v>
      </c>
      <c r="E54" s="2"/>
      <c r="F54" s="19"/>
      <c r="G54" s="2"/>
      <c r="H54" s="2">
        <f>--6.95</f>
        <v>6.95</v>
      </c>
      <c r="I54" s="2"/>
      <c r="J54" s="19"/>
      <c r="K54" s="2"/>
      <c r="L54" s="2">
        <f t="shared" si="0"/>
        <v>-0.45000000000000018</v>
      </c>
      <c r="M54" s="2"/>
      <c r="N54" s="19">
        <f t="shared" si="1"/>
        <v>-6.4748201438848949E-2</v>
      </c>
      <c r="O54" s="11"/>
      <c r="P54" s="2">
        <f>--108.33</f>
        <v>108.33</v>
      </c>
      <c r="Q54" s="2"/>
      <c r="R54" s="19"/>
      <c r="S54" s="2"/>
      <c r="T54" s="2">
        <f>--20.92</f>
        <v>20.92</v>
      </c>
      <c r="U54" s="2"/>
      <c r="V54" s="19"/>
      <c r="W54" s="2"/>
      <c r="X54" s="2">
        <f t="shared" si="2"/>
        <v>87.41</v>
      </c>
      <c r="Y54" s="2"/>
      <c r="Z54" s="19">
        <f t="shared" si="3"/>
        <v>4.1782982791586996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ref="D55:D56" si="14">0</f>
        <v>0</v>
      </c>
      <c r="E55" s="2"/>
      <c r="F55" s="19"/>
      <c r="G55" s="2"/>
      <c r="H55" s="2">
        <f>--42.03</f>
        <v>42.03</v>
      </c>
      <c r="I55" s="2"/>
      <c r="J55" s="19"/>
      <c r="K55" s="2"/>
      <c r="L55" s="2">
        <f t="shared" si="0"/>
        <v>-42.03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--124.18</f>
        <v>124.18</v>
      </c>
      <c r="U55" s="2"/>
      <c r="V55" s="19"/>
      <c r="W55" s="2"/>
      <c r="X55" s="2">
        <f t="shared" si="2"/>
        <v>-124.18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4"/>
        <v>0</v>
      </c>
      <c r="E56" s="2"/>
      <c r="F56" s="19"/>
      <c r="G56" s="2"/>
      <c r="H56" s="2">
        <f>--332.14</f>
        <v>332.14</v>
      </c>
      <c r="I56" s="2"/>
      <c r="J56" s="19"/>
      <c r="K56" s="2"/>
      <c r="L56" s="2">
        <f t="shared" si="0"/>
        <v>-332.14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--1343.26</f>
        <v>1343.26</v>
      </c>
      <c r="U56" s="2"/>
      <c r="V56" s="19"/>
      <c r="W56" s="2"/>
      <c r="X56" s="2">
        <f t="shared" si="2"/>
        <v>-1290.58</v>
      </c>
      <c r="Y56" s="2"/>
      <c r="Z56" s="19">
        <f t="shared" si="3"/>
        <v>-0.96078197817250566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--810.33</f>
        <v>810.33</v>
      </c>
      <c r="E57" s="2"/>
      <c r="F57" s="19"/>
      <c r="G57" s="2"/>
      <c r="H57" s="2">
        <f>--547.21</f>
        <v>547.21</v>
      </c>
      <c r="I57" s="2"/>
      <c r="J57" s="19"/>
      <c r="K57" s="2"/>
      <c r="L57" s="2">
        <f t="shared" si="0"/>
        <v>263.12</v>
      </c>
      <c r="M57" s="2"/>
      <c r="N57" s="19">
        <f t="shared" si="1"/>
        <v>0.48083916595091464</v>
      </c>
      <c r="O57" s="11"/>
      <c r="P57" s="2">
        <f>--2670.74</f>
        <v>2670.74</v>
      </c>
      <c r="Q57" s="2"/>
      <c r="R57" s="19"/>
      <c r="S57" s="2"/>
      <c r="T57" s="2">
        <f>--2417.49</f>
        <v>2417.4899999999998</v>
      </c>
      <c r="U57" s="2"/>
      <c r="V57" s="19"/>
      <c r="W57" s="2"/>
      <c r="X57" s="2">
        <f t="shared" si="2"/>
        <v>253.25</v>
      </c>
      <c r="Y57" s="2"/>
      <c r="Z57" s="19">
        <f t="shared" si="3"/>
        <v>0.10475741368113209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>
        <f>--132.8</f>
        <v>132.80000000000001</v>
      </c>
      <c r="I58" s="2"/>
      <c r="J58" s="19"/>
      <c r="K58" s="2"/>
      <c r="L58" s="2">
        <f t="shared" si="0"/>
        <v>-132.80000000000001</v>
      </c>
      <c r="M58" s="2"/>
      <c r="N58" s="19">
        <f t="shared" si="1"/>
        <v>-1</v>
      </c>
      <c r="O58" s="11"/>
      <c r="P58" s="2">
        <f>0</f>
        <v>0</v>
      </c>
      <c r="Q58" s="2"/>
      <c r="R58" s="19"/>
      <c r="S58" s="2"/>
      <c r="T58" s="2">
        <f>--262.9</f>
        <v>262.89999999999998</v>
      </c>
      <c r="U58" s="2"/>
      <c r="V58" s="19"/>
      <c r="W58" s="2"/>
      <c r="X58" s="2">
        <f t="shared" si="2"/>
        <v>-262.89999999999998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--2168.74</f>
        <v>2168.7399999999998</v>
      </c>
      <c r="E59" s="2"/>
      <c r="F59" s="19"/>
      <c r="G59" s="2"/>
      <c r="H59" s="2">
        <f>--10548.09</f>
        <v>10548.09</v>
      </c>
      <c r="I59" s="2"/>
      <c r="J59" s="19"/>
      <c r="K59" s="2"/>
      <c r="L59" s="2">
        <f t="shared" si="0"/>
        <v>-8379.35</v>
      </c>
      <c r="M59" s="2"/>
      <c r="N59" s="19">
        <f t="shared" si="1"/>
        <v>-0.79439500421403308</v>
      </c>
      <c r="O59" s="11"/>
      <c r="P59" s="2">
        <f>--4003.96</f>
        <v>4003.96</v>
      </c>
      <c r="Q59" s="2"/>
      <c r="R59" s="19"/>
      <c r="S59" s="2"/>
      <c r="T59" s="2">
        <f>--13265.29</f>
        <v>13265.29</v>
      </c>
      <c r="U59" s="2"/>
      <c r="V59" s="19"/>
      <c r="W59" s="2"/>
      <c r="X59" s="2">
        <f t="shared" si="2"/>
        <v>-9261.3300000000017</v>
      </c>
      <c r="Y59" s="2"/>
      <c r="Z59" s="19">
        <f t="shared" si="3"/>
        <v>-0.69816264853614218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 t="shared" ref="D60:D64" si="15">0</f>
        <v>0</v>
      </c>
      <c r="E60" s="2"/>
      <c r="F60" s="19"/>
      <c r="G60" s="2"/>
      <c r="H60" s="2">
        <f>--3051.46</f>
        <v>3051.46</v>
      </c>
      <c r="I60" s="2"/>
      <c r="J60" s="19"/>
      <c r="K60" s="2"/>
      <c r="L60" s="2">
        <f t="shared" si="0"/>
        <v>-3051.46</v>
      </c>
      <c r="M60" s="2"/>
      <c r="N60" s="19">
        <f t="shared" si="1"/>
        <v>-1</v>
      </c>
      <c r="O60" s="11"/>
      <c r="P60" s="2">
        <f>--22.49</f>
        <v>22.49</v>
      </c>
      <c r="Q60" s="2"/>
      <c r="R60" s="19"/>
      <c r="S60" s="2"/>
      <c r="T60" s="2">
        <f>--3810.37</f>
        <v>3810.37</v>
      </c>
      <c r="U60" s="2"/>
      <c r="V60" s="19"/>
      <c r="W60" s="2"/>
      <c r="X60" s="2">
        <f t="shared" si="2"/>
        <v>-3787.88</v>
      </c>
      <c r="Y60" s="2"/>
      <c r="Z60" s="19">
        <f t="shared" si="3"/>
        <v>-0.99409768605148585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 t="shared" si="15"/>
        <v>0</v>
      </c>
      <c r="E61" s="2"/>
      <c r="F61" s="19"/>
      <c r="G61" s="2"/>
      <c r="H61" s="2">
        <f>--3292.63</f>
        <v>3292.63</v>
      </c>
      <c r="I61" s="2"/>
      <c r="J61" s="19"/>
      <c r="K61" s="2"/>
      <c r="L61" s="2">
        <f t="shared" si="0"/>
        <v>-3292.63</v>
      </c>
      <c r="M61" s="2"/>
      <c r="N61" s="19">
        <f t="shared" si="1"/>
        <v>-1</v>
      </c>
      <c r="O61" s="11"/>
      <c r="P61" s="2">
        <f>--80.71</f>
        <v>80.709999999999994</v>
      </c>
      <c r="Q61" s="2"/>
      <c r="R61" s="19"/>
      <c r="S61" s="2"/>
      <c r="T61" s="2">
        <f>--4664.98</f>
        <v>4664.9799999999996</v>
      </c>
      <c r="U61" s="2"/>
      <c r="V61" s="19"/>
      <c r="W61" s="2"/>
      <c r="X61" s="2">
        <f t="shared" si="2"/>
        <v>-4584.2699999999995</v>
      </c>
      <c r="Y61" s="2"/>
      <c r="Z61" s="19">
        <f t="shared" si="3"/>
        <v>-0.9826987468327838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si="15"/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--45.53</f>
        <v>45.53</v>
      </c>
      <c r="Q62" s="2"/>
      <c r="R62" s="19"/>
      <c r="S62" s="2"/>
      <c r="T62" s="2">
        <f>0</f>
        <v>0</v>
      </c>
      <c r="U62" s="2"/>
      <c r="V62" s="19"/>
      <c r="W62" s="2"/>
      <c r="X62" s="2">
        <f t="shared" si="2"/>
        <v>45.53</v>
      </c>
      <c r="Y62" s="2"/>
      <c r="Z62" s="19">
        <f t="shared" si="3"/>
        <v>0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5"/>
        <v>0</v>
      </c>
      <c r="E63" s="2"/>
      <c r="F63" s="19"/>
      <c r="G63" s="2"/>
      <c r="H63" s="2">
        <f>--32.31</f>
        <v>32.31</v>
      </c>
      <c r="I63" s="2"/>
      <c r="J63" s="19"/>
      <c r="K63" s="2"/>
      <c r="L63" s="2">
        <f t="shared" si="0"/>
        <v>-32.31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--86.06</f>
        <v>86.06</v>
      </c>
      <c r="U63" s="2"/>
      <c r="V63" s="19"/>
      <c r="W63" s="2"/>
      <c r="X63" s="2">
        <f t="shared" si="2"/>
        <v>-86.06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5"/>
        <v>0</v>
      </c>
      <c r="E64" s="2"/>
      <c r="F64" s="19"/>
      <c r="G64" s="2"/>
      <c r="H64" s="2">
        <f>--1634.15</f>
        <v>1634.15</v>
      </c>
      <c r="I64" s="2"/>
      <c r="J64" s="19"/>
      <c r="K64" s="2"/>
      <c r="L64" s="2">
        <f t="shared" si="0"/>
        <v>-1634.15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--2240.87</f>
        <v>2240.87</v>
      </c>
      <c r="U64" s="2"/>
      <c r="V64" s="19"/>
      <c r="W64" s="2"/>
      <c r="X64" s="2">
        <f t="shared" si="2"/>
        <v>-2172.62</v>
      </c>
      <c r="Y64" s="2"/>
      <c r="Z64" s="19">
        <f t="shared" si="3"/>
        <v>-0.96954307925046967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--3339.7</f>
        <v>3339.7</v>
      </c>
      <c r="E65" s="2"/>
      <c r="F65" s="19"/>
      <c r="G65" s="2"/>
      <c r="H65" s="2">
        <f>--3114.74</f>
        <v>3114.74</v>
      </c>
      <c r="I65" s="2"/>
      <c r="J65" s="19"/>
      <c r="K65" s="2"/>
      <c r="L65" s="2">
        <f t="shared" si="0"/>
        <v>224.96000000000004</v>
      </c>
      <c r="M65" s="2"/>
      <c r="N65" s="19">
        <f t="shared" si="1"/>
        <v>7.2224326910111297E-2</v>
      </c>
      <c r="O65" s="11"/>
      <c r="P65" s="2">
        <f>--17452.44</f>
        <v>17452.439999999999</v>
      </c>
      <c r="Q65" s="2"/>
      <c r="R65" s="19"/>
      <c r="S65" s="2"/>
      <c r="T65" s="2">
        <f>--8257.7</f>
        <v>8257.7000000000007</v>
      </c>
      <c r="U65" s="2"/>
      <c r="V65" s="19"/>
      <c r="W65" s="2"/>
      <c r="X65" s="2">
        <f t="shared" si="2"/>
        <v>9194.739999999998</v>
      </c>
      <c r="Y65" s="2"/>
      <c r="Z65" s="19">
        <f t="shared" si="3"/>
        <v>1.1134746963440179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--555.74</f>
        <v>555.74</v>
      </c>
      <c r="E66" s="2"/>
      <c r="F66" s="19"/>
      <c r="G66" s="2"/>
      <c r="H66" s="2">
        <f>--120.34</f>
        <v>120.34</v>
      </c>
      <c r="I66" s="2"/>
      <c r="J66" s="19"/>
      <c r="K66" s="2"/>
      <c r="L66" s="2">
        <f t="shared" si="0"/>
        <v>435.4</v>
      </c>
      <c r="M66" s="2"/>
      <c r="N66" s="19">
        <f t="shared" si="1"/>
        <v>3.6180821007146418</v>
      </c>
      <c r="O66" s="11"/>
      <c r="P66" s="2">
        <f>--2944.99</f>
        <v>2944.99</v>
      </c>
      <c r="Q66" s="2"/>
      <c r="R66" s="19"/>
      <c r="S66" s="2"/>
      <c r="T66" s="2">
        <f>--814.64</f>
        <v>814.64</v>
      </c>
      <c r="U66" s="2"/>
      <c r="V66" s="19"/>
      <c r="W66" s="2"/>
      <c r="X66" s="2">
        <f t="shared" si="2"/>
        <v>2130.35</v>
      </c>
      <c r="Y66" s="2"/>
      <c r="Z66" s="19">
        <f t="shared" si="3"/>
        <v>2.6150815083963468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--30.16</f>
        <v>30.16</v>
      </c>
      <c r="E67" s="2"/>
      <c r="F67" s="19"/>
      <c r="G67" s="2"/>
      <c r="H67" s="2">
        <f>--2116.4</f>
        <v>2116.4</v>
      </c>
      <c r="I67" s="2"/>
      <c r="J67" s="19"/>
      <c r="K67" s="2"/>
      <c r="L67" s="2">
        <f t="shared" si="0"/>
        <v>-2086.2400000000002</v>
      </c>
      <c r="M67" s="2"/>
      <c r="N67" s="19">
        <f t="shared" si="1"/>
        <v>-0.98574938574938586</v>
      </c>
      <c r="O67" s="11"/>
      <c r="P67" s="2">
        <f>--1009.73</f>
        <v>1009.73</v>
      </c>
      <c r="Q67" s="2"/>
      <c r="R67" s="19"/>
      <c r="S67" s="2"/>
      <c r="T67" s="2">
        <f>--3036.5</f>
        <v>3036.5</v>
      </c>
      <c r="U67" s="2"/>
      <c r="V67" s="19"/>
      <c r="W67" s="2"/>
      <c r="X67" s="2">
        <f t="shared" si="2"/>
        <v>-2026.77</v>
      </c>
      <c r="Y67" s="2"/>
      <c r="Z67" s="19">
        <f t="shared" si="3"/>
        <v>-0.66746912563807015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0</f>
        <v>0</v>
      </c>
      <c r="E68" s="2"/>
      <c r="F68" s="19"/>
      <c r="G68" s="2"/>
      <c r="H68" s="2">
        <f t="shared" ref="H68:H70" si="16">0</f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>--19.98</f>
        <v>19.98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19.98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--59.95</f>
        <v>59.95</v>
      </c>
      <c r="E69" s="2"/>
      <c r="F69" s="19"/>
      <c r="G69" s="2"/>
      <c r="H69" s="2">
        <f t="shared" si="16"/>
        <v>0</v>
      </c>
      <c r="I69" s="2"/>
      <c r="J69" s="19"/>
      <c r="K69" s="2"/>
      <c r="L69" s="2">
        <f t="shared" si="0"/>
        <v>59.95</v>
      </c>
      <c r="M69" s="2"/>
      <c r="N69" s="19">
        <f t="shared" si="1"/>
        <v>0</v>
      </c>
      <c r="O69" s="11"/>
      <c r="P69" s="2">
        <f>--215.75</f>
        <v>215.75</v>
      </c>
      <c r="Q69" s="2"/>
      <c r="R69" s="19"/>
      <c r="S69" s="2"/>
      <c r="T69" s="2">
        <f>--139.76</f>
        <v>139.76</v>
      </c>
      <c r="U69" s="2"/>
      <c r="V69" s="19"/>
      <c r="W69" s="2"/>
      <c r="X69" s="2">
        <f t="shared" si="2"/>
        <v>75.990000000000009</v>
      </c>
      <c r="Y69" s="2"/>
      <c r="Z69" s="19">
        <f t="shared" si="3"/>
        <v>0.54371780194619357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0</f>
        <v>0</v>
      </c>
      <c r="E70" s="2"/>
      <c r="F70" s="19"/>
      <c r="G70" s="2"/>
      <c r="H70" s="2">
        <f t="shared" si="16"/>
        <v>0</v>
      </c>
      <c r="I70" s="2"/>
      <c r="J70" s="19"/>
      <c r="K70" s="2"/>
      <c r="L70" s="2">
        <f t="shared" si="0"/>
        <v>0</v>
      </c>
      <c r="M70" s="2"/>
      <c r="N70" s="19">
        <f t="shared" si="1"/>
        <v>0</v>
      </c>
      <c r="O70" s="11"/>
      <c r="P70" s="2">
        <f>--35846</f>
        <v>35846</v>
      </c>
      <c r="Q70" s="2"/>
      <c r="R70" s="19"/>
      <c r="S70" s="2"/>
      <c r="T70" s="2">
        <f>--90</f>
        <v>90</v>
      </c>
      <c r="U70" s="2"/>
      <c r="V70" s="19"/>
      <c r="W70" s="2"/>
      <c r="X70" s="2">
        <f t="shared" si="2"/>
        <v>35756</v>
      </c>
      <c r="Y70" s="2"/>
      <c r="Z70" s="19">
        <f t="shared" si="3"/>
        <v>397.28888888888889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--49.7</f>
        <v>49.7</v>
      </c>
      <c r="E71" s="2"/>
      <c r="F71" s="19"/>
      <c r="G71" s="2"/>
      <c r="H71" s="2">
        <f>--34744.75</f>
        <v>34744.75</v>
      </c>
      <c r="I71" s="2"/>
      <c r="J71" s="19"/>
      <c r="K71" s="2"/>
      <c r="L71" s="2">
        <f t="shared" si="0"/>
        <v>-34695.050000000003</v>
      </c>
      <c r="M71" s="2"/>
      <c r="N71" s="19">
        <f t="shared" si="1"/>
        <v>-0.99856956806424002</v>
      </c>
      <c r="O71" s="11"/>
      <c r="P71" s="2">
        <f>--65.2</f>
        <v>65.2</v>
      </c>
      <c r="Q71" s="2"/>
      <c r="R71" s="19"/>
      <c r="S71" s="2"/>
      <c r="T71" s="2">
        <f>--50093.5</f>
        <v>50093.5</v>
      </c>
      <c r="U71" s="2"/>
      <c r="V71" s="19"/>
      <c r="W71" s="2"/>
      <c r="X71" s="2">
        <f t="shared" si="2"/>
        <v>-50028.3</v>
      </c>
      <c r="Y71" s="2"/>
      <c r="Z71" s="19">
        <f t="shared" si="3"/>
        <v>-0.99869843392855362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--24</f>
        <v>24</v>
      </c>
      <c r="E72" s="2"/>
      <c r="F72" s="19"/>
      <c r="G72" s="2"/>
      <c r="H72" s="2">
        <f>--344.5</f>
        <v>344.5</v>
      </c>
      <c r="I72" s="2"/>
      <c r="J72" s="19"/>
      <c r="K72" s="2"/>
      <c r="L72" s="2">
        <f t="shared" si="0"/>
        <v>-320.5</v>
      </c>
      <c r="M72" s="2"/>
      <c r="N72" s="19">
        <f t="shared" si="1"/>
        <v>-0.93033381712626995</v>
      </c>
      <c r="O72" s="11"/>
      <c r="P72" s="2">
        <f>--48</f>
        <v>48</v>
      </c>
      <c r="Q72" s="2"/>
      <c r="R72" s="19"/>
      <c r="S72" s="2"/>
      <c r="T72" s="2">
        <f>--414.9</f>
        <v>414.9</v>
      </c>
      <c r="U72" s="2"/>
      <c r="V72" s="19"/>
      <c r="W72" s="2"/>
      <c r="X72" s="2">
        <f t="shared" si="2"/>
        <v>-366.9</v>
      </c>
      <c r="Y72" s="2"/>
      <c r="Z72" s="19">
        <f t="shared" si="3"/>
        <v>-0.88430947216196676</v>
      </c>
    </row>
    <row r="73" spans="1:26" s="24" customFormat="1" hidden="1" outlineLevel="1" x14ac:dyDescent="0.25">
      <c r="A73" s="44"/>
      <c r="B73" s="11" t="str">
        <f>CONCATENATE("          ", "4186", " - ", "NON-TAXABLE SALES-COMPUTER SUP")</f>
        <v xml:space="preserve">          4186 - NON-TAXABLE SALES-COMPUTER SUP</v>
      </c>
      <c r="C73" s="11"/>
      <c r="D73" s="2">
        <f>0</f>
        <v>0</v>
      </c>
      <c r="E73" s="2"/>
      <c r="F73" s="19"/>
      <c r="G73" s="2"/>
      <c r="H73" s="2">
        <f>-34.98</f>
        <v>-34.979999999999997</v>
      </c>
      <c r="I73" s="2"/>
      <c r="J73" s="19"/>
      <c r="K73" s="2"/>
      <c r="L73" s="2">
        <f t="shared" si="0"/>
        <v>34.979999999999997</v>
      </c>
      <c r="M73" s="2"/>
      <c r="N73" s="19">
        <f t="shared" si="1"/>
        <v>-1</v>
      </c>
      <c r="O73" s="11"/>
      <c r="P73" s="2">
        <f>0</f>
        <v>0</v>
      </c>
      <c r="Q73" s="2"/>
      <c r="R73" s="19"/>
      <c r="S73" s="2"/>
      <c r="T73" s="2">
        <f>-34.98</f>
        <v>-34.979999999999997</v>
      </c>
      <c r="U73" s="2"/>
      <c r="V73" s="19"/>
      <c r="W73" s="2"/>
      <c r="X73" s="2">
        <f t="shared" si="2"/>
        <v>34.979999999999997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-13393.2</f>
        <v>-13393.2</v>
      </c>
      <c r="E74" s="2"/>
      <c r="F74" s="19"/>
      <c r="G74" s="2"/>
      <c r="H74" s="2">
        <f>-14069.34</f>
        <v>-14069.34</v>
      </c>
      <c r="I74" s="2"/>
      <c r="J74" s="19"/>
      <c r="K74" s="2"/>
      <c r="L74" s="2">
        <f t="shared" si="0"/>
        <v>676.13999999999942</v>
      </c>
      <c r="M74" s="2"/>
      <c r="N74" s="19">
        <f t="shared" si="1"/>
        <v>-4.8057691405566955E-2</v>
      </c>
      <c r="O74" s="11"/>
      <c r="P74" s="2">
        <f>-32248.99</f>
        <v>-32248.99</v>
      </c>
      <c r="Q74" s="2"/>
      <c r="R74" s="19"/>
      <c r="S74" s="2"/>
      <c r="T74" s="2">
        <f>-73239.75</f>
        <v>-73239.75</v>
      </c>
      <c r="U74" s="2"/>
      <c r="V74" s="19"/>
      <c r="W74" s="2"/>
      <c r="X74" s="2">
        <f t="shared" si="2"/>
        <v>40990.759999999995</v>
      </c>
      <c r="Y74" s="2"/>
      <c r="Z74" s="19">
        <f t="shared" si="3"/>
        <v>-0.55967913598831232</v>
      </c>
    </row>
    <row r="75" spans="1:26" s="24" customFormat="1" hidden="1" outlineLevel="1" x14ac:dyDescent="0.25">
      <c r="A75" s="44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-1345.2</f>
        <v>-1345.2</v>
      </c>
      <c r="E75" s="2"/>
      <c r="F75" s="19"/>
      <c r="G75" s="2"/>
      <c r="H75" s="2">
        <f>-2096.65</f>
        <v>-2096.65</v>
      </c>
      <c r="I75" s="2"/>
      <c r="J75" s="19"/>
      <c r="K75" s="2"/>
      <c r="L75" s="2">
        <f t="shared" si="0"/>
        <v>751.45</v>
      </c>
      <c r="M75" s="2"/>
      <c r="N75" s="19">
        <f t="shared" si="1"/>
        <v>-0.35840507476212052</v>
      </c>
      <c r="O75" s="11"/>
      <c r="P75" s="2">
        <f>-10392.95</f>
        <v>-10392.950000000001</v>
      </c>
      <c r="Q75" s="2"/>
      <c r="R75" s="19"/>
      <c r="S75" s="2"/>
      <c r="T75" s="2">
        <f>-23351.1</f>
        <v>-23351.1</v>
      </c>
      <c r="U75" s="2"/>
      <c r="V75" s="19"/>
      <c r="W75" s="2"/>
      <c r="X75" s="2">
        <f t="shared" si="2"/>
        <v>12958.149999999998</v>
      </c>
      <c r="Y75" s="2"/>
      <c r="Z75" s="19">
        <f t="shared" si="3"/>
        <v>-0.55492674863282665</v>
      </c>
    </row>
    <row r="76" spans="1:26" s="24" customFormat="1" hidden="1" outlineLevel="1" x14ac:dyDescent="0.25">
      <c r="A76" s="44"/>
      <c r="B76" s="11" t="str">
        <f>CONCATENATE("          ", "4203", " - ", "SALES RETURN TAXABLE-RENTAL TE")</f>
        <v xml:space="preserve">          4203 - SALES RETURN TAXABLE-RENTAL TE</v>
      </c>
      <c r="C76" s="11"/>
      <c r="D76" s="2">
        <f>0</f>
        <v>0</v>
      </c>
      <c r="E76" s="2"/>
      <c r="F76" s="19"/>
      <c r="G76" s="2"/>
      <c r="H76" s="2">
        <f>-144.99</f>
        <v>-144.99</v>
      </c>
      <c r="I76" s="2"/>
      <c r="J76" s="19"/>
      <c r="K76" s="2"/>
      <c r="L76" s="2">
        <f t="shared" si="0"/>
        <v>144.99</v>
      </c>
      <c r="M76" s="2"/>
      <c r="N76" s="19">
        <f t="shared" si="1"/>
        <v>-1</v>
      </c>
      <c r="O76" s="11"/>
      <c r="P76" s="2">
        <f>0</f>
        <v>0</v>
      </c>
      <c r="Q76" s="2"/>
      <c r="R76" s="19"/>
      <c r="S76" s="2"/>
      <c r="T76" s="2">
        <f>-144.99</f>
        <v>-144.99</v>
      </c>
      <c r="U76" s="2"/>
      <c r="V76" s="19"/>
      <c r="W76" s="2"/>
      <c r="X76" s="2">
        <f t="shared" si="2"/>
        <v>144.99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>-105.87</f>
        <v>-105.87</v>
      </c>
      <c r="E77" s="2"/>
      <c r="F77" s="19"/>
      <c r="G77" s="2"/>
      <c r="H77" s="2">
        <f>-4208.35</f>
        <v>-4208.3500000000004</v>
      </c>
      <c r="I77" s="2"/>
      <c r="J77" s="19"/>
      <c r="K77" s="2"/>
      <c r="L77" s="2">
        <f t="shared" si="0"/>
        <v>4102.4800000000005</v>
      </c>
      <c r="M77" s="2"/>
      <c r="N77" s="19">
        <f t="shared" si="1"/>
        <v>-0.97484287190941821</v>
      </c>
      <c r="O77" s="11"/>
      <c r="P77" s="2">
        <f>-1246.95</f>
        <v>-1246.95</v>
      </c>
      <c r="Q77" s="2"/>
      <c r="R77" s="19"/>
      <c r="S77" s="2"/>
      <c r="T77" s="2">
        <f>-11056.72</f>
        <v>-11056.72</v>
      </c>
      <c r="U77" s="2"/>
      <c r="V77" s="19"/>
      <c r="W77" s="2"/>
      <c r="X77" s="2">
        <f t="shared" si="2"/>
        <v>9809.7699999999986</v>
      </c>
      <c r="Y77" s="2"/>
      <c r="Z77" s="19">
        <f t="shared" si="3"/>
        <v>-0.88722243124543254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 t="shared" ref="D78:D79" si="17">0</f>
        <v>0</v>
      </c>
      <c r="E78" s="2"/>
      <c r="F78" s="19"/>
      <c r="G78" s="2"/>
      <c r="H78" s="2">
        <f>-5.95</f>
        <v>-5.95</v>
      </c>
      <c r="I78" s="2"/>
      <c r="J78" s="19"/>
      <c r="K78" s="2"/>
      <c r="L78" s="2">
        <f t="shared" si="0"/>
        <v>5.95</v>
      </c>
      <c r="M78" s="2"/>
      <c r="N78" s="19">
        <f t="shared" si="1"/>
        <v>-1</v>
      </c>
      <c r="O78" s="11"/>
      <c r="P78" s="2">
        <f t="shared" ref="P78:P79" si="18">0</f>
        <v>0</v>
      </c>
      <c r="Q78" s="2"/>
      <c r="R78" s="19"/>
      <c r="S78" s="2"/>
      <c r="T78" s="2">
        <f>-32.75</f>
        <v>-32.75</v>
      </c>
      <c r="U78" s="2"/>
      <c r="V78" s="19"/>
      <c r="W78" s="2"/>
      <c r="X78" s="2">
        <f t="shared" si="2"/>
        <v>32.75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"4225", " - ", "SALES RETURN TAXABLE-TEST FORM")</f>
        <v xml:space="preserve">          4225 - SALES RETURN TAXABLE-TEST FORM</v>
      </c>
      <c r="C79" s="11"/>
      <c r="D79" s="2">
        <f t="shared" si="17"/>
        <v>0</v>
      </c>
      <c r="E79" s="2"/>
      <c r="F79" s="19"/>
      <c r="G79" s="2"/>
      <c r="H79" s="2">
        <f>-20.41</f>
        <v>-20.41</v>
      </c>
      <c r="I79" s="2"/>
      <c r="J79" s="19"/>
      <c r="K79" s="2"/>
      <c r="L79" s="2">
        <f t="shared" si="0"/>
        <v>20.41</v>
      </c>
      <c r="M79" s="2"/>
      <c r="N79" s="19">
        <f t="shared" si="1"/>
        <v>-1</v>
      </c>
      <c r="O79" s="11"/>
      <c r="P79" s="2">
        <f t="shared" si="18"/>
        <v>0</v>
      </c>
      <c r="Q79" s="2"/>
      <c r="R79" s="19"/>
      <c r="S79" s="2"/>
      <c r="T79" s="2">
        <f>-33.1</f>
        <v>-33.1</v>
      </c>
      <c r="U79" s="2"/>
      <c r="V79" s="19"/>
      <c r="W79" s="2"/>
      <c r="X79" s="2">
        <f t="shared" si="2"/>
        <v>33.1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"4226", " - ", "SALES RETURN TAXABLE-WRITING I")</f>
        <v xml:space="preserve">          4226 - SALES RETURN TAXABLE-WRITING I</v>
      </c>
      <c r="C80" s="11"/>
      <c r="D80" s="2">
        <f>-22.49</f>
        <v>-22.49</v>
      </c>
      <c r="E80" s="2"/>
      <c r="F80" s="19"/>
      <c r="G80" s="2"/>
      <c r="H80" s="2">
        <f>-184.86</f>
        <v>-184.86</v>
      </c>
      <c r="I80" s="2"/>
      <c r="J80" s="19"/>
      <c r="K80" s="2"/>
      <c r="L80" s="2">
        <f t="shared" si="0"/>
        <v>162.37</v>
      </c>
      <c r="M80" s="2"/>
      <c r="N80" s="19">
        <f t="shared" si="1"/>
        <v>-0.8783403656821378</v>
      </c>
      <c r="O80" s="11"/>
      <c r="P80" s="2">
        <f>-28.87</f>
        <v>-28.87</v>
      </c>
      <c r="Q80" s="2"/>
      <c r="R80" s="19"/>
      <c r="S80" s="2"/>
      <c r="T80" s="2">
        <f>-309.07</f>
        <v>-309.07</v>
      </c>
      <c r="U80" s="2"/>
      <c r="V80" s="19"/>
      <c r="W80" s="2"/>
      <c r="X80" s="2">
        <f t="shared" si="2"/>
        <v>280.2</v>
      </c>
      <c r="Y80" s="2"/>
      <c r="Z80" s="19">
        <f t="shared" si="3"/>
        <v>-0.90659073996182094</v>
      </c>
    </row>
    <row r="81" spans="1:26" s="24" customFormat="1" hidden="1" outlineLevel="1" x14ac:dyDescent="0.25">
      <c r="A81" s="44"/>
      <c r="B81" s="11" t="str">
        <f>CONCATENATE("          ", "4227", " - ", "SALES RETURN TAXABLE-SCHOOL SU")</f>
        <v xml:space="preserve">          4227 - SALES RETURN TAXABLE-SCHOOL SU</v>
      </c>
      <c r="C81" s="11"/>
      <c r="D81" s="2">
        <f>-152.29</f>
        <v>-152.29</v>
      </c>
      <c r="E81" s="2"/>
      <c r="F81" s="19"/>
      <c r="G81" s="2"/>
      <c r="H81" s="2">
        <f>-2805.04</f>
        <v>-2805.04</v>
      </c>
      <c r="I81" s="2"/>
      <c r="J81" s="19"/>
      <c r="K81" s="2"/>
      <c r="L81" s="2">
        <f t="shared" si="0"/>
        <v>2652.75</v>
      </c>
      <c r="M81" s="2"/>
      <c r="N81" s="19">
        <f t="shared" si="1"/>
        <v>-0.94570843909534263</v>
      </c>
      <c r="O81" s="11"/>
      <c r="P81" s="2">
        <f>-568.67</f>
        <v>-568.66999999999996</v>
      </c>
      <c r="Q81" s="2"/>
      <c r="R81" s="19"/>
      <c r="S81" s="2"/>
      <c r="T81" s="2">
        <f>-4501.63</f>
        <v>-4501.63</v>
      </c>
      <c r="U81" s="2"/>
      <c r="V81" s="19"/>
      <c r="W81" s="2"/>
      <c r="X81" s="2">
        <f t="shared" si="2"/>
        <v>3932.96</v>
      </c>
      <c r="Y81" s="2"/>
      <c r="Z81" s="19">
        <f t="shared" si="3"/>
        <v>-0.87367464673907003</v>
      </c>
    </row>
    <row r="82" spans="1:26" s="24" customFormat="1" hidden="1" outlineLevel="1" x14ac:dyDescent="0.25">
      <c r="A82" s="44"/>
      <c r="B82" s="11" t="str">
        <f>CONCATENATE("          ", "4228", " - ", "SALES RETURN TAXABLE-ART/TECH")</f>
        <v xml:space="preserve">          4228 - SALES RETURN TAXABLE-ART/TECH</v>
      </c>
      <c r="C82" s="11"/>
      <c r="D82" s="2">
        <f>-57.76</f>
        <v>-57.76</v>
      </c>
      <c r="E82" s="2"/>
      <c r="F82" s="19"/>
      <c r="G82" s="2"/>
      <c r="H82" s="2">
        <f>-1058.54</f>
        <v>-1058.54</v>
      </c>
      <c r="I82" s="2"/>
      <c r="J82" s="19"/>
      <c r="K82" s="2"/>
      <c r="L82" s="2">
        <f t="shared" si="0"/>
        <v>1000.78</v>
      </c>
      <c r="M82" s="2"/>
      <c r="N82" s="19">
        <f t="shared" si="1"/>
        <v>-0.94543427740094843</v>
      </c>
      <c r="O82" s="11"/>
      <c r="P82" s="2">
        <f>-222.2</f>
        <v>-222.2</v>
      </c>
      <c r="Q82" s="2"/>
      <c r="R82" s="19"/>
      <c r="S82" s="2"/>
      <c r="T82" s="2">
        <f>-1927.27</f>
        <v>-1927.27</v>
      </c>
      <c r="U82" s="2"/>
      <c r="V82" s="19"/>
      <c r="W82" s="2"/>
      <c r="X82" s="2">
        <f t="shared" si="2"/>
        <v>1705.07</v>
      </c>
      <c r="Y82" s="2"/>
      <c r="Z82" s="19">
        <f t="shared" si="3"/>
        <v>-0.88470738401988303</v>
      </c>
    </row>
    <row r="83" spans="1:26" s="24" customFormat="1" hidden="1" outlineLevel="1" x14ac:dyDescent="0.25">
      <c r="A83" s="44"/>
      <c r="B83" s="11" t="str">
        <f>CONCATENATE("          ", "4240", " - ", "SALES RETURN TAXABLE-LOGO CLOT")</f>
        <v xml:space="preserve">          4240 - SALES RETURN TAXABLE-LOGO CLOT</v>
      </c>
      <c r="C83" s="11"/>
      <c r="D83" s="2">
        <f>-3453.14</f>
        <v>-3453.14</v>
      </c>
      <c r="E83" s="2"/>
      <c r="F83" s="19"/>
      <c r="G83" s="2"/>
      <c r="H83" s="2">
        <f>-9538.49</f>
        <v>-9538.49</v>
      </c>
      <c r="I83" s="2"/>
      <c r="J83" s="19"/>
      <c r="K83" s="2"/>
      <c r="L83" s="2">
        <f t="shared" si="0"/>
        <v>6085.35</v>
      </c>
      <c r="M83" s="2"/>
      <c r="N83" s="19">
        <f t="shared" si="1"/>
        <v>-0.63797833829044226</v>
      </c>
      <c r="O83" s="11"/>
      <c r="P83" s="2">
        <f>-11609.96</f>
        <v>-11609.96</v>
      </c>
      <c r="Q83" s="2"/>
      <c r="R83" s="19"/>
      <c r="S83" s="2"/>
      <c r="T83" s="2">
        <f>-20792.98</f>
        <v>-20792.98</v>
      </c>
      <c r="U83" s="2"/>
      <c r="V83" s="19"/>
      <c r="W83" s="2"/>
      <c r="X83" s="2">
        <f t="shared" si="2"/>
        <v>9183.02</v>
      </c>
      <c r="Y83" s="2"/>
      <c r="Z83" s="19">
        <f t="shared" si="3"/>
        <v>-0.4416403997887749</v>
      </c>
    </row>
    <row r="84" spans="1:26" s="24" customFormat="1" hidden="1" outlineLevel="1" x14ac:dyDescent="0.25">
      <c r="A84" s="44"/>
      <c r="B84" s="11" t="str">
        <f>CONCATENATE("          ", "4241", " - ", "SALES RETURN TAXABLE-LOGO GIFT")</f>
        <v xml:space="preserve">          4241 - SALES RETURN TAXABLE-LOGO GIFT</v>
      </c>
      <c r="C84" s="11"/>
      <c r="D84" s="2">
        <f>-988.92</f>
        <v>-988.92</v>
      </c>
      <c r="E84" s="2"/>
      <c r="F84" s="19"/>
      <c r="G84" s="2"/>
      <c r="H84" s="2">
        <f>-700.87</f>
        <v>-700.87</v>
      </c>
      <c r="I84" s="2"/>
      <c r="J84" s="19"/>
      <c r="K84" s="2"/>
      <c r="L84" s="2">
        <f t="shared" si="0"/>
        <v>-288.04999999999995</v>
      </c>
      <c r="M84" s="2"/>
      <c r="N84" s="19">
        <f t="shared" si="1"/>
        <v>0.41098919913821386</v>
      </c>
      <c r="O84" s="11"/>
      <c r="P84" s="2">
        <f>-2317.11</f>
        <v>-2317.11</v>
      </c>
      <c r="Q84" s="2"/>
      <c r="R84" s="19"/>
      <c r="S84" s="2"/>
      <c r="T84" s="2">
        <f>-2390.88</f>
        <v>-2390.88</v>
      </c>
      <c r="U84" s="2"/>
      <c r="V84" s="19"/>
      <c r="W84" s="2"/>
      <c r="X84" s="2">
        <f t="shared" si="2"/>
        <v>73.769999999999982</v>
      </c>
      <c r="Y84" s="2"/>
      <c r="Z84" s="19">
        <f t="shared" si="3"/>
        <v>-3.0854748042561726E-2</v>
      </c>
    </row>
    <row r="85" spans="1:26" s="24" customFormat="1" hidden="1" outlineLevel="1" x14ac:dyDescent="0.25">
      <c r="A85" s="44"/>
      <c r="B85" s="11" t="str">
        <f>CONCATENATE("          ", "4242", " - ", "SALES RETURN TAXABLE-EVERYDAY")</f>
        <v xml:space="preserve">          4242 - SALES RETURN TAXABLE-EVERYDAY</v>
      </c>
      <c r="C85" s="11"/>
      <c r="D85" s="2">
        <f>-405.07</f>
        <v>-405.07</v>
      </c>
      <c r="E85" s="2"/>
      <c r="F85" s="19"/>
      <c r="G85" s="2"/>
      <c r="H85" s="2">
        <f>-169.66</f>
        <v>-169.66</v>
      </c>
      <c r="I85" s="2"/>
      <c r="J85" s="19"/>
      <c r="K85" s="2"/>
      <c r="L85" s="2">
        <f t="shared" si="0"/>
        <v>-235.41</v>
      </c>
      <c r="M85" s="2"/>
      <c r="N85" s="19">
        <f t="shared" si="1"/>
        <v>1.3875397854532594</v>
      </c>
      <c r="O85" s="11"/>
      <c r="P85" s="2">
        <f>-1054.56</f>
        <v>-1054.56</v>
      </c>
      <c r="Q85" s="2"/>
      <c r="R85" s="19"/>
      <c r="S85" s="2"/>
      <c r="T85" s="2">
        <f>-994.47</f>
        <v>-994.47</v>
      </c>
      <c r="U85" s="2"/>
      <c r="V85" s="19"/>
      <c r="W85" s="2"/>
      <c r="X85" s="2">
        <f t="shared" si="2"/>
        <v>-60.089999999999918</v>
      </c>
      <c r="Y85" s="2"/>
      <c r="Z85" s="19">
        <f t="shared" si="3"/>
        <v>6.0424145524751796E-2</v>
      </c>
    </row>
    <row r="86" spans="1:26" s="24" customFormat="1" hidden="1" outlineLevel="1" x14ac:dyDescent="0.25">
      <c r="A86" s="44"/>
      <c r="B86" s="11" t="str">
        <f>CONCATENATE("          ", "4243", " - ", "SALES RETURN TAXABLE-CARDS")</f>
        <v xml:space="preserve">          4243 - SALES RETURN TAXABLE-CARDS</v>
      </c>
      <c r="C86" s="11"/>
      <c r="D86" s="2">
        <f>-59.94</f>
        <v>-59.94</v>
      </c>
      <c r="E86" s="2"/>
      <c r="F86" s="19"/>
      <c r="G86" s="2"/>
      <c r="H86" s="2">
        <f>-4.5</f>
        <v>-4.5</v>
      </c>
      <c r="I86" s="2"/>
      <c r="J86" s="19"/>
      <c r="K86" s="2"/>
      <c r="L86" s="2">
        <f t="shared" si="0"/>
        <v>-55.44</v>
      </c>
      <c r="M86" s="2"/>
      <c r="N86" s="19">
        <f t="shared" si="1"/>
        <v>12.32</v>
      </c>
      <c r="O86" s="11"/>
      <c r="P86" s="2">
        <f>-153.37</f>
        <v>-153.37</v>
      </c>
      <c r="Q86" s="2"/>
      <c r="R86" s="19"/>
      <c r="S86" s="2"/>
      <c r="T86" s="2">
        <f>-4.5</f>
        <v>-4.5</v>
      </c>
      <c r="U86" s="2"/>
      <c r="V86" s="19"/>
      <c r="W86" s="2"/>
      <c r="X86" s="2">
        <f t="shared" si="2"/>
        <v>-148.87</v>
      </c>
      <c r="Y86" s="2"/>
      <c r="Z86" s="19">
        <f t="shared" si="3"/>
        <v>33.082222222222221</v>
      </c>
    </row>
    <row r="87" spans="1:26" s="24" customFormat="1" hidden="1" outlineLevel="1" x14ac:dyDescent="0.25">
      <c r="A87" s="44"/>
      <c r="B87" s="11" t="str">
        <f>CONCATENATE("          ", "4244", " - ", "SALES RETURN TAXABLE-ACCESSORI")</f>
        <v xml:space="preserve">          4244 - SALES RETURN TAXABLE-ACCESSORI</v>
      </c>
      <c r="C87" s="11"/>
      <c r="D87" s="2">
        <f>-60</f>
        <v>-60</v>
      </c>
      <c r="E87" s="2"/>
      <c r="F87" s="19"/>
      <c r="G87" s="2"/>
      <c r="H87" s="2">
        <f>-704.04</f>
        <v>-704.04</v>
      </c>
      <c r="I87" s="2"/>
      <c r="J87" s="19"/>
      <c r="K87" s="2"/>
      <c r="L87" s="2">
        <f t="shared" si="0"/>
        <v>644.04</v>
      </c>
      <c r="M87" s="2"/>
      <c r="N87" s="19">
        <f t="shared" si="1"/>
        <v>-0.91477756945628086</v>
      </c>
      <c r="O87" s="11"/>
      <c r="P87" s="2">
        <f>-410.99</f>
        <v>-410.99</v>
      </c>
      <c r="Q87" s="2"/>
      <c r="R87" s="19"/>
      <c r="S87" s="2"/>
      <c r="T87" s="2">
        <f>-1254.51</f>
        <v>-1254.51</v>
      </c>
      <c r="U87" s="2"/>
      <c r="V87" s="19"/>
      <c r="W87" s="2"/>
      <c r="X87" s="2">
        <f t="shared" si="2"/>
        <v>843.52</v>
      </c>
      <c r="Y87" s="2"/>
      <c r="Z87" s="19">
        <f t="shared" si="3"/>
        <v>-0.67239001681931587</v>
      </c>
    </row>
    <row r="88" spans="1:26" s="24" customFormat="1" hidden="1" outlineLevel="1" x14ac:dyDescent="0.25">
      <c r="A88" s="44"/>
      <c r="B88" s="11" t="str">
        <f>CONCATENATE("          ", "4245", " - ", "SALES RETURN TAXABLE-SPECIAL O")</f>
        <v xml:space="preserve">          4245 - SALES RETURN TAXABLE-SPECIAL O</v>
      </c>
      <c r="C88" s="11"/>
      <c r="D88" s="2">
        <f>-3.99</f>
        <v>-3.99</v>
      </c>
      <c r="E88" s="2"/>
      <c r="F88" s="19"/>
      <c r="G88" s="2"/>
      <c r="H88" s="2">
        <f>-71.98</f>
        <v>-71.98</v>
      </c>
      <c r="I88" s="2"/>
      <c r="J88" s="19"/>
      <c r="K88" s="2"/>
      <c r="L88" s="2">
        <f t="shared" si="0"/>
        <v>67.990000000000009</v>
      </c>
      <c r="M88" s="2"/>
      <c r="N88" s="19">
        <f t="shared" si="1"/>
        <v>-0.94456793553764939</v>
      </c>
      <c r="O88" s="11"/>
      <c r="P88" s="2">
        <f>-1182.95</f>
        <v>-1182.95</v>
      </c>
      <c r="Q88" s="2"/>
      <c r="R88" s="19"/>
      <c r="S88" s="2"/>
      <c r="T88" s="2">
        <f>-91.96</f>
        <v>-91.96</v>
      </c>
      <c r="U88" s="2"/>
      <c r="V88" s="19"/>
      <c r="W88" s="2"/>
      <c r="X88" s="2">
        <f t="shared" si="2"/>
        <v>-1090.99</v>
      </c>
      <c r="Y88" s="2"/>
      <c r="Z88" s="19">
        <f t="shared" si="3"/>
        <v>11.863745106568073</v>
      </c>
    </row>
    <row r="89" spans="1:26" s="24" customFormat="1" hidden="1" outlineLevel="1" x14ac:dyDescent="0.25">
      <c r="A89" s="44"/>
      <c r="B89" s="11" t="str">
        <f>CONCATENATE("          ", "4281", " - ", "SALES RETURN TAXABLE-ELECTRONI")</f>
        <v xml:space="preserve">          4281 - SALES RETURN TAXABLE-ELECTRONI</v>
      </c>
      <c r="C89" s="11"/>
      <c r="D89" s="2">
        <f t="shared" ref="D89:D91" si="19">0</f>
        <v>0</v>
      </c>
      <c r="E89" s="2"/>
      <c r="F89" s="19"/>
      <c r="G89" s="2"/>
      <c r="H89" s="2">
        <f>-24.99</f>
        <v>-24.99</v>
      </c>
      <c r="I89" s="2"/>
      <c r="J89" s="19"/>
      <c r="K89" s="2"/>
      <c r="L89" s="2">
        <f t="shared" si="0"/>
        <v>24.99</v>
      </c>
      <c r="M89" s="2"/>
      <c r="N89" s="19">
        <f t="shared" si="1"/>
        <v>-1</v>
      </c>
      <c r="O89" s="11"/>
      <c r="P89" s="2">
        <f t="shared" ref="P89:P91" si="20">0</f>
        <v>0</v>
      </c>
      <c r="Q89" s="2"/>
      <c r="R89" s="19"/>
      <c r="S89" s="2"/>
      <c r="T89" s="2">
        <f>-24.99</f>
        <v>-24.99</v>
      </c>
      <c r="U89" s="2"/>
      <c r="V89" s="19"/>
      <c r="W89" s="2"/>
      <c r="X89" s="2">
        <f t="shared" si="2"/>
        <v>24.99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"4292", " - ", "SALES RETURN TAXABLE-GRAD MERC")</f>
        <v xml:space="preserve">          4292 - SALES RETURN TAXABLE-GRAD MERC</v>
      </c>
      <c r="C90" s="11"/>
      <c r="D90" s="2">
        <f t="shared" si="19"/>
        <v>0</v>
      </c>
      <c r="E90" s="2"/>
      <c r="F90" s="19"/>
      <c r="G90" s="2"/>
      <c r="H90" s="2">
        <f t="shared" ref="H90:H91" si="21">0</f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20"/>
        <v>0</v>
      </c>
      <c r="Q90" s="2"/>
      <c r="R90" s="19"/>
      <c r="S90" s="2"/>
      <c r="T90" s="2">
        <f>-369.15</f>
        <v>-369.15</v>
      </c>
      <c r="U90" s="2"/>
      <c r="V90" s="19"/>
      <c r="W90" s="2"/>
      <c r="X90" s="2">
        <f t="shared" si="2"/>
        <v>369.15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"4295", " - ", "SALES RETURN TAXABLE-CUSTOMER")</f>
        <v xml:space="preserve">          4295 - SALES RETURN TAXABLE-CUSTOMER</v>
      </c>
      <c r="C91" s="11"/>
      <c r="D91" s="2">
        <f t="shared" si="19"/>
        <v>0</v>
      </c>
      <c r="E91" s="2"/>
      <c r="F91" s="19"/>
      <c r="G91" s="2"/>
      <c r="H91" s="2">
        <f t="shared" si="21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 t="shared" si="20"/>
        <v>0</v>
      </c>
      <c r="Q91" s="2"/>
      <c r="R91" s="19"/>
      <c r="S91" s="2"/>
      <c r="T91" s="2">
        <f>--0.99</f>
        <v>0.99</v>
      </c>
      <c r="U91" s="2"/>
      <c r="V91" s="19"/>
      <c r="W91" s="2"/>
      <c r="X91" s="2">
        <f t="shared" si="2"/>
        <v>-0.99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"4301", " - ", "SALES RETURN NON TAXABLE-NEW T")</f>
        <v xml:space="preserve">          4301 - SALES RETURN NON TAXABLE-NEW T</v>
      </c>
      <c r="C92" s="11"/>
      <c r="D92" s="2">
        <f>-1820.43</f>
        <v>-1820.43</v>
      </c>
      <c r="E92" s="2"/>
      <c r="F92" s="19"/>
      <c r="G92" s="2"/>
      <c r="H92" s="2">
        <f>-3805.44</f>
        <v>-3805.44</v>
      </c>
      <c r="I92" s="2"/>
      <c r="J92" s="19"/>
      <c r="K92" s="2"/>
      <c r="L92" s="2">
        <f t="shared" si="0"/>
        <v>1985.01</v>
      </c>
      <c r="M92" s="2"/>
      <c r="N92" s="19">
        <f t="shared" si="1"/>
        <v>-0.52162430625630674</v>
      </c>
      <c r="O92" s="11"/>
      <c r="P92" s="2">
        <f>-1840.68</f>
        <v>-1840.68</v>
      </c>
      <c r="Q92" s="2"/>
      <c r="R92" s="19"/>
      <c r="S92" s="2"/>
      <c r="T92" s="2">
        <f>-6725.22</f>
        <v>-6725.22</v>
      </c>
      <c r="U92" s="2"/>
      <c r="V92" s="19"/>
      <c r="W92" s="2"/>
      <c r="X92" s="2">
        <f t="shared" si="2"/>
        <v>4884.54</v>
      </c>
      <c r="Y92" s="2"/>
      <c r="Z92" s="19">
        <f t="shared" si="3"/>
        <v>-0.72630189049577554</v>
      </c>
    </row>
    <row r="93" spans="1:26" s="24" customFormat="1" hidden="1" outlineLevel="1" x14ac:dyDescent="0.25">
      <c r="A93" s="44"/>
      <c r="B93" s="11" t="str">
        <f>CONCATENATE("          ", "4302", " - ", "SALES RETURN NON TAXABLE-TEXT")</f>
        <v xml:space="preserve">          4302 - SALES RETURN NON TAXABLE-TEXT</v>
      </c>
      <c r="C93" s="11"/>
      <c r="D93" s="2">
        <f>-737.24</f>
        <v>-737.24</v>
      </c>
      <c r="E93" s="2"/>
      <c r="F93" s="19"/>
      <c r="G93" s="2"/>
      <c r="H93" s="2">
        <f>-398.45</f>
        <v>-398.45</v>
      </c>
      <c r="I93" s="2"/>
      <c r="J93" s="19"/>
      <c r="K93" s="2"/>
      <c r="L93" s="2">
        <f t="shared" si="0"/>
        <v>-338.79</v>
      </c>
      <c r="M93" s="2"/>
      <c r="N93" s="19">
        <f t="shared" si="1"/>
        <v>0.85026979545739745</v>
      </c>
      <c r="O93" s="11"/>
      <c r="P93" s="2">
        <f>-1147.08</f>
        <v>-1147.08</v>
      </c>
      <c r="Q93" s="2"/>
      <c r="R93" s="19"/>
      <c r="S93" s="2"/>
      <c r="T93" s="2">
        <f>-648.7</f>
        <v>-648.70000000000005</v>
      </c>
      <c r="U93" s="2"/>
      <c r="V93" s="19"/>
      <c r="W93" s="2"/>
      <c r="X93" s="2">
        <f t="shared" si="2"/>
        <v>-498.37999999999988</v>
      </c>
      <c r="Y93" s="2"/>
      <c r="Z93" s="19">
        <f t="shared" si="3"/>
        <v>0.76827501156158451</v>
      </c>
    </row>
    <row r="94" spans="1:26" s="24" customFormat="1" hidden="1" outlineLevel="1" x14ac:dyDescent="0.25">
      <c r="A94" s="44"/>
      <c r="B94" s="11" t="str">
        <f>CONCATENATE("          ", "4303", " - ", "SALES RETURN NON-TAXABLE-RENTA")</f>
        <v xml:space="preserve">          4303 - SALES RETURN NON-TAXABLE-RENTA</v>
      </c>
      <c r="C94" s="11"/>
      <c r="D94" s="2">
        <f>0</f>
        <v>0</v>
      </c>
      <c r="E94" s="2"/>
      <c r="F94" s="19"/>
      <c r="G94" s="2"/>
      <c r="H94" s="2">
        <f>-184.99</f>
        <v>-184.99</v>
      </c>
      <c r="I94" s="2"/>
      <c r="J94" s="19"/>
      <c r="K94" s="2"/>
      <c r="L94" s="2">
        <f t="shared" si="0"/>
        <v>184.99</v>
      </c>
      <c r="M94" s="2"/>
      <c r="N94" s="19">
        <f t="shared" si="1"/>
        <v>-1</v>
      </c>
      <c r="O94" s="11"/>
      <c r="P94" s="2">
        <f>0</f>
        <v>0</v>
      </c>
      <c r="Q94" s="2"/>
      <c r="R94" s="19"/>
      <c r="S94" s="2"/>
      <c r="T94" s="2">
        <f>-184.99</f>
        <v>-184.99</v>
      </c>
      <c r="U94" s="2"/>
      <c r="V94" s="19"/>
      <c r="W94" s="2"/>
      <c r="X94" s="2">
        <f t="shared" si="2"/>
        <v>184.99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"4304", " - ", "SALES RETURN NON TAXABLE-DIGIT")</f>
        <v xml:space="preserve">          4304 - SALES RETURN NON TAXABLE-DIGIT</v>
      </c>
      <c r="C95" s="11"/>
      <c r="D95" s="2">
        <f>-7456.63</f>
        <v>-7456.63</v>
      </c>
      <c r="E95" s="2"/>
      <c r="F95" s="19"/>
      <c r="G95" s="2"/>
      <c r="H95" s="2">
        <f>-4048.76</f>
        <v>-4048.76</v>
      </c>
      <c r="I95" s="2"/>
      <c r="J95" s="19"/>
      <c r="K95" s="2"/>
      <c r="L95" s="2">
        <f t="shared" si="0"/>
        <v>-3407.87</v>
      </c>
      <c r="M95" s="2"/>
      <c r="N95" s="19">
        <f t="shared" si="1"/>
        <v>0.84170709056600035</v>
      </c>
      <c r="O95" s="11"/>
      <c r="P95" s="2">
        <f>-13409.36</f>
        <v>-13409.36</v>
      </c>
      <c r="Q95" s="2"/>
      <c r="R95" s="19"/>
      <c r="S95" s="2"/>
      <c r="T95" s="2">
        <f>-12515.31</f>
        <v>-12515.31</v>
      </c>
      <c r="U95" s="2"/>
      <c r="V95" s="19"/>
      <c r="W95" s="2"/>
      <c r="X95" s="2">
        <f t="shared" si="2"/>
        <v>-894.05000000000109</v>
      </c>
      <c r="Y95" s="2"/>
      <c r="Z95" s="19">
        <f t="shared" si="3"/>
        <v>7.1436504569203724E-2</v>
      </c>
    </row>
    <row r="96" spans="1:26" s="24" customFormat="1" hidden="1" outlineLevel="1" x14ac:dyDescent="0.25">
      <c r="A96" s="44"/>
      <c r="B96" s="11" t="str">
        <f>CONCATENATE("          ", "4311", " - ", "SALES RETURN NON TAXABLE-NO VA")</f>
        <v xml:space="preserve">          4311 - SALES RETURN NON TAXABLE-NO VA</v>
      </c>
      <c r="C96" s="11"/>
      <c r="D96" s="2">
        <f t="shared" ref="D96:D97" si="22">0</f>
        <v>0</v>
      </c>
      <c r="E96" s="2"/>
      <c r="F96" s="19"/>
      <c r="G96" s="2"/>
      <c r="H96" s="2">
        <f>-276.9</f>
        <v>-276.89999999999998</v>
      </c>
      <c r="I96" s="2"/>
      <c r="J96" s="19"/>
      <c r="K96" s="2"/>
      <c r="L96" s="2">
        <f t="shared" si="0"/>
        <v>276.89999999999998</v>
      </c>
      <c r="M96" s="2"/>
      <c r="N96" s="19">
        <f t="shared" si="1"/>
        <v>-1</v>
      </c>
      <c r="O96" s="11"/>
      <c r="P96" s="2">
        <f t="shared" ref="P96:P97" si="23">0</f>
        <v>0</v>
      </c>
      <c r="Q96" s="2"/>
      <c r="R96" s="19"/>
      <c r="S96" s="2"/>
      <c r="T96" s="2">
        <f>-387.94</f>
        <v>-387.94</v>
      </c>
      <c r="U96" s="2"/>
      <c r="V96" s="19"/>
      <c r="W96" s="2"/>
      <c r="X96" s="2">
        <f t="shared" si="2"/>
        <v>387.94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"4327", " - ", "SALES RETURN NON TAXABLE-SCHOO")</f>
        <v xml:space="preserve">          4327 - SALES RETURN NON TAXABLE-SCHOO</v>
      </c>
      <c r="C97" s="11"/>
      <c r="D97" s="2">
        <f t="shared" si="22"/>
        <v>0</v>
      </c>
      <c r="E97" s="2"/>
      <c r="F97" s="19"/>
      <c r="G97" s="2"/>
      <c r="H97" s="2">
        <f>-8.29</f>
        <v>-8.2899999999999991</v>
      </c>
      <c r="I97" s="2"/>
      <c r="J97" s="19"/>
      <c r="K97" s="2"/>
      <c r="L97" s="2">
        <f t="shared" si="0"/>
        <v>8.2899999999999991</v>
      </c>
      <c r="M97" s="2"/>
      <c r="N97" s="19">
        <f t="shared" si="1"/>
        <v>-1</v>
      </c>
      <c r="O97" s="11"/>
      <c r="P97" s="2">
        <f t="shared" si="23"/>
        <v>0</v>
      </c>
      <c r="Q97" s="2"/>
      <c r="R97" s="19"/>
      <c r="S97" s="2"/>
      <c r="T97" s="2">
        <f>-21.87</f>
        <v>-21.87</v>
      </c>
      <c r="U97" s="2"/>
      <c r="V97" s="19"/>
      <c r="W97" s="2"/>
      <c r="X97" s="2">
        <f t="shared" si="2"/>
        <v>21.87</v>
      </c>
      <c r="Y97" s="2"/>
      <c r="Z97" s="19">
        <f t="shared" si="3"/>
        <v>-1</v>
      </c>
    </row>
    <row r="98" spans="1:26" s="24" customFormat="1" hidden="1" outlineLevel="1" x14ac:dyDescent="0.25">
      <c r="A98" s="44"/>
      <c r="B98" s="11" t="str">
        <f>CONCATENATE("          ", "4340", " - ", "SALES RETURN NON TAXABLE-LOGO")</f>
        <v xml:space="preserve">          4340 - SALES RETURN NON TAXABLE-LOGO</v>
      </c>
      <c r="C98" s="11"/>
      <c r="D98" s="2">
        <f>-36.9</f>
        <v>-36.9</v>
      </c>
      <c r="E98" s="2"/>
      <c r="F98" s="19"/>
      <c r="G98" s="2"/>
      <c r="H98" s="2">
        <f>-24.95</f>
        <v>-24.95</v>
      </c>
      <c r="I98" s="2"/>
      <c r="J98" s="19"/>
      <c r="K98" s="2"/>
      <c r="L98" s="2">
        <f t="shared" si="0"/>
        <v>-11.95</v>
      </c>
      <c r="M98" s="2"/>
      <c r="N98" s="19">
        <f t="shared" si="1"/>
        <v>0.47895791583166331</v>
      </c>
      <c r="O98" s="11"/>
      <c r="P98" s="2">
        <f>-541.04</f>
        <v>-541.04</v>
      </c>
      <c r="Q98" s="2"/>
      <c r="R98" s="19"/>
      <c r="S98" s="2"/>
      <c r="T98" s="2">
        <f>-293.45</f>
        <v>-293.45</v>
      </c>
      <c r="U98" s="2"/>
      <c r="V98" s="19"/>
      <c r="W98" s="2"/>
      <c r="X98" s="2">
        <f t="shared" si="2"/>
        <v>-247.58999999999997</v>
      </c>
      <c r="Y98" s="2"/>
      <c r="Z98" s="19">
        <f t="shared" si="3"/>
        <v>0.84372124723121478</v>
      </c>
    </row>
    <row r="99" spans="1:26" s="24" customFormat="1" hidden="1" outlineLevel="1" x14ac:dyDescent="0.25">
      <c r="A99" s="44"/>
      <c r="B99" s="11" t="str">
        <f>CONCATENATE("          ", "4341", " - ", "SALES RETURN NON TAXABLE-LOGO")</f>
        <v xml:space="preserve">          4341 - SALES RETURN NON TAXABLE-LOGO</v>
      </c>
      <c r="C99" s="11"/>
      <c r="D99" s="2">
        <f>-129.95</f>
        <v>-129.94999999999999</v>
      </c>
      <c r="E99" s="2"/>
      <c r="F99" s="19"/>
      <c r="G99" s="2"/>
      <c r="H99" s="2">
        <f>0</f>
        <v>0</v>
      </c>
      <c r="I99" s="2"/>
      <c r="J99" s="19"/>
      <c r="K99" s="2"/>
      <c r="L99" s="2">
        <f t="shared" si="0"/>
        <v>-129.94999999999999</v>
      </c>
      <c r="M99" s="2"/>
      <c r="N99" s="19">
        <f t="shared" si="1"/>
        <v>0</v>
      </c>
      <c r="O99" s="11"/>
      <c r="P99" s="2">
        <f>-146.9</f>
        <v>-146.9</v>
      </c>
      <c r="Q99" s="2"/>
      <c r="R99" s="19"/>
      <c r="S99" s="2"/>
      <c r="T99" s="2">
        <f>-3.95</f>
        <v>-3.95</v>
      </c>
      <c r="U99" s="2"/>
      <c r="V99" s="19"/>
      <c r="W99" s="2"/>
      <c r="X99" s="2">
        <f t="shared" si="2"/>
        <v>-142.95000000000002</v>
      </c>
      <c r="Y99" s="2"/>
      <c r="Z99" s="19">
        <f t="shared" si="3"/>
        <v>36.189873417721522</v>
      </c>
    </row>
    <row r="100" spans="1:26" s="24" customFormat="1" hidden="1" outlineLevel="1" x14ac:dyDescent="0.25">
      <c r="A100" s="44"/>
      <c r="B100" s="11" t="str">
        <f>CONCATENATE("          ", "4342", " - ", "SALES RETURN NON TAXABLE-EVERY")</f>
        <v xml:space="preserve">          4342 - SALES RETURN NON TAXABLE-EVERY</v>
      </c>
      <c r="C100" s="11"/>
      <c r="D100" s="2">
        <f>-24.95</f>
        <v>-24.95</v>
      </c>
      <c r="E100" s="2"/>
      <c r="F100" s="19"/>
      <c r="G100" s="2"/>
      <c r="H100" s="2">
        <f>-10</f>
        <v>-10</v>
      </c>
      <c r="I100" s="2"/>
      <c r="J100" s="19"/>
      <c r="K100" s="2"/>
      <c r="L100" s="2">
        <f t="shared" si="0"/>
        <v>-14.95</v>
      </c>
      <c r="M100" s="2"/>
      <c r="N100" s="19">
        <f t="shared" si="1"/>
        <v>1.4949999999999999</v>
      </c>
      <c r="O100" s="11"/>
      <c r="P100" s="2">
        <f>-118.7</f>
        <v>-118.7</v>
      </c>
      <c r="Q100" s="2"/>
      <c r="R100" s="19"/>
      <c r="S100" s="2"/>
      <c r="T100" s="2">
        <f>-10</f>
        <v>-10</v>
      </c>
      <c r="U100" s="2"/>
      <c r="V100" s="19"/>
      <c r="W100" s="2"/>
      <c r="X100" s="2">
        <f t="shared" si="2"/>
        <v>-108.7</v>
      </c>
      <c r="Y100" s="2"/>
      <c r="Z100" s="19">
        <f t="shared" si="3"/>
        <v>10.870000000000001</v>
      </c>
    </row>
    <row r="101" spans="1:26" s="24" customFormat="1" hidden="1" outlineLevel="1" x14ac:dyDescent="0.25">
      <c r="A101" s="44"/>
      <c r="B101" s="11" t="str">
        <f>CONCATENATE("          ", "4346", " - ", "SALES RETURN NON TAXABLE-COIN-")</f>
        <v xml:space="preserve">          4346 - SALES RETURN NON TAXABLE-COIN-</v>
      </c>
      <c r="C101" s="11"/>
      <c r="D101" s="2">
        <f>0</f>
        <v>0</v>
      </c>
      <c r="E101" s="2"/>
      <c r="F101" s="19"/>
      <c r="G101" s="2"/>
      <c r="H101" s="2">
        <f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0</f>
        <v>0</v>
      </c>
      <c r="Q101" s="2"/>
      <c r="R101" s="19"/>
      <c r="S101" s="2"/>
      <c r="T101" s="2">
        <f>-8.15</f>
        <v>-8.15</v>
      </c>
      <c r="U101" s="2"/>
      <c r="V101" s="19"/>
      <c r="W101" s="2"/>
      <c r="X101" s="2">
        <f t="shared" si="2"/>
        <v>8.15</v>
      </c>
      <c r="Y101" s="2"/>
      <c r="Z101" s="19">
        <f t="shared" si="3"/>
        <v>-1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collapsed="1" x14ac:dyDescent="0.25">
      <c r="A103" s="10"/>
      <c r="B103" s="26" t="s">
        <v>8</v>
      </c>
      <c r="C103" s="10"/>
      <c r="D103" s="4">
        <f>SUM(OSRRefD16x_0)</f>
        <v>231141.09999999989</v>
      </c>
      <c r="E103" s="4"/>
      <c r="F103" s="12">
        <f t="shared" ref="F103:F150" si="24">IF(D$12=0,0,D103/D$12)</f>
        <v>0.626152816372607</v>
      </c>
      <c r="G103" s="4"/>
      <c r="H103" s="4">
        <f>SUM(OSRRefH16x_0)</f>
        <v>637902.36000000034</v>
      </c>
      <c r="I103" s="4"/>
      <c r="J103" s="12">
        <f t="shared" ref="J103:J150" si="25">IF(H$12=0,0,H103/H$12)</f>
        <v>0.58681470594344642</v>
      </c>
      <c r="K103" s="4"/>
      <c r="L103" s="4">
        <f t="shared" ref="L103:L150" si="26">+D103-H103</f>
        <v>-406761.26000000047</v>
      </c>
      <c r="M103" s="4"/>
      <c r="N103" s="12">
        <f t="shared" ref="N103:N150" si="27">IF(H103=0,0,L103/H103)</f>
        <v>-0.63765442096812475</v>
      </c>
      <c r="O103" s="10"/>
      <c r="P103" s="4">
        <f>SUM(OSRRefP16x_0)</f>
        <v>1453959.43</v>
      </c>
      <c r="Q103" s="4"/>
      <c r="R103" s="12">
        <f t="shared" ref="R103:R150" si="28">IF(P$12=0,0,P103/P$12)</f>
        <v>0.66272784303967969</v>
      </c>
      <c r="S103" s="4"/>
      <c r="T103" s="4">
        <f>SUM(OSRRefT16x_0)</f>
        <v>2602102.6199999992</v>
      </c>
      <c r="U103" s="4"/>
      <c r="V103" s="12">
        <f t="shared" ref="V103:V150" si="29">IF(T$12=0,0,T103/T$12)</f>
        <v>0.62822320811605925</v>
      </c>
      <c r="W103" s="4"/>
      <c r="X103" s="4">
        <f t="shared" ref="X103:X150" si="30">+P103-T103</f>
        <v>-1148143.1899999992</v>
      </c>
      <c r="Y103" s="4"/>
      <c r="Z103" s="12">
        <f t="shared" ref="Z103:Z150" si="31">IF(T103=0,0,X103/T103)</f>
        <v>-0.44123670649084534</v>
      </c>
    </row>
    <row r="104" spans="1:26" s="24" customFormat="1" hidden="1" outlineLevel="1" x14ac:dyDescent="0.25">
      <c r="A104" s="44"/>
      <c r="B104" s="11" t="str">
        <f>CONCATENATE("          ", "5001", " - ", "PURCHASES @ COST-NEW TEXT")</f>
        <v xml:space="preserve">          5001 - PURCHASES @ COST-NEW TEXT</v>
      </c>
      <c r="C104" s="11"/>
      <c r="D104" s="2">
        <v>602088.99</v>
      </c>
      <c r="E104" s="2"/>
      <c r="F104" s="19">
        <f t="shared" si="24"/>
        <v>1.6310371318447416</v>
      </c>
      <c r="G104" s="2"/>
      <c r="H104" s="2">
        <v>104892.25</v>
      </c>
      <c r="I104" s="2"/>
      <c r="J104" s="19">
        <f t="shared" si="25"/>
        <v>9.6491749677013947E-2</v>
      </c>
      <c r="K104" s="2"/>
      <c r="L104" s="2">
        <f t="shared" si="26"/>
        <v>497196.74</v>
      </c>
      <c r="M104" s="2"/>
      <c r="N104" s="19">
        <f t="shared" si="27"/>
        <v>4.7400712636062243</v>
      </c>
      <c r="O104" s="11"/>
      <c r="P104" s="2">
        <v>1293421.76</v>
      </c>
      <c r="Q104" s="2"/>
      <c r="R104" s="19">
        <f t="shared" si="28"/>
        <v>0.58955332278108086</v>
      </c>
      <c r="S104" s="2"/>
      <c r="T104" s="2">
        <v>1932650.95</v>
      </c>
      <c r="U104" s="2"/>
      <c r="V104" s="19">
        <f t="shared" si="29"/>
        <v>0.46659811594115758</v>
      </c>
      <c r="W104" s="2"/>
      <c r="X104" s="2">
        <f t="shared" si="30"/>
        <v>-639229.18999999994</v>
      </c>
      <c r="Y104" s="2"/>
      <c r="Z104" s="19">
        <f t="shared" si="31"/>
        <v>-0.33075252931730892</v>
      </c>
    </row>
    <row r="105" spans="1:26" s="24" customFormat="1" hidden="1" outlineLevel="1" x14ac:dyDescent="0.25">
      <c r="A105" s="44"/>
      <c r="B105" s="11" t="str">
        <f>CONCATENATE("          ", "5002", " - ", "PURCHASES @ COST-USED TEXT")</f>
        <v xml:space="preserve">          5002 - PURCHASES @ COST-USED TEXT</v>
      </c>
      <c r="C105" s="11"/>
      <c r="D105" s="2">
        <v>108363.86</v>
      </c>
      <c r="E105" s="2"/>
      <c r="F105" s="19">
        <f t="shared" si="24"/>
        <v>0.29355374761133751</v>
      </c>
      <c r="G105" s="2"/>
      <c r="H105" s="2">
        <v>18830.57</v>
      </c>
      <c r="I105" s="2"/>
      <c r="J105" s="19">
        <f t="shared" si="25"/>
        <v>1.7322487092378023E-2</v>
      </c>
      <c r="K105" s="2"/>
      <c r="L105" s="2">
        <f t="shared" si="26"/>
        <v>89533.290000000008</v>
      </c>
      <c r="M105" s="2"/>
      <c r="N105" s="19">
        <f t="shared" si="27"/>
        <v>4.7546776332314957</v>
      </c>
      <c r="O105" s="11"/>
      <c r="P105" s="2">
        <v>296731.38</v>
      </c>
      <c r="Q105" s="2"/>
      <c r="R105" s="19">
        <f t="shared" si="28"/>
        <v>0.13525284362961046</v>
      </c>
      <c r="S105" s="2"/>
      <c r="T105" s="2">
        <v>353811.24</v>
      </c>
      <c r="U105" s="2"/>
      <c r="V105" s="19">
        <f t="shared" si="29"/>
        <v>8.5420317612347293E-2</v>
      </c>
      <c r="W105" s="2"/>
      <c r="X105" s="2">
        <f t="shared" si="30"/>
        <v>-57079.859999999986</v>
      </c>
      <c r="Y105" s="2"/>
      <c r="Z105" s="19">
        <f t="shared" si="31"/>
        <v>-0.16132856604555579</v>
      </c>
    </row>
    <row r="106" spans="1:26" s="24" customFormat="1" hidden="1" outlineLevel="1" x14ac:dyDescent="0.25">
      <c r="A106" s="44"/>
      <c r="B106" s="11" t="str">
        <f>CONCATENATE("          ", "5003", " - ", "PURCHASES @ COST-RENTAL TEXT")</f>
        <v xml:space="preserve">          5003 - PURCHASES @ COST-RENTAL TEXT</v>
      </c>
      <c r="C106" s="11"/>
      <c r="D106" s="2">
        <v>781.74</v>
      </c>
      <c r="E106" s="2"/>
      <c r="F106" s="19">
        <f t="shared" si="24"/>
        <v>2.1177051708723463E-3</v>
      </c>
      <c r="G106" s="2"/>
      <c r="H106" s="2"/>
      <c r="I106" s="2"/>
      <c r="J106" s="19">
        <f t="shared" si="25"/>
        <v>0</v>
      </c>
      <c r="K106" s="2"/>
      <c r="L106" s="2">
        <f t="shared" si="26"/>
        <v>781.74</v>
      </c>
      <c r="M106" s="2"/>
      <c r="N106" s="19">
        <f t="shared" si="27"/>
        <v>0</v>
      </c>
      <c r="O106" s="11"/>
      <c r="P106" s="2">
        <v>-11086.1</v>
      </c>
      <c r="Q106" s="2"/>
      <c r="R106" s="19">
        <f t="shared" si="28"/>
        <v>-5.053144530120895E-3</v>
      </c>
      <c r="S106" s="2"/>
      <c r="T106" s="2">
        <v>-78.400000000000006</v>
      </c>
      <c r="U106" s="2"/>
      <c r="V106" s="19">
        <f t="shared" si="29"/>
        <v>-1.8928038862779001E-5</v>
      </c>
      <c r="W106" s="2"/>
      <c r="X106" s="2">
        <f t="shared" si="30"/>
        <v>-11007.7</v>
      </c>
      <c r="Y106" s="2"/>
      <c r="Z106" s="19">
        <f t="shared" si="31"/>
        <v>140.40433673469389</v>
      </c>
    </row>
    <row r="107" spans="1:26" s="24" customFormat="1" hidden="1" outlineLevel="1" x14ac:dyDescent="0.25">
      <c r="A107" s="44"/>
      <c r="B107" s="11" t="str">
        <f>CONCATENATE("          ", "5004", " - ", "PURCHASES @ COST-DIGITAL TEXT")</f>
        <v xml:space="preserve">          5004 - PURCHASES @ COST-DIGITAL TEXT</v>
      </c>
      <c r="C107" s="11"/>
      <c r="D107" s="2">
        <v>60186.1</v>
      </c>
      <c r="E107" s="2"/>
      <c r="F107" s="19">
        <f t="shared" si="24"/>
        <v>0.16304195152434328</v>
      </c>
      <c r="G107" s="2"/>
      <c r="H107" s="2">
        <v>50761.9</v>
      </c>
      <c r="I107" s="2"/>
      <c r="J107" s="19">
        <f t="shared" si="25"/>
        <v>4.6696534280937008E-2</v>
      </c>
      <c r="K107" s="2"/>
      <c r="L107" s="2">
        <f t="shared" si="26"/>
        <v>9424.1999999999971</v>
      </c>
      <c r="M107" s="2"/>
      <c r="N107" s="19">
        <f t="shared" si="27"/>
        <v>0.18565498927345109</v>
      </c>
      <c r="O107" s="11"/>
      <c r="P107" s="2">
        <v>182616.07</v>
      </c>
      <c r="Q107" s="2"/>
      <c r="R107" s="19">
        <f t="shared" si="28"/>
        <v>8.3238054431465924E-2</v>
      </c>
      <c r="S107" s="2"/>
      <c r="T107" s="2">
        <v>353728.39</v>
      </c>
      <c r="U107" s="2"/>
      <c r="V107" s="19">
        <f t="shared" si="29"/>
        <v>8.5400315214135811E-2</v>
      </c>
      <c r="W107" s="2"/>
      <c r="X107" s="2">
        <f t="shared" si="30"/>
        <v>-171112.32000000001</v>
      </c>
      <c r="Y107" s="2"/>
      <c r="Z107" s="19">
        <f t="shared" si="31"/>
        <v>-0.48373928934570393</v>
      </c>
    </row>
    <row r="108" spans="1:26" s="24" customFormat="1" hidden="1" outlineLevel="1" x14ac:dyDescent="0.25">
      <c r="A108" s="44"/>
      <c r="B108" s="11" t="str">
        <f>CONCATENATE("          ", "5011", " - ", "PURCHASES @ COST-NO VALUE TEXT")</f>
        <v xml:space="preserve">          5011 - PURCHASES @ COST-NO VALUE TEXT</v>
      </c>
      <c r="C108" s="11"/>
      <c r="D108" s="2"/>
      <c r="E108" s="2"/>
      <c r="F108" s="19">
        <f t="shared" si="24"/>
        <v>0</v>
      </c>
      <c r="G108" s="2"/>
      <c r="H108" s="2">
        <v>2928</v>
      </c>
      <c r="I108" s="2"/>
      <c r="J108" s="19">
        <f t="shared" si="25"/>
        <v>2.6935054120232602E-3</v>
      </c>
      <c r="K108" s="2"/>
      <c r="L108" s="2">
        <f t="shared" si="26"/>
        <v>-2928</v>
      </c>
      <c r="M108" s="2"/>
      <c r="N108" s="19">
        <f t="shared" si="27"/>
        <v>-1</v>
      </c>
      <c r="O108" s="11"/>
      <c r="P108" s="2"/>
      <c r="Q108" s="2"/>
      <c r="R108" s="19">
        <f t="shared" si="28"/>
        <v>0</v>
      </c>
      <c r="S108" s="2"/>
      <c r="T108" s="2">
        <v>3585</v>
      </c>
      <c r="U108" s="2"/>
      <c r="V108" s="19">
        <f t="shared" si="29"/>
        <v>8.655232056513102E-4</v>
      </c>
      <c r="W108" s="2"/>
      <c r="X108" s="2">
        <f t="shared" si="30"/>
        <v>-3585</v>
      </c>
      <c r="Y108" s="2"/>
      <c r="Z108" s="19">
        <f t="shared" si="31"/>
        <v>-1</v>
      </c>
    </row>
    <row r="109" spans="1:26" s="24" customFormat="1" hidden="1" outlineLevel="1" x14ac:dyDescent="0.25">
      <c r="A109" s="44"/>
      <c r="B109" s="11" t="str">
        <f>CONCATENATE("          ", "5013", " - ", "PURCHASES @ COST-TRADE BOOKS")</f>
        <v xml:space="preserve">          5013 - PURCHASES @ COST-TRADE BOOKS</v>
      </c>
      <c r="C109" s="11"/>
      <c r="D109" s="2">
        <v>-9.36</v>
      </c>
      <c r="E109" s="2"/>
      <c r="F109" s="19">
        <f t="shared" si="24"/>
        <v>-2.5355898891402715E-5</v>
      </c>
      <c r="G109" s="2"/>
      <c r="H109" s="2">
        <v>269.89</v>
      </c>
      <c r="I109" s="2"/>
      <c r="J109" s="19">
        <f t="shared" si="25"/>
        <v>2.4827533321412492E-4</v>
      </c>
      <c r="K109" s="2"/>
      <c r="L109" s="2">
        <f t="shared" si="26"/>
        <v>-279.25</v>
      </c>
      <c r="M109" s="2"/>
      <c r="N109" s="19">
        <f t="shared" si="27"/>
        <v>-1.034680795879803</v>
      </c>
      <c r="O109" s="11"/>
      <c r="P109" s="2">
        <v>99.18</v>
      </c>
      <c r="Q109" s="2"/>
      <c r="R109" s="19">
        <f t="shared" si="28"/>
        <v>4.5207139976853028E-5</v>
      </c>
      <c r="S109" s="2"/>
      <c r="T109" s="2">
        <v>474.79</v>
      </c>
      <c r="U109" s="2"/>
      <c r="V109" s="19">
        <f t="shared" si="29"/>
        <v>1.1462810678136278E-4</v>
      </c>
      <c r="W109" s="2"/>
      <c r="X109" s="2">
        <f t="shared" si="30"/>
        <v>-375.61</v>
      </c>
      <c r="Y109" s="2"/>
      <c r="Z109" s="19">
        <f t="shared" si="31"/>
        <v>-0.79110764759156682</v>
      </c>
    </row>
    <row r="110" spans="1:26" s="24" customFormat="1" hidden="1" outlineLevel="1" x14ac:dyDescent="0.25">
      <c r="A110" s="44"/>
      <c r="B110" s="11" t="str">
        <f>CONCATENATE("          ", "5014", " - ", "PURCHASES @ COST-REMAINDERS")</f>
        <v xml:space="preserve">          5014 - PURCHASES @ COST-REMAINDERS</v>
      </c>
      <c r="C110" s="11"/>
      <c r="D110" s="2"/>
      <c r="E110" s="2"/>
      <c r="F110" s="19">
        <f t="shared" si="24"/>
        <v>0</v>
      </c>
      <c r="G110" s="2"/>
      <c r="H110" s="2">
        <v>55.65</v>
      </c>
      <c r="I110" s="2"/>
      <c r="J110" s="19">
        <f t="shared" si="25"/>
        <v>5.1193161263351925E-5</v>
      </c>
      <c r="K110" s="2"/>
      <c r="L110" s="2">
        <f t="shared" si="26"/>
        <v>-55.65</v>
      </c>
      <c r="M110" s="2"/>
      <c r="N110" s="19">
        <f t="shared" si="27"/>
        <v>-1</v>
      </c>
      <c r="O110" s="11"/>
      <c r="P110" s="2">
        <v>-12.51</v>
      </c>
      <c r="Q110" s="2"/>
      <c r="R110" s="19">
        <f t="shared" si="28"/>
        <v>-5.7021710134143109E-6</v>
      </c>
      <c r="S110" s="2"/>
      <c r="T110" s="2">
        <v>289.97000000000003</v>
      </c>
      <c r="U110" s="2"/>
      <c r="V110" s="19">
        <f t="shared" si="29"/>
        <v>7.0007186594898315E-5</v>
      </c>
      <c r="W110" s="2"/>
      <c r="X110" s="2">
        <f t="shared" si="30"/>
        <v>-302.48</v>
      </c>
      <c r="Y110" s="2"/>
      <c r="Z110" s="19">
        <f t="shared" si="31"/>
        <v>-1.0431423940407627</v>
      </c>
    </row>
    <row r="111" spans="1:26" s="24" customFormat="1" hidden="1" outlineLevel="1" x14ac:dyDescent="0.25">
      <c r="A111" s="44"/>
      <c r="B111" s="11" t="str">
        <f>CONCATENATE("          ", "5017", " - ", "PURCHASES @ COST-DORM/HOUSEWAR")</f>
        <v xml:space="preserve">          5017 - PURCHASES @ COST-DORM/HOUSEWAR</v>
      </c>
      <c r="C111" s="11"/>
      <c r="D111" s="2"/>
      <c r="E111" s="2"/>
      <c r="F111" s="19">
        <f t="shared" si="24"/>
        <v>0</v>
      </c>
      <c r="G111" s="2"/>
      <c r="H111" s="2">
        <v>-139.86000000000001</v>
      </c>
      <c r="I111" s="2"/>
      <c r="J111" s="19">
        <f t="shared" si="25"/>
        <v>-1.286590392505373E-4</v>
      </c>
      <c r="K111" s="2"/>
      <c r="L111" s="2">
        <f t="shared" si="26"/>
        <v>139.86000000000001</v>
      </c>
      <c r="M111" s="2"/>
      <c r="N111" s="19">
        <f t="shared" si="27"/>
        <v>-1</v>
      </c>
      <c r="O111" s="11"/>
      <c r="P111" s="2"/>
      <c r="Q111" s="2"/>
      <c r="R111" s="19">
        <f t="shared" si="28"/>
        <v>0</v>
      </c>
      <c r="S111" s="2"/>
      <c r="T111" s="2">
        <v>0</v>
      </c>
      <c r="U111" s="2"/>
      <c r="V111" s="19">
        <f t="shared" si="29"/>
        <v>0</v>
      </c>
      <c r="W111" s="2"/>
      <c r="X111" s="2">
        <f t="shared" si="30"/>
        <v>0</v>
      </c>
      <c r="Y111" s="2"/>
      <c r="Z111" s="19">
        <f t="shared" si="31"/>
        <v>0</v>
      </c>
    </row>
    <row r="112" spans="1:26" s="24" customFormat="1" hidden="1" outlineLevel="1" x14ac:dyDescent="0.25">
      <c r="A112" s="44"/>
      <c r="B112" s="11" t="str">
        <f>CONCATENATE("          ", "5018", " - ", "PURCHASES @ COST-STUDY GUIDES")</f>
        <v xml:space="preserve">          5018 - PURCHASES @ COST-STUDY GUIDES</v>
      </c>
      <c r="C112" s="11"/>
      <c r="D112" s="2"/>
      <c r="E112" s="2"/>
      <c r="F112" s="19">
        <f t="shared" si="24"/>
        <v>0</v>
      </c>
      <c r="G112" s="2"/>
      <c r="H112" s="2"/>
      <c r="I112" s="2"/>
      <c r="J112" s="19">
        <f t="shared" si="25"/>
        <v>0</v>
      </c>
      <c r="K112" s="2"/>
      <c r="L112" s="2">
        <f t="shared" si="26"/>
        <v>0</v>
      </c>
      <c r="M112" s="2"/>
      <c r="N112" s="19">
        <f t="shared" si="27"/>
        <v>0</v>
      </c>
      <c r="O112" s="11"/>
      <c r="P112" s="2"/>
      <c r="Q112" s="2"/>
      <c r="R112" s="19">
        <f t="shared" si="28"/>
        <v>0</v>
      </c>
      <c r="S112" s="2"/>
      <c r="T112" s="2">
        <v>503.93</v>
      </c>
      <c r="U112" s="2"/>
      <c r="V112" s="19">
        <f t="shared" si="29"/>
        <v>1.216633497974518E-4</v>
      </c>
      <c r="W112" s="2"/>
      <c r="X112" s="2">
        <f t="shared" si="30"/>
        <v>-503.93</v>
      </c>
      <c r="Y112" s="2"/>
      <c r="Z112" s="19">
        <f t="shared" si="31"/>
        <v>-1</v>
      </c>
    </row>
    <row r="113" spans="1:26" s="24" customFormat="1" hidden="1" outlineLevel="1" x14ac:dyDescent="0.25">
      <c r="A113" s="44"/>
      <c r="B113" s="11" t="str">
        <f>CONCATENATE("          ", "5025", " - ", "PURCHASES @ COST-TEST FORMS")</f>
        <v xml:space="preserve">          5025 - PURCHASES @ COST-TEST FORMS</v>
      </c>
      <c r="C113" s="11"/>
      <c r="D113" s="2"/>
      <c r="E113" s="2"/>
      <c r="F113" s="19">
        <f t="shared" si="24"/>
        <v>0</v>
      </c>
      <c r="G113" s="2"/>
      <c r="H113" s="2">
        <v>1495.25</v>
      </c>
      <c r="I113" s="2"/>
      <c r="J113" s="19">
        <f t="shared" si="25"/>
        <v>1.375499988841455E-3</v>
      </c>
      <c r="K113" s="2"/>
      <c r="L113" s="2">
        <f t="shared" si="26"/>
        <v>-1495.25</v>
      </c>
      <c r="M113" s="2"/>
      <c r="N113" s="19">
        <f t="shared" si="27"/>
        <v>-1</v>
      </c>
      <c r="O113" s="11"/>
      <c r="P113" s="2"/>
      <c r="Q113" s="2"/>
      <c r="R113" s="19">
        <f t="shared" si="28"/>
        <v>0</v>
      </c>
      <c r="S113" s="2"/>
      <c r="T113" s="2">
        <v>3252.39</v>
      </c>
      <c r="U113" s="2"/>
      <c r="V113" s="19">
        <f t="shared" si="29"/>
        <v>7.8522148363410445E-4</v>
      </c>
      <c r="W113" s="2"/>
      <c r="X113" s="2">
        <f t="shared" si="30"/>
        <v>-3252.39</v>
      </c>
      <c r="Y113" s="2"/>
      <c r="Z113" s="19">
        <f t="shared" si="31"/>
        <v>-1</v>
      </c>
    </row>
    <row r="114" spans="1:26" s="24" customFormat="1" hidden="1" outlineLevel="1" x14ac:dyDescent="0.25">
      <c r="A114" s="44"/>
      <c r="B114" s="11" t="str">
        <f>CONCATENATE("          ", "5026", " - ", "PURCHASES @ COST-WRITING INSTR")</f>
        <v xml:space="preserve">          5026 - PURCHASES @ COST-WRITING INSTR</v>
      </c>
      <c r="C114" s="11"/>
      <c r="D114" s="2"/>
      <c r="E114" s="2"/>
      <c r="F114" s="19">
        <f t="shared" si="24"/>
        <v>0</v>
      </c>
      <c r="G114" s="2"/>
      <c r="H114" s="2">
        <v>2250.85</v>
      </c>
      <c r="I114" s="2"/>
      <c r="J114" s="19">
        <f t="shared" si="25"/>
        <v>2.0705862898403537E-3</v>
      </c>
      <c r="K114" s="2"/>
      <c r="L114" s="2">
        <f t="shared" si="26"/>
        <v>-2250.85</v>
      </c>
      <c r="M114" s="2"/>
      <c r="N114" s="19">
        <f t="shared" si="27"/>
        <v>-1</v>
      </c>
      <c r="O114" s="11"/>
      <c r="P114" s="2"/>
      <c r="Q114" s="2"/>
      <c r="R114" s="19">
        <f t="shared" si="28"/>
        <v>0</v>
      </c>
      <c r="S114" s="2"/>
      <c r="T114" s="2">
        <v>14787.38</v>
      </c>
      <c r="U114" s="2"/>
      <c r="V114" s="19">
        <f t="shared" si="29"/>
        <v>3.5701033586566446E-3</v>
      </c>
      <c r="W114" s="2"/>
      <c r="X114" s="2">
        <f t="shared" si="30"/>
        <v>-14787.38</v>
      </c>
      <c r="Y114" s="2"/>
      <c r="Z114" s="19">
        <f t="shared" si="31"/>
        <v>-1</v>
      </c>
    </row>
    <row r="115" spans="1:26" s="24" customFormat="1" hidden="1" outlineLevel="1" x14ac:dyDescent="0.25">
      <c r="A115" s="44"/>
      <c r="B115" s="11" t="str">
        <f>CONCATENATE("          ", "5027", " - ", "PURCHASES @ COST-SCHOOL SUPPLI")</f>
        <v xml:space="preserve">          5027 - PURCHASES @ COST-SCHOOL SUPPLI</v>
      </c>
      <c r="C115" s="11"/>
      <c r="D115" s="2"/>
      <c r="E115" s="2"/>
      <c r="F115" s="19">
        <f t="shared" si="24"/>
        <v>0</v>
      </c>
      <c r="G115" s="2"/>
      <c r="H115" s="2">
        <v>12655.95</v>
      </c>
      <c r="I115" s="2"/>
      <c r="J115" s="19">
        <f t="shared" si="25"/>
        <v>1.1642373572163861E-2</v>
      </c>
      <c r="K115" s="2"/>
      <c r="L115" s="2">
        <f t="shared" si="26"/>
        <v>-12655.95</v>
      </c>
      <c r="M115" s="2"/>
      <c r="N115" s="19">
        <f t="shared" si="27"/>
        <v>-1</v>
      </c>
      <c r="O115" s="11"/>
      <c r="P115" s="2">
        <v>8503.4</v>
      </c>
      <c r="Q115" s="2"/>
      <c r="R115" s="19">
        <f t="shared" si="28"/>
        <v>3.8759265384066544E-3</v>
      </c>
      <c r="S115" s="2"/>
      <c r="T115" s="2">
        <v>62182.680000000008</v>
      </c>
      <c r="U115" s="2"/>
      <c r="V115" s="19">
        <f t="shared" si="29"/>
        <v>1.501270642387437E-2</v>
      </c>
      <c r="W115" s="2"/>
      <c r="X115" s="2">
        <f t="shared" si="30"/>
        <v>-53679.280000000006</v>
      </c>
      <c r="Y115" s="2"/>
      <c r="Z115" s="19">
        <f t="shared" si="31"/>
        <v>-0.86325131049353288</v>
      </c>
    </row>
    <row r="116" spans="1:26" s="24" customFormat="1" hidden="1" outlineLevel="1" x14ac:dyDescent="0.25">
      <c r="A116" s="44"/>
      <c r="B116" s="11" t="str">
        <f>CONCATENATE("          ", "5028", " - ", "PURCHASES @ COST-ART/TECH")</f>
        <v xml:space="preserve">          5028 - PURCHASES @ COST-ART/TECH</v>
      </c>
      <c r="C116" s="11"/>
      <c r="D116" s="2">
        <v>-83.4</v>
      </c>
      <c r="E116" s="2"/>
      <c r="F116" s="19">
        <f t="shared" si="24"/>
        <v>-2.2592756063493448E-4</v>
      </c>
      <c r="G116" s="2"/>
      <c r="H116" s="2">
        <v>14830.009999999998</v>
      </c>
      <c r="I116" s="2"/>
      <c r="J116" s="19">
        <f t="shared" si="25"/>
        <v>1.3642319738852141E-2</v>
      </c>
      <c r="K116" s="2"/>
      <c r="L116" s="2">
        <f t="shared" si="26"/>
        <v>-14913.409999999998</v>
      </c>
      <c r="M116" s="2"/>
      <c r="N116" s="19">
        <f t="shared" si="27"/>
        <v>-1.0056237318788053</v>
      </c>
      <c r="O116" s="11"/>
      <c r="P116" s="2">
        <v>-83.4</v>
      </c>
      <c r="Q116" s="2"/>
      <c r="R116" s="19">
        <f t="shared" si="28"/>
        <v>-3.8014473422762072E-5</v>
      </c>
      <c r="S116" s="2"/>
      <c r="T116" s="2">
        <v>70844.78</v>
      </c>
      <c r="U116" s="2"/>
      <c r="V116" s="19">
        <f t="shared" si="29"/>
        <v>1.7103989146237609E-2</v>
      </c>
      <c r="W116" s="2"/>
      <c r="X116" s="2">
        <f t="shared" si="30"/>
        <v>-70928.179999999993</v>
      </c>
      <c r="Y116" s="2"/>
      <c r="Z116" s="19">
        <f t="shared" si="31"/>
        <v>-1.0011772215257073</v>
      </c>
    </row>
    <row r="117" spans="1:26" s="24" customFormat="1" hidden="1" outlineLevel="1" x14ac:dyDescent="0.25">
      <c r="A117" s="44"/>
      <c r="B117" s="11" t="str">
        <f>CONCATENATE("          ", "5031", " - ", "PURCHASES @ COST-FOOD")</f>
        <v xml:space="preserve">          5031 - PURCHASES @ COST-FOOD</v>
      </c>
      <c r="C117" s="11"/>
      <c r="D117" s="2">
        <v>4065.92</v>
      </c>
      <c r="E117" s="2"/>
      <c r="F117" s="19">
        <f t="shared" si="24"/>
        <v>1.1014429104757707E-2</v>
      </c>
      <c r="G117" s="2"/>
      <c r="H117" s="2">
        <v>5471.01</v>
      </c>
      <c r="I117" s="2"/>
      <c r="J117" s="19">
        <f t="shared" si="25"/>
        <v>5.0328534987135855E-3</v>
      </c>
      <c r="K117" s="2"/>
      <c r="L117" s="2">
        <f t="shared" si="26"/>
        <v>-1405.0900000000001</v>
      </c>
      <c r="M117" s="2"/>
      <c r="N117" s="19">
        <f t="shared" si="27"/>
        <v>-0.25682460825332071</v>
      </c>
      <c r="O117" s="11"/>
      <c r="P117" s="2">
        <v>4065.92</v>
      </c>
      <c r="Q117" s="2"/>
      <c r="R117" s="19">
        <f t="shared" si="28"/>
        <v>1.8532830668954049E-3</v>
      </c>
      <c r="S117" s="2"/>
      <c r="T117" s="2">
        <v>8150.05</v>
      </c>
      <c r="U117" s="2"/>
      <c r="V117" s="19">
        <f t="shared" si="29"/>
        <v>1.9676589685407144E-3</v>
      </c>
      <c r="W117" s="2"/>
      <c r="X117" s="2">
        <f t="shared" si="30"/>
        <v>-4084.13</v>
      </c>
      <c r="Y117" s="2"/>
      <c r="Z117" s="19">
        <f t="shared" si="31"/>
        <v>-0.50111717106030029</v>
      </c>
    </row>
    <row r="118" spans="1:26" s="24" customFormat="1" hidden="1" outlineLevel="1" x14ac:dyDescent="0.25">
      <c r="A118" s="44"/>
      <c r="B118" s="11" t="str">
        <f>CONCATENATE("          ", "5032", " - ", "PURCHASES @ COST-JUICE")</f>
        <v xml:space="preserve">          5032 - PURCHASES @ COST-JUICE</v>
      </c>
      <c r="C118" s="11"/>
      <c r="D118" s="2"/>
      <c r="E118" s="2"/>
      <c r="F118" s="19">
        <f t="shared" si="24"/>
        <v>0</v>
      </c>
      <c r="G118" s="2"/>
      <c r="H118" s="2">
        <v>477.55</v>
      </c>
      <c r="I118" s="2"/>
      <c r="J118" s="19">
        <f t="shared" si="25"/>
        <v>4.3930447729225E-4</v>
      </c>
      <c r="K118" s="2"/>
      <c r="L118" s="2">
        <f t="shared" si="26"/>
        <v>-477.55</v>
      </c>
      <c r="M118" s="2"/>
      <c r="N118" s="19">
        <f t="shared" si="27"/>
        <v>-1</v>
      </c>
      <c r="O118" s="11"/>
      <c r="P118" s="2"/>
      <c r="Q118" s="2"/>
      <c r="R118" s="19">
        <f t="shared" si="28"/>
        <v>0</v>
      </c>
      <c r="S118" s="2"/>
      <c r="T118" s="2">
        <v>819.15</v>
      </c>
      <c r="U118" s="2"/>
      <c r="V118" s="19">
        <f t="shared" si="29"/>
        <v>1.97766620337314E-4</v>
      </c>
      <c r="W118" s="2"/>
      <c r="X118" s="2">
        <f t="shared" si="30"/>
        <v>-819.15</v>
      </c>
      <c r="Y118" s="2"/>
      <c r="Z118" s="19">
        <f t="shared" si="31"/>
        <v>-1</v>
      </c>
    </row>
    <row r="119" spans="1:26" s="24" customFormat="1" hidden="1" outlineLevel="1" x14ac:dyDescent="0.25">
      <c r="A119" s="44"/>
      <c r="B119" s="11" t="str">
        <f>CONCATENATE("          ", "5033", " - ", "PURCHASES @ COST-CANDY")</f>
        <v xml:space="preserve">          5033 - PURCHASES @ COST-CANDY</v>
      </c>
      <c r="C119" s="11"/>
      <c r="D119" s="2"/>
      <c r="E119" s="2"/>
      <c r="F119" s="19">
        <f t="shared" si="24"/>
        <v>0</v>
      </c>
      <c r="G119" s="2"/>
      <c r="H119" s="2">
        <v>1366.65</v>
      </c>
      <c r="I119" s="2"/>
      <c r="J119" s="19">
        <f t="shared" si="25"/>
        <v>1.2571991705401602E-3</v>
      </c>
      <c r="K119" s="2"/>
      <c r="L119" s="2">
        <f t="shared" si="26"/>
        <v>-1366.65</v>
      </c>
      <c r="M119" s="2"/>
      <c r="N119" s="19">
        <f t="shared" si="27"/>
        <v>-1</v>
      </c>
      <c r="O119" s="11"/>
      <c r="P119" s="2"/>
      <c r="Q119" s="2"/>
      <c r="R119" s="19">
        <f t="shared" si="28"/>
        <v>0</v>
      </c>
      <c r="S119" s="2"/>
      <c r="T119" s="2">
        <v>2353.11</v>
      </c>
      <c r="U119" s="2"/>
      <c r="V119" s="19">
        <f t="shared" si="29"/>
        <v>5.6810915214788133E-4</v>
      </c>
      <c r="W119" s="2"/>
      <c r="X119" s="2">
        <f t="shared" si="30"/>
        <v>-2353.11</v>
      </c>
      <c r="Y119" s="2"/>
      <c r="Z119" s="19">
        <f t="shared" si="31"/>
        <v>-1</v>
      </c>
    </row>
    <row r="120" spans="1:26" s="24" customFormat="1" hidden="1" outlineLevel="1" x14ac:dyDescent="0.25">
      <c r="A120" s="44"/>
      <c r="B120" s="11" t="str">
        <f>CONCATENATE("          ", "5034", " - ", "PURCHASES @ COST-SODA")</f>
        <v xml:space="preserve">          5034 - PURCHASES @ COST-SODA</v>
      </c>
      <c r="C120" s="11"/>
      <c r="D120" s="2"/>
      <c r="E120" s="2"/>
      <c r="F120" s="19">
        <f t="shared" si="24"/>
        <v>0</v>
      </c>
      <c r="G120" s="2"/>
      <c r="H120" s="2">
        <v>330.04</v>
      </c>
      <c r="I120" s="2"/>
      <c r="J120" s="19">
        <f t="shared" si="25"/>
        <v>3.0360810320497161E-4</v>
      </c>
      <c r="K120" s="2"/>
      <c r="L120" s="2">
        <f t="shared" si="26"/>
        <v>-330.04</v>
      </c>
      <c r="M120" s="2"/>
      <c r="N120" s="19">
        <f t="shared" si="27"/>
        <v>-1</v>
      </c>
      <c r="O120" s="11"/>
      <c r="P120" s="2"/>
      <c r="Q120" s="2"/>
      <c r="R120" s="19">
        <f t="shared" si="28"/>
        <v>0</v>
      </c>
      <c r="S120" s="2"/>
      <c r="T120" s="2">
        <v>618.54</v>
      </c>
      <c r="U120" s="2"/>
      <c r="V120" s="19">
        <f t="shared" si="29"/>
        <v>1.4933353518090974E-4</v>
      </c>
      <c r="W120" s="2"/>
      <c r="X120" s="2">
        <f t="shared" si="30"/>
        <v>-618.54</v>
      </c>
      <c r="Y120" s="2"/>
      <c r="Z120" s="19">
        <f t="shared" si="31"/>
        <v>-1</v>
      </c>
    </row>
    <row r="121" spans="1:26" s="24" customFormat="1" hidden="1" outlineLevel="1" x14ac:dyDescent="0.25">
      <c r="A121" s="44"/>
      <c r="B121" s="11" t="str">
        <f>CONCATENATE("          ", "5035", " - ", "PURCHASES @ COST-HEALTH &amp; BEAU")</f>
        <v xml:space="preserve">          5035 - PURCHASES @ COST-HEALTH &amp; BEAU</v>
      </c>
      <c r="C121" s="11"/>
      <c r="D121" s="2"/>
      <c r="E121" s="2"/>
      <c r="F121" s="19">
        <f t="shared" si="24"/>
        <v>0</v>
      </c>
      <c r="G121" s="2"/>
      <c r="H121" s="2">
        <v>210.83</v>
      </c>
      <c r="I121" s="2"/>
      <c r="J121" s="19">
        <f t="shared" si="25"/>
        <v>1.9394526844838253E-4</v>
      </c>
      <c r="K121" s="2"/>
      <c r="L121" s="2">
        <f t="shared" si="26"/>
        <v>-210.83</v>
      </c>
      <c r="M121" s="2"/>
      <c r="N121" s="19">
        <f t="shared" si="27"/>
        <v>-1</v>
      </c>
      <c r="O121" s="11"/>
      <c r="P121" s="2"/>
      <c r="Q121" s="2"/>
      <c r="R121" s="19">
        <f t="shared" si="28"/>
        <v>0</v>
      </c>
      <c r="S121" s="2"/>
      <c r="T121" s="2">
        <v>287.56</v>
      </c>
      <c r="U121" s="2"/>
      <c r="V121" s="19">
        <f t="shared" si="29"/>
        <v>6.9425342543121547E-5</v>
      </c>
      <c r="W121" s="2"/>
      <c r="X121" s="2">
        <f t="shared" si="30"/>
        <v>-287.56</v>
      </c>
      <c r="Y121" s="2"/>
      <c r="Z121" s="19">
        <f t="shared" si="31"/>
        <v>-1</v>
      </c>
    </row>
    <row r="122" spans="1:26" s="24" customFormat="1" hidden="1" outlineLevel="1" x14ac:dyDescent="0.25">
      <c r="A122" s="44"/>
      <c r="B122" s="11" t="str">
        <f>CONCATENATE("          ", "5037", " - ", "PURCHASES @ COST-WATER")</f>
        <v xml:space="preserve">          5037 - PURCHASES @ COST-WATER</v>
      </c>
      <c r="C122" s="11"/>
      <c r="D122" s="2"/>
      <c r="E122" s="2"/>
      <c r="F122" s="19">
        <f t="shared" si="24"/>
        <v>0</v>
      </c>
      <c r="G122" s="2"/>
      <c r="H122" s="2">
        <v>896.64</v>
      </c>
      <c r="I122" s="2"/>
      <c r="J122" s="19">
        <f t="shared" si="25"/>
        <v>8.248308376490902E-4</v>
      </c>
      <c r="K122" s="2"/>
      <c r="L122" s="2">
        <f t="shared" si="26"/>
        <v>-896.64</v>
      </c>
      <c r="M122" s="2"/>
      <c r="N122" s="19">
        <f t="shared" si="27"/>
        <v>-1</v>
      </c>
      <c r="O122" s="11"/>
      <c r="P122" s="2"/>
      <c r="Q122" s="2"/>
      <c r="R122" s="19">
        <f t="shared" si="28"/>
        <v>0</v>
      </c>
      <c r="S122" s="2"/>
      <c r="T122" s="2">
        <v>1392.58</v>
      </c>
      <c r="U122" s="2"/>
      <c r="V122" s="19">
        <f t="shared" si="29"/>
        <v>3.3620929030011199E-4</v>
      </c>
      <c r="W122" s="2"/>
      <c r="X122" s="2">
        <f t="shared" si="30"/>
        <v>-1392.58</v>
      </c>
      <c r="Y122" s="2"/>
      <c r="Z122" s="19">
        <f t="shared" si="31"/>
        <v>-1</v>
      </c>
    </row>
    <row r="123" spans="1:26" s="24" customFormat="1" hidden="1" outlineLevel="1" x14ac:dyDescent="0.25">
      <c r="A123" s="44"/>
      <c r="B123" s="11" t="str">
        <f>CONCATENATE("          ", "5040", " - ", "PURCHASES @ COST-LOGO CLOTHING")</f>
        <v xml:space="preserve">          5040 - PURCHASES @ COST-LOGO CLOTHING</v>
      </c>
      <c r="C123" s="11"/>
      <c r="D123" s="2">
        <v>4398.1499999999996</v>
      </c>
      <c r="E123" s="2"/>
      <c r="F123" s="19">
        <f t="shared" si="24"/>
        <v>1.1914428067224663E-2</v>
      </c>
      <c r="G123" s="2"/>
      <c r="H123" s="2">
        <v>150282.89000000001</v>
      </c>
      <c r="I123" s="2"/>
      <c r="J123" s="19">
        <f t="shared" si="25"/>
        <v>0.13824719178603018</v>
      </c>
      <c r="K123" s="2"/>
      <c r="L123" s="2">
        <f t="shared" si="26"/>
        <v>-145884.74000000002</v>
      </c>
      <c r="M123" s="2"/>
      <c r="N123" s="19">
        <f t="shared" si="27"/>
        <v>-0.97073419336026878</v>
      </c>
      <c r="O123" s="11"/>
      <c r="P123" s="2">
        <v>13750.05</v>
      </c>
      <c r="Q123" s="2"/>
      <c r="R123" s="19">
        <f t="shared" si="28"/>
        <v>6.2673970058351267E-3</v>
      </c>
      <c r="S123" s="2"/>
      <c r="T123" s="2">
        <v>335851.86000000004</v>
      </c>
      <c r="U123" s="2"/>
      <c r="V123" s="19">
        <f t="shared" si="29"/>
        <v>8.1084401252762922E-2</v>
      </c>
      <c r="W123" s="2"/>
      <c r="X123" s="2">
        <f t="shared" si="30"/>
        <v>-322101.81000000006</v>
      </c>
      <c r="Y123" s="2"/>
      <c r="Z123" s="19">
        <f t="shared" si="31"/>
        <v>-0.95905918162847159</v>
      </c>
    </row>
    <row r="124" spans="1:26" s="24" customFormat="1" hidden="1" outlineLevel="1" x14ac:dyDescent="0.25">
      <c r="A124" s="44"/>
      <c r="B124" s="11" t="str">
        <f>CONCATENATE("          ", "5041", " - ", "PURCHASES @ COST-LOGO GIFTS")</f>
        <v xml:space="preserve">          5041 - PURCHASES @ COST-LOGO GIFTS</v>
      </c>
      <c r="C124" s="11"/>
      <c r="D124" s="2">
        <v>868</v>
      </c>
      <c r="E124" s="2"/>
      <c r="F124" s="19">
        <f t="shared" si="24"/>
        <v>2.3513803672796539E-3</v>
      </c>
      <c r="G124" s="2"/>
      <c r="H124" s="2">
        <v>14167.32</v>
      </c>
      <c r="I124" s="2"/>
      <c r="J124" s="19">
        <f t="shared" si="25"/>
        <v>1.3032702559380252E-2</v>
      </c>
      <c r="K124" s="2"/>
      <c r="L124" s="2">
        <f t="shared" si="26"/>
        <v>-13299.32</v>
      </c>
      <c r="M124" s="2"/>
      <c r="N124" s="19">
        <f t="shared" si="27"/>
        <v>-0.93873223728976263</v>
      </c>
      <c r="O124" s="11"/>
      <c r="P124" s="2">
        <v>1997.54</v>
      </c>
      <c r="Q124" s="2"/>
      <c r="R124" s="19">
        <f t="shared" si="28"/>
        <v>9.1049677746887466E-4</v>
      </c>
      <c r="S124" s="2"/>
      <c r="T124" s="2">
        <v>42696.480000000003</v>
      </c>
      <c r="U124" s="2"/>
      <c r="V124" s="19">
        <f t="shared" si="29"/>
        <v>1.0308171336018704E-2</v>
      </c>
      <c r="W124" s="2"/>
      <c r="X124" s="2">
        <f t="shared" si="30"/>
        <v>-40698.94</v>
      </c>
      <c r="Y124" s="2"/>
      <c r="Z124" s="19">
        <f t="shared" si="31"/>
        <v>-0.95321534702626542</v>
      </c>
    </row>
    <row r="125" spans="1:26" s="24" customFormat="1" hidden="1" outlineLevel="1" x14ac:dyDescent="0.25">
      <c r="A125" s="44"/>
      <c r="B125" s="11" t="str">
        <f>CONCATENATE("          ", "5042", " - ", "PURCHASES @ COST-EVERYDAY GIFT")</f>
        <v xml:space="preserve">          5042 - PURCHASES @ COST-EVERYDAY GIFT</v>
      </c>
      <c r="C125" s="11"/>
      <c r="D125" s="2">
        <v>522</v>
      </c>
      <c r="E125" s="2"/>
      <c r="F125" s="19">
        <f t="shared" si="24"/>
        <v>1.4140789766359208E-3</v>
      </c>
      <c r="G125" s="2"/>
      <c r="H125" s="2">
        <v>11559.46</v>
      </c>
      <c r="I125" s="2"/>
      <c r="J125" s="19">
        <f t="shared" si="25"/>
        <v>1.0633698111361474E-2</v>
      </c>
      <c r="K125" s="2"/>
      <c r="L125" s="2">
        <f t="shared" si="26"/>
        <v>-11037.46</v>
      </c>
      <c r="M125" s="2"/>
      <c r="N125" s="19">
        <f t="shared" si="27"/>
        <v>-0.95484218120915687</v>
      </c>
      <c r="O125" s="11"/>
      <c r="P125" s="2">
        <v>1491.15</v>
      </c>
      <c r="Q125" s="2"/>
      <c r="R125" s="19">
        <f t="shared" si="28"/>
        <v>6.7967964081956439E-4</v>
      </c>
      <c r="S125" s="2"/>
      <c r="T125" s="2">
        <v>35291.68</v>
      </c>
      <c r="U125" s="2"/>
      <c r="V125" s="19">
        <f t="shared" si="29"/>
        <v>8.5204373797545963E-3</v>
      </c>
      <c r="W125" s="2"/>
      <c r="X125" s="2">
        <f t="shared" si="30"/>
        <v>-33800.53</v>
      </c>
      <c r="Y125" s="2"/>
      <c r="Z125" s="19">
        <f t="shared" si="31"/>
        <v>-0.9577478317835818</v>
      </c>
    </row>
    <row r="126" spans="1:26" s="24" customFormat="1" hidden="1" outlineLevel="1" x14ac:dyDescent="0.25">
      <c r="A126" s="44"/>
      <c r="B126" s="11" t="str">
        <f>CONCATENATE("          ", "5043", " - ", "PURCHASES @ COST-CARDS")</f>
        <v xml:space="preserve">          5043 - PURCHASES @ COST-CARDS</v>
      </c>
      <c r="C126" s="11"/>
      <c r="D126" s="2">
        <v>1401</v>
      </c>
      <c r="E126" s="2"/>
      <c r="F126" s="19">
        <f t="shared" si="24"/>
        <v>3.7952579430400864E-3</v>
      </c>
      <c r="G126" s="2"/>
      <c r="H126" s="2">
        <v>495.49</v>
      </c>
      <c r="I126" s="2"/>
      <c r="J126" s="19">
        <f t="shared" si="25"/>
        <v>4.558077174191958E-4</v>
      </c>
      <c r="K126" s="2"/>
      <c r="L126" s="2">
        <f t="shared" si="26"/>
        <v>905.51</v>
      </c>
      <c r="M126" s="2"/>
      <c r="N126" s="19">
        <f t="shared" si="27"/>
        <v>1.8275040868635088</v>
      </c>
      <c r="O126" s="11"/>
      <c r="P126" s="2">
        <v>3116.25</v>
      </c>
      <c r="Q126" s="2"/>
      <c r="R126" s="19">
        <f t="shared" si="28"/>
        <v>1.4204149017228093E-3</v>
      </c>
      <c r="S126" s="2"/>
      <c r="T126" s="2">
        <v>1008.99</v>
      </c>
      <c r="U126" s="2"/>
      <c r="V126" s="19">
        <f t="shared" si="29"/>
        <v>2.4359951444075746E-4</v>
      </c>
      <c r="W126" s="2"/>
      <c r="X126" s="2">
        <f t="shared" si="30"/>
        <v>2107.2600000000002</v>
      </c>
      <c r="Y126" s="2"/>
      <c r="Z126" s="19">
        <f t="shared" si="31"/>
        <v>2.0884845241280887</v>
      </c>
    </row>
    <row r="127" spans="1:26" s="24" customFormat="1" hidden="1" outlineLevel="1" x14ac:dyDescent="0.25">
      <c r="A127" s="44"/>
      <c r="B127" s="11" t="str">
        <f>CONCATENATE("          ", "5044", " - ", "PURCHASES @ COST-ACCESSORIES")</f>
        <v xml:space="preserve">          5044 - PURCHASES @ COST-ACCESSORIES</v>
      </c>
      <c r="C127" s="11"/>
      <c r="D127" s="2"/>
      <c r="E127" s="2"/>
      <c r="F127" s="19">
        <f t="shared" si="24"/>
        <v>0</v>
      </c>
      <c r="G127" s="2"/>
      <c r="H127" s="2">
        <v>2315.5300000000002</v>
      </c>
      <c r="I127" s="2"/>
      <c r="J127" s="19">
        <f t="shared" si="25"/>
        <v>2.1300862659502122E-3</v>
      </c>
      <c r="K127" s="2"/>
      <c r="L127" s="2">
        <f t="shared" si="26"/>
        <v>-2315.5300000000002</v>
      </c>
      <c r="M127" s="2"/>
      <c r="N127" s="19">
        <f t="shared" si="27"/>
        <v>-1</v>
      </c>
      <c r="O127" s="11"/>
      <c r="P127" s="2"/>
      <c r="Q127" s="2"/>
      <c r="R127" s="19">
        <f t="shared" si="28"/>
        <v>0</v>
      </c>
      <c r="S127" s="2"/>
      <c r="T127" s="2">
        <v>20403.649999999998</v>
      </c>
      <c r="U127" s="2"/>
      <c r="V127" s="19">
        <f t="shared" si="29"/>
        <v>4.926034185491591E-3</v>
      </c>
      <c r="W127" s="2"/>
      <c r="X127" s="2">
        <f t="shared" si="30"/>
        <v>-20403.649999999998</v>
      </c>
      <c r="Y127" s="2"/>
      <c r="Z127" s="19">
        <f t="shared" si="31"/>
        <v>-1</v>
      </c>
    </row>
    <row r="128" spans="1:26" s="24" customFormat="1" hidden="1" outlineLevel="1" x14ac:dyDescent="0.25">
      <c r="A128" s="44"/>
      <c r="B128" s="11" t="str">
        <f>CONCATENATE("          ", "5045", " - ", "PURCHASES @ COST-SPECIAL ORDER")</f>
        <v xml:space="preserve">          5045 - PURCHASES @ COST-SPECIAL ORDER</v>
      </c>
      <c r="C128" s="11"/>
      <c r="D128" s="2">
        <v>52784.12</v>
      </c>
      <c r="E128" s="2"/>
      <c r="F128" s="19">
        <f t="shared" si="24"/>
        <v>0.14299025745637478</v>
      </c>
      <c r="G128" s="2"/>
      <c r="H128" s="2">
        <v>4318.3999999999996</v>
      </c>
      <c r="I128" s="2"/>
      <c r="J128" s="19">
        <f t="shared" si="25"/>
        <v>3.972552517514087E-3</v>
      </c>
      <c r="K128" s="2"/>
      <c r="L128" s="2">
        <f t="shared" si="26"/>
        <v>48465.72</v>
      </c>
      <c r="M128" s="2"/>
      <c r="N128" s="19">
        <f t="shared" si="27"/>
        <v>11.223073360503891</v>
      </c>
      <c r="O128" s="11"/>
      <c r="P128" s="2">
        <v>61174.290000000008</v>
      </c>
      <c r="Q128" s="2"/>
      <c r="R128" s="19">
        <f t="shared" si="28"/>
        <v>2.7883794021119183E-2</v>
      </c>
      <c r="S128" s="2"/>
      <c r="T128" s="2">
        <v>24464.030000000002</v>
      </c>
      <c r="U128" s="2"/>
      <c r="V128" s="19">
        <f t="shared" si="29"/>
        <v>5.9063279410738702E-3</v>
      </c>
      <c r="W128" s="2"/>
      <c r="X128" s="2">
        <f t="shared" si="30"/>
        <v>36710.260000000009</v>
      </c>
      <c r="Y128" s="2"/>
      <c r="Z128" s="19">
        <f t="shared" si="31"/>
        <v>1.5005810571684226</v>
      </c>
    </row>
    <row r="129" spans="1:26" s="24" customFormat="1" hidden="1" outlineLevel="1" x14ac:dyDescent="0.25">
      <c r="A129" s="44"/>
      <c r="B129" s="11" t="str">
        <f>CONCATENATE("          ", "5081", " - ", "PURCHASES @ COST-ELECTRONICS")</f>
        <v xml:space="preserve">          5081 - PURCHASES @ COST-ELECTRONICS</v>
      </c>
      <c r="C129" s="11"/>
      <c r="D129" s="2"/>
      <c r="E129" s="2"/>
      <c r="F129" s="19">
        <f t="shared" si="24"/>
        <v>0</v>
      </c>
      <c r="G129" s="2"/>
      <c r="H129" s="2">
        <v>167.92</v>
      </c>
      <c r="I129" s="2"/>
      <c r="J129" s="19">
        <f t="shared" si="25"/>
        <v>1.5447179944909353E-4</v>
      </c>
      <c r="K129" s="2"/>
      <c r="L129" s="2">
        <f t="shared" si="26"/>
        <v>-167.92</v>
      </c>
      <c r="M129" s="2"/>
      <c r="N129" s="19">
        <f t="shared" si="27"/>
        <v>-1</v>
      </c>
      <c r="O129" s="11"/>
      <c r="P129" s="2"/>
      <c r="Q129" s="2"/>
      <c r="R129" s="19">
        <f t="shared" si="28"/>
        <v>0</v>
      </c>
      <c r="S129" s="2"/>
      <c r="T129" s="2">
        <v>472.08</v>
      </c>
      <c r="U129" s="2"/>
      <c r="V129" s="19">
        <f t="shared" si="29"/>
        <v>1.1397383400944784E-4</v>
      </c>
      <c r="W129" s="2"/>
      <c r="X129" s="2">
        <f t="shared" si="30"/>
        <v>-472.08</v>
      </c>
      <c r="Y129" s="2"/>
      <c r="Z129" s="19">
        <f t="shared" si="31"/>
        <v>-1</v>
      </c>
    </row>
    <row r="130" spans="1:26" s="24" customFormat="1" hidden="1" outlineLevel="1" x14ac:dyDescent="0.25">
      <c r="A130" s="44"/>
      <c r="B130" s="11" t="str">
        <f>CONCATENATE("          ", "5082", " - ", "PURCHASES @ COST-COMPUTER HARD")</f>
        <v xml:space="preserve">          5082 - PURCHASES @ COST-COMPUTER HARD</v>
      </c>
      <c r="C130" s="11"/>
      <c r="D130" s="2"/>
      <c r="E130" s="2"/>
      <c r="F130" s="19">
        <f t="shared" si="24"/>
        <v>0</v>
      </c>
      <c r="G130" s="2"/>
      <c r="H130" s="2">
        <v>19</v>
      </c>
      <c r="I130" s="2"/>
      <c r="J130" s="19">
        <f t="shared" si="25"/>
        <v>1.7478347960533452E-5</v>
      </c>
      <c r="K130" s="2"/>
      <c r="L130" s="2">
        <f t="shared" si="26"/>
        <v>-19</v>
      </c>
      <c r="M130" s="2"/>
      <c r="N130" s="19">
        <f t="shared" si="27"/>
        <v>-1</v>
      </c>
      <c r="O130" s="11"/>
      <c r="P130" s="2"/>
      <c r="Q130" s="2"/>
      <c r="R130" s="19">
        <f t="shared" si="28"/>
        <v>0</v>
      </c>
      <c r="S130" s="2"/>
      <c r="T130" s="2">
        <v>149.6</v>
      </c>
      <c r="U130" s="2"/>
      <c r="V130" s="19">
        <f t="shared" si="29"/>
        <v>3.6117788442241562E-5</v>
      </c>
      <c r="W130" s="2"/>
      <c r="X130" s="2">
        <f t="shared" si="30"/>
        <v>-149.6</v>
      </c>
      <c r="Y130" s="2"/>
      <c r="Z130" s="19">
        <f t="shared" si="31"/>
        <v>-1</v>
      </c>
    </row>
    <row r="131" spans="1:26" s="24" customFormat="1" hidden="1" outlineLevel="1" x14ac:dyDescent="0.25">
      <c r="A131" s="44"/>
      <c r="B131" s="11" t="str">
        <f>CONCATENATE("          ", "5083", " - ", "PURCHASES @ COST-COMPUTER EQUI")</f>
        <v xml:space="preserve">          5083 - PURCHASES @ COST-COMPUTER EQUI</v>
      </c>
      <c r="C131" s="11"/>
      <c r="D131" s="2"/>
      <c r="E131" s="2"/>
      <c r="F131" s="19">
        <f t="shared" si="24"/>
        <v>0</v>
      </c>
      <c r="G131" s="2"/>
      <c r="H131" s="2">
        <v>74.55</v>
      </c>
      <c r="I131" s="2"/>
      <c r="J131" s="19">
        <f t="shared" si="25"/>
        <v>6.8579517918829943E-5</v>
      </c>
      <c r="K131" s="2"/>
      <c r="L131" s="2">
        <f t="shared" si="26"/>
        <v>-74.55</v>
      </c>
      <c r="M131" s="2"/>
      <c r="N131" s="19">
        <f t="shared" si="27"/>
        <v>-1</v>
      </c>
      <c r="O131" s="11"/>
      <c r="P131" s="2"/>
      <c r="Q131" s="2"/>
      <c r="R131" s="19">
        <f t="shared" si="28"/>
        <v>0</v>
      </c>
      <c r="S131" s="2"/>
      <c r="T131" s="2">
        <v>156</v>
      </c>
      <c r="U131" s="2"/>
      <c r="V131" s="19">
        <f t="shared" si="29"/>
        <v>3.7662934471856178E-5</v>
      </c>
      <c r="W131" s="2"/>
      <c r="X131" s="2">
        <f t="shared" si="30"/>
        <v>-156</v>
      </c>
      <c r="Y131" s="2"/>
      <c r="Z131" s="19">
        <f t="shared" si="31"/>
        <v>-1</v>
      </c>
    </row>
    <row r="132" spans="1:26" s="24" customFormat="1" hidden="1" outlineLevel="1" x14ac:dyDescent="0.25">
      <c r="A132" s="44"/>
      <c r="B132" s="11" t="str">
        <f>CONCATENATE("          ", "5086", " - ", "PURCHASES @ COST-COMPUTER SUPP")</f>
        <v xml:space="preserve">          5086 - PURCHASES @ COST-COMPUTER SUPP</v>
      </c>
      <c r="C132" s="11"/>
      <c r="D132" s="2"/>
      <c r="E132" s="2"/>
      <c r="F132" s="19">
        <f t="shared" si="24"/>
        <v>0</v>
      </c>
      <c r="G132" s="2"/>
      <c r="H132" s="2">
        <v>29</v>
      </c>
      <c r="I132" s="2"/>
      <c r="J132" s="19">
        <f t="shared" si="25"/>
        <v>2.6677478466077375E-5</v>
      </c>
      <c r="K132" s="2"/>
      <c r="L132" s="2">
        <f t="shared" si="26"/>
        <v>-29</v>
      </c>
      <c r="M132" s="2"/>
      <c r="N132" s="19">
        <f t="shared" si="27"/>
        <v>-1</v>
      </c>
      <c r="O132" s="11"/>
      <c r="P132" s="2"/>
      <c r="Q132" s="2"/>
      <c r="R132" s="19">
        <f t="shared" si="28"/>
        <v>0</v>
      </c>
      <c r="S132" s="2"/>
      <c r="T132" s="2">
        <v>87</v>
      </c>
      <c r="U132" s="2"/>
      <c r="V132" s="19">
        <f t="shared" si="29"/>
        <v>2.1004328840073634E-5</v>
      </c>
      <c r="W132" s="2"/>
      <c r="X132" s="2">
        <f t="shared" si="30"/>
        <v>-87</v>
      </c>
      <c r="Y132" s="2"/>
      <c r="Z132" s="19">
        <f t="shared" si="31"/>
        <v>-1</v>
      </c>
    </row>
    <row r="133" spans="1:26" s="24" customFormat="1" hidden="1" outlineLevel="1" x14ac:dyDescent="0.25">
      <c r="A133" s="44"/>
      <c r="B133" s="11" t="str">
        <f>CONCATENATE("          ", "5092", " - ", "PURCHASES @ COST-GRAD MERCH")</f>
        <v xml:space="preserve">          5092 - PURCHASES @ COST-GRAD MERCH</v>
      </c>
      <c r="C133" s="11"/>
      <c r="D133" s="2"/>
      <c r="E133" s="2"/>
      <c r="F133" s="19">
        <f t="shared" si="24"/>
        <v>0</v>
      </c>
      <c r="G133" s="2"/>
      <c r="H133" s="2">
        <v>-628</v>
      </c>
      <c r="I133" s="2"/>
      <c r="J133" s="19">
        <f t="shared" si="25"/>
        <v>-5.7770539574815828E-4</v>
      </c>
      <c r="K133" s="2"/>
      <c r="L133" s="2">
        <f t="shared" si="26"/>
        <v>628</v>
      </c>
      <c r="M133" s="2"/>
      <c r="N133" s="19">
        <f t="shared" si="27"/>
        <v>-1</v>
      </c>
      <c r="O133" s="11"/>
      <c r="P133" s="2"/>
      <c r="Q133" s="2"/>
      <c r="R133" s="19">
        <f t="shared" si="28"/>
        <v>0</v>
      </c>
      <c r="S133" s="2"/>
      <c r="T133" s="2">
        <v>0</v>
      </c>
      <c r="U133" s="2"/>
      <c r="V133" s="19">
        <f t="shared" si="29"/>
        <v>0</v>
      </c>
      <c r="W133" s="2"/>
      <c r="X133" s="2">
        <f t="shared" si="30"/>
        <v>0</v>
      </c>
      <c r="Y133" s="2"/>
      <c r="Z133" s="19">
        <f t="shared" si="31"/>
        <v>0</v>
      </c>
    </row>
    <row r="134" spans="1:26" s="24" customFormat="1" hidden="1" outlineLevel="1" x14ac:dyDescent="0.25">
      <c r="A134" s="44"/>
      <c r="B134" s="11" t="str">
        <f>CONCATENATE("          ", "5095", " - ", "PURCHASES @ COST-CUSTOMER SERV")</f>
        <v xml:space="preserve">          5095 - PURCHASES @ COST-CUSTOMER SERV</v>
      </c>
      <c r="C134" s="11"/>
      <c r="D134" s="2"/>
      <c r="E134" s="2"/>
      <c r="F134" s="19">
        <f t="shared" si="24"/>
        <v>0</v>
      </c>
      <c r="G134" s="2"/>
      <c r="H134" s="2"/>
      <c r="I134" s="2"/>
      <c r="J134" s="19">
        <f t="shared" si="25"/>
        <v>0</v>
      </c>
      <c r="K134" s="2"/>
      <c r="L134" s="2">
        <f t="shared" si="26"/>
        <v>0</v>
      </c>
      <c r="M134" s="2"/>
      <c r="N134" s="19">
        <f t="shared" si="27"/>
        <v>0</v>
      </c>
      <c r="O134" s="11"/>
      <c r="P134" s="2"/>
      <c r="Q134" s="2"/>
      <c r="R134" s="19">
        <f t="shared" si="28"/>
        <v>0</v>
      </c>
      <c r="S134" s="2"/>
      <c r="T134" s="2">
        <v>0</v>
      </c>
      <c r="U134" s="2"/>
      <c r="V134" s="19">
        <f t="shared" si="29"/>
        <v>0</v>
      </c>
      <c r="W134" s="2"/>
      <c r="X134" s="2">
        <f t="shared" si="30"/>
        <v>0</v>
      </c>
      <c r="Y134" s="2"/>
      <c r="Z134" s="19">
        <f t="shared" si="31"/>
        <v>0</v>
      </c>
    </row>
    <row r="135" spans="1:26" s="24" customFormat="1" hidden="1" outlineLevel="1" x14ac:dyDescent="0.25">
      <c r="A135" s="44"/>
      <c r="B135" s="11" t="str">
        <f>CONCATENATE("          ", "5200", " - ", "PURCHASES OFFSET")</f>
        <v xml:space="preserve">          5200 - PURCHASES OFFSET</v>
      </c>
      <c r="C135" s="11"/>
      <c r="D135" s="2">
        <v>-821971.10000000009</v>
      </c>
      <c r="E135" s="2"/>
      <c r="F135" s="19">
        <f t="shared" si="24"/>
        <v>-2.2266897546212685</v>
      </c>
      <c r="G135" s="2"/>
      <c r="H135" s="2">
        <v>-279973</v>
      </c>
      <c r="I135" s="2"/>
      <c r="J135" s="19">
        <f t="shared" si="25"/>
        <v>-0.25755081650286488</v>
      </c>
      <c r="K135" s="2"/>
      <c r="L135" s="2">
        <f t="shared" si="26"/>
        <v>-541998.10000000009</v>
      </c>
      <c r="M135" s="2"/>
      <c r="N135" s="19">
        <f t="shared" si="27"/>
        <v>1.9358941755097816</v>
      </c>
      <c r="O135" s="11"/>
      <c r="P135" s="2">
        <v>-1534973.6800000002</v>
      </c>
      <c r="Q135" s="2"/>
      <c r="R135" s="19">
        <f t="shared" si="28"/>
        <v>-0.69965487005994365</v>
      </c>
      <c r="S135" s="2"/>
      <c r="T135" s="2">
        <v>-2636284</v>
      </c>
      <c r="U135" s="2"/>
      <c r="V135" s="19">
        <f t="shared" si="29"/>
        <v>-0.63647558680258254</v>
      </c>
      <c r="W135" s="2"/>
      <c r="X135" s="2">
        <f t="shared" si="30"/>
        <v>1101310.3199999998</v>
      </c>
      <c r="Y135" s="2"/>
      <c r="Z135" s="19">
        <f t="shared" si="31"/>
        <v>-0.41775101620311006</v>
      </c>
    </row>
    <row r="136" spans="1:26" s="24" customFormat="1" hidden="1" outlineLevel="1" x14ac:dyDescent="0.25">
      <c r="A136" s="44"/>
      <c r="B136" s="11" t="str">
        <f>CONCATENATE("          ", "5300", " - ", "COG$ OFFSET")</f>
        <v xml:space="preserve">          5300 - COG$ OFFSET</v>
      </c>
      <c r="C136" s="11"/>
      <c r="D136" s="2">
        <v>204421</v>
      </c>
      <c r="E136" s="2"/>
      <c r="F136" s="19">
        <f t="shared" si="24"/>
        <v>0.55376903923925591</v>
      </c>
      <c r="G136" s="2"/>
      <c r="H136" s="2">
        <v>498314.00000000006</v>
      </c>
      <c r="I136" s="2"/>
      <c r="J136" s="19">
        <f t="shared" si="25"/>
        <v>0.45840555187396148</v>
      </c>
      <c r="K136" s="2"/>
      <c r="L136" s="2">
        <f t="shared" si="26"/>
        <v>-293893.00000000006</v>
      </c>
      <c r="M136" s="2"/>
      <c r="N136" s="19">
        <f t="shared" si="27"/>
        <v>-0.58977472035704404</v>
      </c>
      <c r="O136" s="11"/>
      <c r="P136" s="2">
        <v>1110478</v>
      </c>
      <c r="Q136" s="2"/>
      <c r="R136" s="19">
        <f t="shared" si="28"/>
        <v>0.50616590428731389</v>
      </c>
      <c r="S136" s="2"/>
      <c r="T136" s="2">
        <v>1927748</v>
      </c>
      <c r="U136" s="2"/>
      <c r="V136" s="19">
        <f t="shared" si="29"/>
        <v>0.46541440129648587</v>
      </c>
      <c r="W136" s="2"/>
      <c r="X136" s="2">
        <f t="shared" si="30"/>
        <v>-817270</v>
      </c>
      <c r="Y136" s="2"/>
      <c r="Z136" s="19">
        <f t="shared" si="31"/>
        <v>-0.42395064085139761</v>
      </c>
    </row>
    <row r="137" spans="1:26" s="24" customFormat="1" hidden="1" outlineLevel="1" x14ac:dyDescent="0.25">
      <c r="A137" s="44"/>
      <c r="B137" s="11" t="str">
        <f>CONCATENATE("          ", "5500", " - ", "FREIGHT-IN")</f>
        <v xml:space="preserve">          5500 - FREIGHT-IN</v>
      </c>
      <c r="C137" s="11"/>
      <c r="D137" s="2"/>
      <c r="E137" s="2"/>
      <c r="F137" s="19">
        <f t="shared" si="24"/>
        <v>0</v>
      </c>
      <c r="G137" s="2"/>
      <c r="H137" s="2">
        <v>-49</v>
      </c>
      <c r="I137" s="2"/>
      <c r="J137" s="19">
        <f t="shared" si="25"/>
        <v>-4.5075739477165222E-5</v>
      </c>
      <c r="K137" s="2"/>
      <c r="L137" s="2">
        <f t="shared" si="26"/>
        <v>49</v>
      </c>
      <c r="M137" s="2"/>
      <c r="N137" s="19">
        <f t="shared" si="27"/>
        <v>-1</v>
      </c>
      <c r="O137" s="11"/>
      <c r="P137" s="2"/>
      <c r="Q137" s="2"/>
      <c r="R137" s="19">
        <f t="shared" si="28"/>
        <v>0</v>
      </c>
      <c r="S137" s="2"/>
      <c r="T137" s="2">
        <v>0</v>
      </c>
      <c r="U137" s="2"/>
      <c r="V137" s="19">
        <f t="shared" si="29"/>
        <v>0</v>
      </c>
      <c r="W137" s="2"/>
      <c r="X137" s="2">
        <f t="shared" si="30"/>
        <v>0</v>
      </c>
      <c r="Y137" s="2"/>
      <c r="Z137" s="19">
        <f t="shared" si="31"/>
        <v>0</v>
      </c>
    </row>
    <row r="138" spans="1:26" s="24" customFormat="1" hidden="1" outlineLevel="1" x14ac:dyDescent="0.25">
      <c r="A138" s="44"/>
      <c r="B138" s="11" t="str">
        <f>CONCATENATE("          ", "5501", " - ", "FREIGHT-IN-NEW TEXT")</f>
        <v xml:space="preserve">          5501 - FREIGHT-IN-NEW TEXT</v>
      </c>
      <c r="C138" s="11"/>
      <c r="D138" s="2">
        <v>5279.6</v>
      </c>
      <c r="E138" s="2"/>
      <c r="F138" s="19">
        <f t="shared" si="24"/>
        <v>1.4302243994342927E-2</v>
      </c>
      <c r="G138" s="2"/>
      <c r="H138" s="2">
        <v>13859.22</v>
      </c>
      <c r="I138" s="2"/>
      <c r="J138" s="19">
        <f t="shared" si="25"/>
        <v>1.2749277348504444E-2</v>
      </c>
      <c r="K138" s="2"/>
      <c r="L138" s="2">
        <f t="shared" si="26"/>
        <v>-8579.619999999999</v>
      </c>
      <c r="M138" s="2"/>
      <c r="N138" s="19">
        <f t="shared" si="27"/>
        <v>-0.61905504061556127</v>
      </c>
      <c r="O138" s="11"/>
      <c r="P138" s="2">
        <v>10762.88</v>
      </c>
      <c r="Q138" s="2"/>
      <c r="R138" s="19">
        <f t="shared" si="28"/>
        <v>4.9058179342011676E-3</v>
      </c>
      <c r="S138" s="2"/>
      <c r="T138" s="2">
        <v>26583.46</v>
      </c>
      <c r="U138" s="2"/>
      <c r="V138" s="19">
        <f t="shared" si="29"/>
        <v>6.4180199488154469E-3</v>
      </c>
      <c r="W138" s="2"/>
      <c r="X138" s="2">
        <f t="shared" si="30"/>
        <v>-15820.58</v>
      </c>
      <c r="Y138" s="2"/>
      <c r="Z138" s="19">
        <f t="shared" si="31"/>
        <v>-0.595128700327196</v>
      </c>
    </row>
    <row r="139" spans="1:26" s="24" customFormat="1" hidden="1" outlineLevel="1" x14ac:dyDescent="0.25">
      <c r="A139" s="44"/>
      <c r="B139" s="11" t="str">
        <f>CONCATENATE("          ", "5502", " - ", "FREIGHT-IN-USED TEXT")</f>
        <v xml:space="preserve">          5502 - FREIGHT-IN-USED TEXT</v>
      </c>
      <c r="C139" s="11"/>
      <c r="D139" s="2">
        <v>7276.27</v>
      </c>
      <c r="E139" s="2"/>
      <c r="F139" s="19">
        <f t="shared" si="24"/>
        <v>1.9711150259246458E-2</v>
      </c>
      <c r="G139" s="2"/>
      <c r="H139" s="2">
        <v>1998.66</v>
      </c>
      <c r="I139" s="2"/>
      <c r="J139" s="19">
        <f t="shared" si="25"/>
        <v>1.8385934176210416E-3</v>
      </c>
      <c r="K139" s="2"/>
      <c r="L139" s="2">
        <f t="shared" si="26"/>
        <v>5277.6100000000006</v>
      </c>
      <c r="M139" s="2"/>
      <c r="N139" s="19">
        <f t="shared" si="27"/>
        <v>2.6405741847037518</v>
      </c>
      <c r="O139" s="11"/>
      <c r="P139" s="2">
        <v>8510.82</v>
      </c>
      <c r="Q139" s="2"/>
      <c r="R139" s="19">
        <f t="shared" si="28"/>
        <v>3.8793086414377924E-3</v>
      </c>
      <c r="S139" s="2"/>
      <c r="T139" s="2">
        <v>6261.17</v>
      </c>
      <c r="U139" s="2"/>
      <c r="V139" s="19">
        <f t="shared" si="29"/>
        <v>1.5116284322253316E-3</v>
      </c>
      <c r="W139" s="2"/>
      <c r="X139" s="2">
        <f t="shared" si="30"/>
        <v>2249.6499999999996</v>
      </c>
      <c r="Y139" s="2"/>
      <c r="Z139" s="19">
        <f t="shared" si="31"/>
        <v>0.35930185572345097</v>
      </c>
    </row>
    <row r="140" spans="1:26" s="24" customFormat="1" hidden="1" outlineLevel="1" x14ac:dyDescent="0.25">
      <c r="A140" s="44"/>
      <c r="B140" s="11" t="str">
        <f>CONCATENATE("          ", "5504", " - ", "FREIGHT-IN-DIGITAL TEXT")</f>
        <v xml:space="preserve">          5504 - FREIGHT-IN-DIGITAL TEXT</v>
      </c>
      <c r="C140" s="11"/>
      <c r="D140" s="2">
        <v>10.99</v>
      </c>
      <c r="E140" s="2"/>
      <c r="F140" s="19">
        <f t="shared" si="24"/>
        <v>2.9771509488944001E-5</v>
      </c>
      <c r="G140" s="2"/>
      <c r="H140" s="2"/>
      <c r="I140" s="2"/>
      <c r="J140" s="19">
        <f t="shared" si="25"/>
        <v>0</v>
      </c>
      <c r="K140" s="2"/>
      <c r="L140" s="2">
        <f t="shared" si="26"/>
        <v>10.99</v>
      </c>
      <c r="M140" s="2"/>
      <c r="N140" s="19">
        <f t="shared" si="27"/>
        <v>0</v>
      </c>
      <c r="O140" s="11"/>
      <c r="P140" s="2">
        <v>10.99</v>
      </c>
      <c r="Q140" s="2"/>
      <c r="R140" s="19">
        <f t="shared" si="28"/>
        <v>5.0093412819682872E-6</v>
      </c>
      <c r="S140" s="2"/>
      <c r="T140" s="2">
        <v>7.03</v>
      </c>
      <c r="U140" s="2"/>
      <c r="V140" s="19">
        <f t="shared" si="29"/>
        <v>1.6972463419048007E-6</v>
      </c>
      <c r="W140" s="2"/>
      <c r="X140" s="2">
        <f t="shared" si="30"/>
        <v>3.96</v>
      </c>
      <c r="Y140" s="2"/>
      <c r="Z140" s="19">
        <f t="shared" si="31"/>
        <v>0.56330014224751068</v>
      </c>
    </row>
    <row r="141" spans="1:26" s="24" customFormat="1" hidden="1" outlineLevel="1" x14ac:dyDescent="0.25">
      <c r="A141" s="44"/>
      <c r="B141" s="11" t="str">
        <f>CONCATENATE("          ", "5526", " - ", "FREIGHT-IN-WRITING INSTRUMENTS")</f>
        <v xml:space="preserve">          5526 - FREIGHT-IN-WRITING INSTRUMENTS</v>
      </c>
      <c r="C141" s="11"/>
      <c r="D141" s="2"/>
      <c r="E141" s="2"/>
      <c r="F141" s="19">
        <f t="shared" si="24"/>
        <v>0</v>
      </c>
      <c r="G141" s="2"/>
      <c r="H141" s="2"/>
      <c r="I141" s="2"/>
      <c r="J141" s="19">
        <f t="shared" si="25"/>
        <v>0</v>
      </c>
      <c r="K141" s="2"/>
      <c r="L141" s="2">
        <f t="shared" si="26"/>
        <v>0</v>
      </c>
      <c r="M141" s="2"/>
      <c r="N141" s="19">
        <f t="shared" si="27"/>
        <v>0</v>
      </c>
      <c r="O141" s="11"/>
      <c r="P141" s="2"/>
      <c r="Q141" s="2"/>
      <c r="R141" s="19">
        <f t="shared" si="28"/>
        <v>0</v>
      </c>
      <c r="S141" s="2"/>
      <c r="T141" s="2">
        <v>56.57</v>
      </c>
      <c r="U141" s="2"/>
      <c r="V141" s="19">
        <f t="shared" si="29"/>
        <v>1.3657642327390409E-5</v>
      </c>
      <c r="W141" s="2"/>
      <c r="X141" s="2">
        <f t="shared" si="30"/>
        <v>-56.57</v>
      </c>
      <c r="Y141" s="2"/>
      <c r="Z141" s="19">
        <f t="shared" si="31"/>
        <v>-1</v>
      </c>
    </row>
    <row r="142" spans="1:26" s="24" customFormat="1" hidden="1" outlineLevel="1" x14ac:dyDescent="0.25">
      <c r="A142" s="44"/>
      <c r="B142" s="11" t="str">
        <f>CONCATENATE("          ", "5527", " - ", "FREIGHT-IN-SCHOOL SUPPLIES")</f>
        <v xml:space="preserve">          5527 - FREIGHT-IN-SCHOOL SUPPLIES</v>
      </c>
      <c r="C142" s="11"/>
      <c r="D142" s="2"/>
      <c r="E142" s="2"/>
      <c r="F142" s="19">
        <f t="shared" si="24"/>
        <v>0</v>
      </c>
      <c r="G142" s="2"/>
      <c r="H142" s="2">
        <v>133.38999999999999</v>
      </c>
      <c r="I142" s="2"/>
      <c r="J142" s="19">
        <f t="shared" si="25"/>
        <v>1.2270720181345037E-4</v>
      </c>
      <c r="K142" s="2"/>
      <c r="L142" s="2">
        <f t="shared" si="26"/>
        <v>-133.38999999999999</v>
      </c>
      <c r="M142" s="2"/>
      <c r="N142" s="19">
        <f t="shared" si="27"/>
        <v>-1</v>
      </c>
      <c r="O142" s="11"/>
      <c r="P142" s="2"/>
      <c r="Q142" s="2"/>
      <c r="R142" s="19">
        <f t="shared" si="28"/>
        <v>0</v>
      </c>
      <c r="S142" s="2"/>
      <c r="T142" s="2">
        <v>393.9</v>
      </c>
      <c r="U142" s="2"/>
      <c r="V142" s="19">
        <f t="shared" si="29"/>
        <v>9.5098909541436839E-5</v>
      </c>
      <c r="W142" s="2"/>
      <c r="X142" s="2">
        <f t="shared" si="30"/>
        <v>-393.9</v>
      </c>
      <c r="Y142" s="2"/>
      <c r="Z142" s="19">
        <f t="shared" si="31"/>
        <v>-1</v>
      </c>
    </row>
    <row r="143" spans="1:26" s="24" customFormat="1" hidden="1" outlineLevel="1" x14ac:dyDescent="0.25">
      <c r="A143" s="44"/>
      <c r="B143" s="11" t="str">
        <f>CONCATENATE("          ", "5528", " - ", "FREIGHT-IN-ART/TECH")</f>
        <v xml:space="preserve">          5528 - FREIGHT-IN-ART/TECH</v>
      </c>
      <c r="C143" s="11"/>
      <c r="D143" s="2">
        <v>6.76</v>
      </c>
      <c r="E143" s="2"/>
      <c r="F143" s="19">
        <f t="shared" si="24"/>
        <v>1.831259364379085E-5</v>
      </c>
      <c r="G143" s="2"/>
      <c r="H143" s="2">
        <v>332.97</v>
      </c>
      <c r="I143" s="2"/>
      <c r="J143" s="19">
        <f t="shared" si="25"/>
        <v>3.0630344844309598E-4</v>
      </c>
      <c r="K143" s="2"/>
      <c r="L143" s="2">
        <f t="shared" si="26"/>
        <v>-326.21000000000004</v>
      </c>
      <c r="M143" s="2"/>
      <c r="N143" s="19">
        <f t="shared" si="27"/>
        <v>-0.97969787067904013</v>
      </c>
      <c r="O143" s="11"/>
      <c r="P143" s="2">
        <v>44.81</v>
      </c>
      <c r="Q143" s="2"/>
      <c r="R143" s="19">
        <f t="shared" si="28"/>
        <v>2.0424802806642307E-5</v>
      </c>
      <c r="S143" s="2"/>
      <c r="T143" s="2">
        <v>632.77</v>
      </c>
      <c r="U143" s="2"/>
      <c r="V143" s="19">
        <f t="shared" si="29"/>
        <v>1.5276907080613098E-4</v>
      </c>
      <c r="W143" s="2"/>
      <c r="X143" s="2">
        <f t="shared" si="30"/>
        <v>-587.96</v>
      </c>
      <c r="Y143" s="2"/>
      <c r="Z143" s="19">
        <f t="shared" si="31"/>
        <v>-0.92918437979044533</v>
      </c>
    </row>
    <row r="144" spans="1:26" s="24" customFormat="1" hidden="1" outlineLevel="1" x14ac:dyDescent="0.25">
      <c r="A144" s="44"/>
      <c r="B144" s="11" t="str">
        <f>CONCATENATE("          ", "5540", " - ", "FREIGHT-IN-LOGO CLOTHING")</f>
        <v xml:space="preserve">          5540 - FREIGHT-IN-LOGO CLOTHING</v>
      </c>
      <c r="C144" s="11"/>
      <c r="D144" s="2">
        <v>234.23</v>
      </c>
      <c r="E144" s="2"/>
      <c r="F144" s="19">
        <f t="shared" si="24"/>
        <v>6.3452053390312588E-4</v>
      </c>
      <c r="G144" s="2"/>
      <c r="H144" s="2">
        <v>2672.92</v>
      </c>
      <c r="I144" s="2"/>
      <c r="J144" s="19">
        <f t="shared" si="25"/>
        <v>2.4588539910878463E-3</v>
      </c>
      <c r="K144" s="2"/>
      <c r="L144" s="2">
        <f t="shared" si="26"/>
        <v>-2438.69</v>
      </c>
      <c r="M144" s="2"/>
      <c r="N144" s="19">
        <f t="shared" si="27"/>
        <v>-0.91236924412253262</v>
      </c>
      <c r="O144" s="11"/>
      <c r="P144" s="2">
        <v>2165.7600000000002</v>
      </c>
      <c r="Q144" s="2"/>
      <c r="R144" s="19">
        <f t="shared" si="28"/>
        <v>9.8717297314246041E-4</v>
      </c>
      <c r="S144" s="2"/>
      <c r="T144" s="2">
        <v>5004.8599999999997</v>
      </c>
      <c r="U144" s="2"/>
      <c r="V144" s="19">
        <f t="shared" si="29"/>
        <v>1.2083186809026545E-3</v>
      </c>
      <c r="W144" s="2"/>
      <c r="X144" s="2">
        <f t="shared" si="30"/>
        <v>-2839.0999999999995</v>
      </c>
      <c r="Y144" s="2"/>
      <c r="Z144" s="19">
        <f t="shared" si="31"/>
        <v>-0.56726861490631098</v>
      </c>
    </row>
    <row r="145" spans="1:26" s="24" customFormat="1" hidden="1" outlineLevel="1" x14ac:dyDescent="0.25">
      <c r="A145" s="44"/>
      <c r="B145" s="11" t="str">
        <f>CONCATENATE("          ", "5541", " - ", "FREIGHT-IN-LOGO GIFTS")</f>
        <v xml:space="preserve">          5541 - FREIGHT-IN-LOGO GIFTS</v>
      </c>
      <c r="C145" s="11"/>
      <c r="D145" s="2">
        <v>154.41</v>
      </c>
      <c r="E145" s="2"/>
      <c r="F145" s="19">
        <f t="shared" si="24"/>
        <v>4.1829106280144162E-4</v>
      </c>
      <c r="G145" s="2"/>
      <c r="H145" s="2">
        <v>97.6</v>
      </c>
      <c r="I145" s="2"/>
      <c r="J145" s="19">
        <f t="shared" si="25"/>
        <v>8.978351373410867E-5</v>
      </c>
      <c r="K145" s="2"/>
      <c r="L145" s="2">
        <f t="shared" si="26"/>
        <v>56.81</v>
      </c>
      <c r="M145" s="2"/>
      <c r="N145" s="19">
        <f t="shared" si="27"/>
        <v>0.58206967213114758</v>
      </c>
      <c r="O145" s="11"/>
      <c r="P145" s="2">
        <v>361.11</v>
      </c>
      <c r="Q145" s="2"/>
      <c r="R145" s="19">
        <f t="shared" si="28"/>
        <v>1.6459720021215363E-4</v>
      </c>
      <c r="S145" s="2"/>
      <c r="T145" s="2">
        <v>818.01</v>
      </c>
      <c r="U145" s="2"/>
      <c r="V145" s="19">
        <f t="shared" si="29"/>
        <v>1.9749139120078891E-4</v>
      </c>
      <c r="W145" s="2"/>
      <c r="X145" s="2">
        <f t="shared" si="30"/>
        <v>-456.9</v>
      </c>
      <c r="Y145" s="2"/>
      <c r="Z145" s="19">
        <f t="shared" si="31"/>
        <v>-0.55855062896541607</v>
      </c>
    </row>
    <row r="146" spans="1:26" s="24" customFormat="1" hidden="1" outlineLevel="1" x14ac:dyDescent="0.25">
      <c r="A146" s="44"/>
      <c r="B146" s="11" t="str">
        <f>CONCATENATE("          ", "5542", " - ", "FREIGHT-IN-EVERYDAY GIFTS")</f>
        <v xml:space="preserve">          5542 - FREIGHT-IN-EVERYDAY GIFTS</v>
      </c>
      <c r="C146" s="11"/>
      <c r="D146" s="2">
        <v>65.44</v>
      </c>
      <c r="E146" s="2"/>
      <c r="F146" s="19">
        <f t="shared" si="24"/>
        <v>1.7727457515527711E-4</v>
      </c>
      <c r="G146" s="2"/>
      <c r="H146" s="2">
        <v>58.91</v>
      </c>
      <c r="I146" s="2"/>
      <c r="J146" s="19">
        <f t="shared" si="25"/>
        <v>5.419207780815924E-5</v>
      </c>
      <c r="K146" s="2"/>
      <c r="L146" s="2">
        <f t="shared" si="26"/>
        <v>6.5300000000000011</v>
      </c>
      <c r="M146" s="2"/>
      <c r="N146" s="19">
        <f t="shared" si="27"/>
        <v>0.11084705482940081</v>
      </c>
      <c r="O146" s="11"/>
      <c r="P146" s="2">
        <v>71.38</v>
      </c>
      <c r="Q146" s="2"/>
      <c r="R146" s="19">
        <f t="shared" si="28"/>
        <v>3.2535648835932335E-5</v>
      </c>
      <c r="S146" s="2"/>
      <c r="T146" s="2">
        <v>171.68</v>
      </c>
      <c r="U146" s="2"/>
      <c r="V146" s="19">
        <f t="shared" si="29"/>
        <v>4.1448542244411976E-5</v>
      </c>
      <c r="W146" s="2"/>
      <c r="X146" s="2">
        <f t="shared" si="30"/>
        <v>-100.30000000000001</v>
      </c>
      <c r="Y146" s="2"/>
      <c r="Z146" s="19">
        <f t="shared" si="31"/>
        <v>-0.58422646784715759</v>
      </c>
    </row>
    <row r="147" spans="1:26" s="24" customFormat="1" hidden="1" outlineLevel="1" x14ac:dyDescent="0.25">
      <c r="A147" s="44"/>
      <c r="B147" s="11" t="str">
        <f>CONCATENATE("          ", "5543", " - ", "FREIGHT-IN-CARDS")</f>
        <v xml:space="preserve">          5543 - FREIGHT-IN-CARDS</v>
      </c>
      <c r="C147" s="11"/>
      <c r="D147" s="2">
        <v>81.77</v>
      </c>
      <c r="E147" s="2"/>
      <c r="F147" s="19">
        <f t="shared" si="24"/>
        <v>2.2151195003739318E-4</v>
      </c>
      <c r="G147" s="2"/>
      <c r="H147" s="2"/>
      <c r="I147" s="2"/>
      <c r="J147" s="19">
        <f t="shared" si="25"/>
        <v>0</v>
      </c>
      <c r="K147" s="2"/>
      <c r="L147" s="2">
        <f t="shared" si="26"/>
        <v>81.77</v>
      </c>
      <c r="M147" s="2"/>
      <c r="N147" s="19">
        <f t="shared" si="27"/>
        <v>0</v>
      </c>
      <c r="O147" s="11"/>
      <c r="P147" s="2">
        <v>81.77</v>
      </c>
      <c r="Q147" s="2"/>
      <c r="R147" s="19">
        <f t="shared" si="28"/>
        <v>3.7271504697592979E-5</v>
      </c>
      <c r="S147" s="2"/>
      <c r="T147" s="2">
        <v>4.58</v>
      </c>
      <c r="U147" s="2"/>
      <c r="V147" s="19">
        <f t="shared" si="29"/>
        <v>1.1057451274429569E-6</v>
      </c>
      <c r="W147" s="2"/>
      <c r="X147" s="2">
        <f t="shared" si="30"/>
        <v>77.19</v>
      </c>
      <c r="Y147" s="2"/>
      <c r="Z147" s="19">
        <f t="shared" si="31"/>
        <v>16.853711790393014</v>
      </c>
    </row>
    <row r="148" spans="1:26" s="24" customFormat="1" hidden="1" outlineLevel="1" x14ac:dyDescent="0.25">
      <c r="A148" s="44"/>
      <c r="B148" s="11" t="str">
        <f>CONCATENATE("          ", "5544", " - ", "FREIGHT-IN-ACCESSORIES")</f>
        <v xml:space="preserve">          5544 - FREIGHT-IN-ACCESSORIES</v>
      </c>
      <c r="C148" s="11"/>
      <c r="D148" s="2"/>
      <c r="E148" s="2"/>
      <c r="F148" s="19">
        <f t="shared" si="24"/>
        <v>0</v>
      </c>
      <c r="G148" s="2"/>
      <c r="H148" s="2">
        <v>34.18</v>
      </c>
      <c r="I148" s="2"/>
      <c r="J148" s="19">
        <f t="shared" si="25"/>
        <v>3.1442628067949125E-5</v>
      </c>
      <c r="K148" s="2"/>
      <c r="L148" s="2">
        <f t="shared" si="26"/>
        <v>-34.18</v>
      </c>
      <c r="M148" s="2"/>
      <c r="N148" s="19">
        <f t="shared" si="27"/>
        <v>-1</v>
      </c>
      <c r="O148" s="11"/>
      <c r="P148" s="2"/>
      <c r="Q148" s="2"/>
      <c r="R148" s="19">
        <f t="shared" si="28"/>
        <v>0</v>
      </c>
      <c r="S148" s="2"/>
      <c r="T148" s="2">
        <v>135.84</v>
      </c>
      <c r="U148" s="2"/>
      <c r="V148" s="19">
        <f t="shared" si="29"/>
        <v>3.2795724478570147E-5</v>
      </c>
      <c r="W148" s="2"/>
      <c r="X148" s="2">
        <f t="shared" si="30"/>
        <v>-135.84</v>
      </c>
      <c r="Y148" s="2"/>
      <c r="Z148" s="19">
        <f t="shared" si="31"/>
        <v>-1</v>
      </c>
    </row>
    <row r="149" spans="1:26" s="24" customFormat="1" hidden="1" outlineLevel="1" x14ac:dyDescent="0.25">
      <c r="A149" s="44"/>
      <c r="B149" s="11" t="str">
        <f>CONCATENATE("          ", "5545", " - ", "FREIGHT-IN-SPECIAL ORDERS")</f>
        <v xml:space="preserve">          5545 - FREIGHT-IN-SPECIAL ORDERS</v>
      </c>
      <c r="C149" s="11"/>
      <c r="D149" s="2">
        <v>214.61</v>
      </c>
      <c r="E149" s="2"/>
      <c r="F149" s="19">
        <f t="shared" si="24"/>
        <v>5.8137066891922405E-4</v>
      </c>
      <c r="G149" s="2"/>
      <c r="H149" s="2">
        <v>26.56</v>
      </c>
      <c r="I149" s="2"/>
      <c r="J149" s="19">
        <f t="shared" si="25"/>
        <v>2.4432890622724657E-5</v>
      </c>
      <c r="K149" s="2"/>
      <c r="L149" s="2">
        <f t="shared" si="26"/>
        <v>188.05</v>
      </c>
      <c r="M149" s="2"/>
      <c r="N149" s="19">
        <f t="shared" si="27"/>
        <v>7.0801957831325311</v>
      </c>
      <c r="O149" s="11"/>
      <c r="P149" s="2">
        <v>660.61</v>
      </c>
      <c r="Q149" s="2"/>
      <c r="R149" s="19">
        <f t="shared" si="28"/>
        <v>3.0111200584905098E-4</v>
      </c>
      <c r="S149" s="2"/>
      <c r="T149" s="2">
        <v>262.51</v>
      </c>
      <c r="U149" s="2"/>
      <c r="V149" s="19">
        <f t="shared" si="29"/>
        <v>6.3377544411583102E-5</v>
      </c>
      <c r="W149" s="2"/>
      <c r="X149" s="2">
        <f t="shared" si="30"/>
        <v>398.1</v>
      </c>
      <c r="Y149" s="2"/>
      <c r="Z149" s="19">
        <f t="shared" si="31"/>
        <v>1.516513656622605</v>
      </c>
    </row>
    <row r="150" spans="1:26" s="24" customFormat="1" hidden="1" outlineLevel="1" x14ac:dyDescent="0.25">
      <c r="A150" s="44"/>
      <c r="B150" s="11" t="str">
        <f>CONCATENATE("          ", "5592", " - ", "FREIGHT-IN-GRAD MERCH")</f>
        <v xml:space="preserve">          5592 - FREIGHT-IN-GRAD MERCH</v>
      </c>
      <c r="C150" s="11"/>
      <c r="D150" s="2"/>
      <c r="E150" s="2"/>
      <c r="F150" s="19">
        <f t="shared" si="24"/>
        <v>0</v>
      </c>
      <c r="G150" s="2"/>
      <c r="H150" s="2">
        <v>11.21</v>
      </c>
      <c r="I150" s="2"/>
      <c r="J150" s="19">
        <f t="shared" si="25"/>
        <v>1.0312225296714738E-5</v>
      </c>
      <c r="K150" s="2"/>
      <c r="L150" s="2">
        <f t="shared" si="26"/>
        <v>-11.21</v>
      </c>
      <c r="M150" s="2"/>
      <c r="N150" s="19">
        <f t="shared" si="27"/>
        <v>-1</v>
      </c>
      <c r="O150" s="11"/>
      <c r="P150" s="2"/>
      <c r="Q150" s="2"/>
      <c r="R150" s="19">
        <f t="shared" si="28"/>
        <v>0</v>
      </c>
      <c r="S150" s="2"/>
      <c r="T150" s="2">
        <v>70.78</v>
      </c>
      <c r="U150" s="2"/>
      <c r="V150" s="19">
        <f t="shared" si="29"/>
        <v>1.7088349371269104E-5</v>
      </c>
      <c r="W150" s="2"/>
      <c r="X150" s="2">
        <f t="shared" si="30"/>
        <v>-70.78</v>
      </c>
      <c r="Y150" s="2"/>
      <c r="Z150" s="19">
        <f t="shared" si="31"/>
        <v>-1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10"/>
      <c r="B152" s="25" t="s">
        <v>6</v>
      </c>
      <c r="C152" s="25"/>
      <c r="D152" s="22">
        <f>D12-D103</f>
        <v>138003.77000000011</v>
      </c>
      <c r="E152" s="13"/>
      <c r="F152" s="21">
        <f>IF(D$12=0,0,D152/D$12)</f>
        <v>0.373847183627393</v>
      </c>
      <c r="G152" s="13"/>
      <c r="H152" s="22">
        <f>H12-H103</f>
        <v>449156.89999999944</v>
      </c>
      <c r="I152" s="13"/>
      <c r="J152" s="21">
        <f>IF(H$12=0,0,H152/H$12)</f>
        <v>0.41318529405655358</v>
      </c>
      <c r="K152" s="15"/>
      <c r="L152" s="22">
        <f>+D152-H152</f>
        <v>-311153.12999999931</v>
      </c>
      <c r="M152" s="15"/>
      <c r="N152" s="21">
        <f>IF(H152=0,0,L152/H152)</f>
        <v>-0.69274930430769222</v>
      </c>
      <c r="O152" s="26"/>
      <c r="P152" s="22">
        <f>P12-P103</f>
        <v>739941.79999999958</v>
      </c>
      <c r="Q152" s="13"/>
      <c r="R152" s="21">
        <f>IF(P$12=0,0,P152/P$12)</f>
        <v>0.33727215696032031</v>
      </c>
      <c r="S152" s="13"/>
      <c r="T152" s="22">
        <f>T12-T103</f>
        <v>1539900.709999999</v>
      </c>
      <c r="U152" s="13"/>
      <c r="V152" s="21">
        <f>IF(T$12=0,0,T152/T$12)</f>
        <v>0.3717767918839408</v>
      </c>
      <c r="W152" s="15"/>
      <c r="X152" s="22">
        <f>+P152-T152</f>
        <v>-799958.90999999945</v>
      </c>
      <c r="Y152" s="15"/>
      <c r="Z152" s="21">
        <f>IF(T152=0,0,X152/T152)</f>
        <v>-0.51948733110201628</v>
      </c>
    </row>
    <row r="153" spans="1:26" x14ac:dyDescent="0.25">
      <c r="A153" s="9"/>
      <c r="B153" s="10"/>
      <c r="C153" s="9"/>
      <c r="D153" s="1"/>
      <c r="E153" s="1"/>
      <c r="F153" s="5"/>
      <c r="G153" s="1"/>
      <c r="H153" s="1"/>
      <c r="I153" s="1"/>
      <c r="J153" s="5"/>
      <c r="K153" s="1"/>
      <c r="L153" s="1"/>
      <c r="M153" s="1"/>
      <c r="N153" s="5"/>
      <c r="O153" s="37"/>
      <c r="P153" s="1"/>
      <c r="Q153" s="1"/>
      <c r="R153" s="5"/>
      <c r="S153" s="1"/>
      <c r="T153" s="1"/>
      <c r="U153" s="1"/>
      <c r="V153" s="5"/>
      <c r="W153" s="1"/>
      <c r="X153" s="1"/>
      <c r="Y153" s="1"/>
      <c r="Z153" s="5"/>
    </row>
    <row r="154" spans="1:26" s="23" customFormat="1" x14ac:dyDescent="0.25">
      <c r="A154" s="10"/>
      <c r="B154" s="26" t="s">
        <v>9</v>
      </c>
      <c r="C154" s="10"/>
      <c r="D154" s="20">
        <f>SUM(OSRRefD22x_0)</f>
        <v>259799.44000000009</v>
      </c>
      <c r="E154" s="20"/>
      <c r="F154" s="36">
        <f t="shared" ref="F154:F165" si="32">IF(D$12=0,0,D154/D$12)</f>
        <v>0.70378721503024033</v>
      </c>
      <c r="G154" s="20"/>
      <c r="H154" s="20">
        <f>SUM(OSRRefH22x_0)</f>
        <v>353983.88000000018</v>
      </c>
      <c r="I154" s="20"/>
      <c r="J154" s="36">
        <f t="shared" ref="J154:J165" si="33">IF(H$12=0,0,H154/H$12)</f>
        <v>0.3256343908978801</v>
      </c>
      <c r="K154" s="4"/>
      <c r="L154" s="20">
        <f t="shared" ref="L154:L165" si="34">+D154-H154</f>
        <v>-94184.44000000009</v>
      </c>
      <c r="M154" s="4"/>
      <c r="N154" s="36">
        <f t="shared" ref="N154:N165" si="35">IF(H154=0,0,L154/H154)</f>
        <v>-0.26606985606237221</v>
      </c>
      <c r="O154" s="10"/>
      <c r="P154" s="20">
        <f>SUM(OSRRefP22x_0)</f>
        <v>802288.14</v>
      </c>
      <c r="Q154" s="20"/>
      <c r="R154" s="36">
        <f t="shared" ref="R154:R165" si="36">IF(P$12=0,0,P154/P$12)</f>
        <v>0.36569018195955894</v>
      </c>
      <c r="S154" s="20"/>
      <c r="T154" s="20">
        <f>SUM(OSRRefT22x_0)</f>
        <v>1120093.6200000001</v>
      </c>
      <c r="U154" s="20"/>
      <c r="V154" s="36">
        <f t="shared" ref="V154:V165" si="37">IF(T$12=0,0,T154/T$12)</f>
        <v>0.27042315777182163</v>
      </c>
      <c r="W154" s="4"/>
      <c r="X154" s="20">
        <f t="shared" ref="X154:X165" si="38">+P154-T154</f>
        <v>-317805.4800000001</v>
      </c>
      <c r="Y154" s="4"/>
      <c r="Z154" s="36">
        <f t="shared" ref="Z154:Z165" si="39">IF(T154=0,0,X154/T154)</f>
        <v>-0.28373117597080866</v>
      </c>
    </row>
    <row r="155" spans="1:26" s="27" customFormat="1" outlineLevel="1" collapsed="1" x14ac:dyDescent="0.25">
      <c r="A155" s="29"/>
      <c r="B155" s="14" t="str">
        <f>CONCATENATE("     ","*Benefits                                         ")</f>
        <v xml:space="preserve">     *Benefits                                         </v>
      </c>
      <c r="C155" s="14"/>
      <c r="D155" s="1">
        <f>SUM(OSRRefD22_0x_0)</f>
        <v>46877.819999999992</v>
      </c>
      <c r="E155" s="1"/>
      <c r="F155" s="5">
        <f t="shared" si="32"/>
        <v>0.1269903060010017</v>
      </c>
      <c r="G155" s="1"/>
      <c r="H155" s="1">
        <f>SUM(OSRRefH22_0x_0)</f>
        <v>48491.650000000009</v>
      </c>
      <c r="I155" s="1"/>
      <c r="J155" s="5">
        <f t="shared" si="33"/>
        <v>4.4608101677915901E-2</v>
      </c>
      <c r="K155" s="1"/>
      <c r="L155" s="1">
        <f t="shared" si="34"/>
        <v>-1613.8300000000163</v>
      </c>
      <c r="M155" s="1"/>
      <c r="N155" s="5">
        <f t="shared" si="35"/>
        <v>-3.3280575109323272E-2</v>
      </c>
      <c r="O155" s="14"/>
      <c r="P155" s="1">
        <f>SUM(OSRRefP22_0x_0)</f>
        <v>132990.54999999999</v>
      </c>
      <c r="Q155" s="1"/>
      <c r="R155" s="5">
        <f t="shared" si="36"/>
        <v>6.061829410615719E-2</v>
      </c>
      <c r="S155" s="1"/>
      <c r="T155" s="1">
        <f>SUM(OSRRefT22_0x_0)</f>
        <v>156437.29</v>
      </c>
      <c r="U155" s="1"/>
      <c r="V155" s="5">
        <f t="shared" si="37"/>
        <v>3.7768508988620268E-2</v>
      </c>
      <c r="W155" s="1"/>
      <c r="X155" s="1">
        <f t="shared" si="38"/>
        <v>-23446.74000000002</v>
      </c>
      <c r="Y155" s="1"/>
      <c r="Z155" s="5">
        <f t="shared" si="39"/>
        <v>-0.14987948205955254</v>
      </c>
    </row>
    <row r="156" spans="1:26" s="24" customFormat="1" hidden="1" outlineLevel="2" x14ac:dyDescent="0.25">
      <c r="A156" s="28"/>
      <c r="B156" s="11" t="str">
        <f>CONCATENATE("          ", "6111", " - ", "F.I.C.A.")</f>
        <v xml:space="preserve">          6111 - F.I.C.A.</v>
      </c>
      <c r="C156" s="11"/>
      <c r="D156" s="7">
        <v>11303.64</v>
      </c>
      <c r="E156" s="2"/>
      <c r="F156" s="6">
        <f t="shared" si="32"/>
        <v>3.0621148818890533E-2</v>
      </c>
      <c r="G156" s="2"/>
      <c r="H156" s="7">
        <v>7396.01</v>
      </c>
      <c r="I156" s="2"/>
      <c r="J156" s="6">
        <f t="shared" si="33"/>
        <v>6.8036861210307911E-3</v>
      </c>
      <c r="K156" s="2"/>
      <c r="L156" s="7">
        <f t="shared" si="34"/>
        <v>3907.6299999999992</v>
      </c>
      <c r="M156" s="2"/>
      <c r="N156" s="6">
        <f t="shared" si="35"/>
        <v>0.52834298493376819</v>
      </c>
      <c r="O156" s="11"/>
      <c r="P156" s="7">
        <v>29607.030000000002</v>
      </c>
      <c r="Q156" s="2"/>
      <c r="R156" s="6">
        <f t="shared" si="36"/>
        <v>1.3495151739351553E-2</v>
      </c>
      <c r="S156" s="2"/>
      <c r="T156" s="7">
        <v>32396.11</v>
      </c>
      <c r="U156" s="2"/>
      <c r="V156" s="6">
        <f t="shared" si="37"/>
        <v>7.8213626158528497E-3</v>
      </c>
      <c r="W156" s="2"/>
      <c r="X156" s="7">
        <f t="shared" si="38"/>
        <v>-2789.0799999999981</v>
      </c>
      <c r="Y156" s="2"/>
      <c r="Z156" s="6">
        <f t="shared" si="39"/>
        <v>-8.6093052530072225E-2</v>
      </c>
    </row>
    <row r="157" spans="1:26" s="24" customFormat="1" hidden="1" outlineLevel="2" x14ac:dyDescent="0.25">
      <c r="A157" s="28"/>
      <c r="B157" s="11" t="str">
        <f>CONCATENATE("          ", "6112", " - ", "COMPENSATION INSURANCE")</f>
        <v xml:space="preserve">          6112 - COMPENSATION INSURANCE</v>
      </c>
      <c r="C157" s="11"/>
      <c r="D157" s="7">
        <v>4070.32</v>
      </c>
      <c r="E157" s="2"/>
      <c r="F157" s="6">
        <f t="shared" si="32"/>
        <v>1.1026348544407512E-2</v>
      </c>
      <c r="G157" s="2"/>
      <c r="H157" s="7">
        <v>3283.18</v>
      </c>
      <c r="I157" s="2"/>
      <c r="J157" s="6">
        <f t="shared" si="33"/>
        <v>3.0202401293191695E-3</v>
      </c>
      <c r="K157" s="2"/>
      <c r="L157" s="7">
        <f t="shared" si="34"/>
        <v>787.14000000000033</v>
      </c>
      <c r="M157" s="2"/>
      <c r="N157" s="6">
        <f t="shared" si="35"/>
        <v>0.23974926747848135</v>
      </c>
      <c r="O157" s="11"/>
      <c r="P157" s="7">
        <v>8214.4500000000007</v>
      </c>
      <c r="Q157" s="2"/>
      <c r="R157" s="6">
        <f t="shared" si="36"/>
        <v>3.7442205180768335E-3</v>
      </c>
      <c r="S157" s="2"/>
      <c r="T157" s="7">
        <v>8160.02</v>
      </c>
      <c r="U157" s="2"/>
      <c r="V157" s="6">
        <f t="shared" si="37"/>
        <v>1.9700660163399731E-3</v>
      </c>
      <c r="W157" s="2"/>
      <c r="X157" s="7">
        <f t="shared" si="38"/>
        <v>54.430000000000291</v>
      </c>
      <c r="Y157" s="2"/>
      <c r="Z157" s="6">
        <f t="shared" si="39"/>
        <v>6.67032678841477E-3</v>
      </c>
    </row>
    <row r="158" spans="1:26" s="24" customFormat="1" hidden="1" outlineLevel="2" x14ac:dyDescent="0.25">
      <c r="A158" s="28"/>
      <c r="B158" s="11" t="str">
        <f>CONCATENATE("          ", "6113", " - ", "GROUP INSURANCE")</f>
        <v xml:space="preserve">          6113 - GROUP INSURANCE</v>
      </c>
      <c r="C158" s="11"/>
      <c r="D158" s="7">
        <v>14780.92</v>
      </c>
      <c r="E158" s="2"/>
      <c r="F158" s="6">
        <f t="shared" si="32"/>
        <v>4.0040973615588914E-2</v>
      </c>
      <c r="G158" s="2"/>
      <c r="H158" s="7">
        <v>19035.550000000003</v>
      </c>
      <c r="I158" s="2"/>
      <c r="J158" s="6">
        <f t="shared" si="33"/>
        <v>1.7511050869480665E-2</v>
      </c>
      <c r="K158" s="2"/>
      <c r="L158" s="7">
        <f t="shared" si="34"/>
        <v>-4254.6300000000028</v>
      </c>
      <c r="M158" s="2"/>
      <c r="N158" s="6">
        <f t="shared" si="35"/>
        <v>-0.22350969633133805</v>
      </c>
      <c r="O158" s="11"/>
      <c r="P158" s="7">
        <v>43784.990000000005</v>
      </c>
      <c r="Q158" s="2"/>
      <c r="R158" s="6">
        <f t="shared" si="36"/>
        <v>1.995759398885975E-2</v>
      </c>
      <c r="S158" s="2"/>
      <c r="T158" s="7">
        <v>56564.1</v>
      </c>
      <c r="U158" s="2"/>
      <c r="V158" s="6">
        <f t="shared" si="37"/>
        <v>1.3656217895894357E-2</v>
      </c>
      <c r="W158" s="2"/>
      <c r="X158" s="7">
        <f t="shared" si="38"/>
        <v>-12779.109999999993</v>
      </c>
      <c r="Y158" s="2"/>
      <c r="Z158" s="6">
        <f t="shared" si="39"/>
        <v>-0.22592262583511438</v>
      </c>
    </row>
    <row r="159" spans="1:26" s="24" customFormat="1" hidden="1" outlineLevel="2" x14ac:dyDescent="0.25">
      <c r="A159" s="28"/>
      <c r="B159" s="11" t="str">
        <f>CONCATENATE("          ", "6114", " - ", "STATE UNEMPLOYMENT INSURANCE")</f>
        <v xml:space="preserve">          6114 - STATE UNEMPLOYMENT INSURANCE</v>
      </c>
      <c r="C159" s="11"/>
      <c r="D159" s="7">
        <v>487.57</v>
      </c>
      <c r="E159" s="2"/>
      <c r="F159" s="6">
        <f t="shared" si="32"/>
        <v>1.320809361376199E-3</v>
      </c>
      <c r="G159" s="2"/>
      <c r="H159" s="7">
        <v>554.65</v>
      </c>
      <c r="I159" s="2"/>
      <c r="J159" s="6">
        <f t="shared" si="33"/>
        <v>5.1022977348999358E-4</v>
      </c>
      <c r="K159" s="2"/>
      <c r="L159" s="7">
        <f t="shared" si="34"/>
        <v>-67.079999999999984</v>
      </c>
      <c r="M159" s="2"/>
      <c r="N159" s="6">
        <f t="shared" si="35"/>
        <v>-0.12094113404849903</v>
      </c>
      <c r="O159" s="11"/>
      <c r="P159" s="7">
        <v>1135.8399999999999</v>
      </c>
      <c r="Q159" s="2"/>
      <c r="R159" s="6">
        <f t="shared" si="36"/>
        <v>5.1772613300371789E-4</v>
      </c>
      <c r="S159" s="2"/>
      <c r="T159" s="7">
        <v>1404.42</v>
      </c>
      <c r="U159" s="2"/>
      <c r="V159" s="6">
        <f t="shared" si="37"/>
        <v>3.3906781045489907E-4</v>
      </c>
      <c r="W159" s="2"/>
      <c r="X159" s="7">
        <f t="shared" si="38"/>
        <v>-268.58000000000015</v>
      </c>
      <c r="Y159" s="2"/>
      <c r="Z159" s="6">
        <f t="shared" si="39"/>
        <v>-0.19123908802210174</v>
      </c>
    </row>
    <row r="160" spans="1:26" s="24" customFormat="1" hidden="1" outlineLevel="2" x14ac:dyDescent="0.25">
      <c r="A160" s="28"/>
      <c r="B160" s="11" t="str">
        <f>CONCATENATE("          ", "6115", " - ", "P.E.R.S.")</f>
        <v xml:space="preserve">          6115 - P.E.R.S.</v>
      </c>
      <c r="C160" s="11"/>
      <c r="D160" s="7">
        <v>5930.47</v>
      </c>
      <c r="E160" s="2"/>
      <c r="F160" s="6">
        <f t="shared" si="32"/>
        <v>1.6065427104540286E-2</v>
      </c>
      <c r="G160" s="2"/>
      <c r="H160" s="7">
        <v>6384.79</v>
      </c>
      <c r="I160" s="2"/>
      <c r="J160" s="6">
        <f t="shared" si="33"/>
        <v>5.8734516460491777E-3</v>
      </c>
      <c r="K160" s="2"/>
      <c r="L160" s="7">
        <f t="shared" si="34"/>
        <v>-454.31999999999971</v>
      </c>
      <c r="M160" s="2"/>
      <c r="N160" s="6">
        <f t="shared" si="35"/>
        <v>-7.1156608126500598E-2</v>
      </c>
      <c r="O160" s="11"/>
      <c r="P160" s="7">
        <v>20244.53</v>
      </c>
      <c r="Q160" s="2"/>
      <c r="R160" s="6">
        <f t="shared" si="36"/>
        <v>9.2276396599677377E-3</v>
      </c>
      <c r="S160" s="2"/>
      <c r="T160" s="7">
        <v>18689.96</v>
      </c>
      <c r="U160" s="2"/>
      <c r="V160" s="6">
        <f t="shared" si="37"/>
        <v>4.5122996074462374E-3</v>
      </c>
      <c r="W160" s="2"/>
      <c r="X160" s="7">
        <f t="shared" si="38"/>
        <v>1554.5699999999997</v>
      </c>
      <c r="Y160" s="2"/>
      <c r="Z160" s="6">
        <f t="shared" si="39"/>
        <v>8.3176743021386876E-2</v>
      </c>
    </row>
    <row r="161" spans="1:26" s="24" customFormat="1" hidden="1" outlineLevel="2" x14ac:dyDescent="0.25">
      <c r="A161" s="28"/>
      <c r="B161" s="11" t="str">
        <f>CONCATENATE("          ", "6116", " - ", "EDUCATIONAL BENEFITS")</f>
        <v xml:space="preserve">          6116 - EDUCATIONAL BENEFITS</v>
      </c>
      <c r="C161" s="11"/>
      <c r="D161" s="7"/>
      <c r="E161" s="2"/>
      <c r="F161" s="6">
        <f t="shared" si="32"/>
        <v>0</v>
      </c>
      <c r="G161" s="2"/>
      <c r="H161" s="7"/>
      <c r="I161" s="2"/>
      <c r="J161" s="6">
        <f t="shared" si="33"/>
        <v>0</v>
      </c>
      <c r="K161" s="2"/>
      <c r="L161" s="7">
        <f t="shared" si="34"/>
        <v>0</v>
      </c>
      <c r="M161" s="2"/>
      <c r="N161" s="6">
        <f t="shared" si="35"/>
        <v>0</v>
      </c>
      <c r="O161" s="11"/>
      <c r="P161" s="7">
        <v>0</v>
      </c>
      <c r="Q161" s="2"/>
      <c r="R161" s="6">
        <f t="shared" si="36"/>
        <v>0</v>
      </c>
      <c r="S161" s="2"/>
      <c r="T161" s="7"/>
      <c r="U161" s="2"/>
      <c r="V161" s="6">
        <f t="shared" si="37"/>
        <v>0</v>
      </c>
      <c r="W161" s="2"/>
      <c r="X161" s="7">
        <f t="shared" si="38"/>
        <v>0</v>
      </c>
      <c r="Y161" s="2"/>
      <c r="Z161" s="6">
        <f t="shared" si="39"/>
        <v>0</v>
      </c>
    </row>
    <row r="162" spans="1:26" s="24" customFormat="1" hidden="1" outlineLevel="2" x14ac:dyDescent="0.25">
      <c r="A162" s="28"/>
      <c r="B162" s="11" t="str">
        <f>CONCATENATE("          ", "6117", " - ", "RETIREMENT STAFF HOURLY")</f>
        <v xml:space="preserve">          6117 - RETIREMENT STAFF HOURLY</v>
      </c>
      <c r="C162" s="11"/>
      <c r="D162" s="7">
        <v>248.98</v>
      </c>
      <c r="E162" s="2"/>
      <c r="F162" s="6">
        <f t="shared" si="32"/>
        <v>6.7447774636553929E-4</v>
      </c>
      <c r="G162" s="2"/>
      <c r="H162" s="7">
        <v>145.97</v>
      </c>
      <c r="I162" s="2"/>
      <c r="J162" s="6">
        <f t="shared" si="33"/>
        <v>1.3427970798942463E-4</v>
      </c>
      <c r="K162" s="2"/>
      <c r="L162" s="7">
        <f t="shared" si="34"/>
        <v>103.00999999999999</v>
      </c>
      <c r="M162" s="2"/>
      <c r="N162" s="6">
        <f t="shared" si="35"/>
        <v>0.70569295060628889</v>
      </c>
      <c r="O162" s="11"/>
      <c r="P162" s="7">
        <v>837.77</v>
      </c>
      <c r="Q162" s="2"/>
      <c r="R162" s="6">
        <f t="shared" si="36"/>
        <v>3.8186313428522039E-4</v>
      </c>
      <c r="S162" s="2"/>
      <c r="T162" s="7">
        <v>461.34</v>
      </c>
      <c r="U162" s="2"/>
      <c r="V162" s="6">
        <f t="shared" si="37"/>
        <v>1.1138088582850081E-4</v>
      </c>
      <c r="W162" s="2"/>
      <c r="X162" s="7">
        <f t="shared" si="38"/>
        <v>376.43</v>
      </c>
      <c r="Y162" s="2"/>
      <c r="Z162" s="6">
        <f t="shared" si="39"/>
        <v>0.81594919148567224</v>
      </c>
    </row>
    <row r="163" spans="1:26" s="24" customFormat="1" hidden="1" outlineLevel="2" x14ac:dyDescent="0.25">
      <c r="A163" s="28"/>
      <c r="B163" s="11" t="str">
        <f>CONCATENATE("          ", "6118", " - ", "VACATION")</f>
        <v xml:space="preserve">          6118 - VACATION</v>
      </c>
      <c r="C163" s="11"/>
      <c r="D163" s="7">
        <v>4704.91</v>
      </c>
      <c r="E163" s="2"/>
      <c r="F163" s="6">
        <f t="shared" si="32"/>
        <v>1.2745429727900593E-2</v>
      </c>
      <c r="G163" s="2"/>
      <c r="H163" s="7">
        <v>5425.46</v>
      </c>
      <c r="I163" s="2"/>
      <c r="J163" s="6">
        <f t="shared" si="33"/>
        <v>4.9909514592608329E-3</v>
      </c>
      <c r="K163" s="2"/>
      <c r="L163" s="7">
        <f t="shared" si="34"/>
        <v>-720.55000000000018</v>
      </c>
      <c r="M163" s="2"/>
      <c r="N163" s="6">
        <f t="shared" si="35"/>
        <v>-0.13280901527243777</v>
      </c>
      <c r="O163" s="11"/>
      <c r="P163" s="7">
        <v>14429.57</v>
      </c>
      <c r="Q163" s="2"/>
      <c r="R163" s="6">
        <f t="shared" si="36"/>
        <v>6.5771283605142077E-3</v>
      </c>
      <c r="S163" s="2"/>
      <c r="T163" s="7">
        <v>17465.22</v>
      </c>
      <c r="U163" s="2"/>
      <c r="V163" s="6">
        <f t="shared" si="37"/>
        <v>4.2166117717727693E-3</v>
      </c>
      <c r="W163" s="2"/>
      <c r="X163" s="7">
        <f t="shared" si="38"/>
        <v>-3035.6500000000015</v>
      </c>
      <c r="Y163" s="2"/>
      <c r="Z163" s="6">
        <f t="shared" si="39"/>
        <v>-0.17381115153430654</v>
      </c>
    </row>
    <row r="164" spans="1:26" s="24" customFormat="1" hidden="1" outlineLevel="2" x14ac:dyDescent="0.25">
      <c r="A164" s="28"/>
      <c r="B164" s="11" t="str">
        <f>CONCATENATE("          ", "6119", " - ", "SICK LEAVE")</f>
        <v xml:space="preserve">          6119 - SICK LEAVE</v>
      </c>
      <c r="C164" s="11"/>
      <c r="D164" s="7">
        <v>3523.27</v>
      </c>
      <c r="E164" s="2"/>
      <c r="F164" s="6">
        <f t="shared" si="32"/>
        <v>9.5444100306744072E-3</v>
      </c>
      <c r="G164" s="2"/>
      <c r="H164" s="7">
        <v>4119.51</v>
      </c>
      <c r="I164" s="2"/>
      <c r="J164" s="6">
        <f t="shared" si="33"/>
        <v>3.7895910108893247E-3</v>
      </c>
      <c r="K164" s="2"/>
      <c r="L164" s="7">
        <f t="shared" si="34"/>
        <v>-596.24000000000024</v>
      </c>
      <c r="M164" s="2"/>
      <c r="N164" s="6">
        <f t="shared" si="35"/>
        <v>-0.14473566030911447</v>
      </c>
      <c r="O164" s="11"/>
      <c r="P164" s="7">
        <v>10478.459999999999</v>
      </c>
      <c r="Q164" s="2"/>
      <c r="R164" s="6">
        <f t="shared" si="36"/>
        <v>4.7761767287946696E-3</v>
      </c>
      <c r="S164" s="2"/>
      <c r="T164" s="7">
        <v>15501.76</v>
      </c>
      <c r="U164" s="2"/>
      <c r="V164" s="6">
        <f t="shared" si="37"/>
        <v>3.7425754556310331E-3</v>
      </c>
      <c r="W164" s="2"/>
      <c r="X164" s="7">
        <f t="shared" si="38"/>
        <v>-5023.3000000000011</v>
      </c>
      <c r="Y164" s="2"/>
      <c r="Z164" s="6">
        <f t="shared" si="39"/>
        <v>-0.32404707594492504</v>
      </c>
    </row>
    <row r="165" spans="1:26" s="24" customFormat="1" hidden="1" outlineLevel="2" x14ac:dyDescent="0.25">
      <c r="A165" s="28"/>
      <c r="B165" s="11" t="str">
        <f>CONCATENATE("          ", "6156", " - ", "EMPLOYEE MEALS")</f>
        <v xml:space="preserve">          6156 - EMPLOYEE MEALS</v>
      </c>
      <c r="C165" s="11"/>
      <c r="D165" s="7">
        <v>1827.74</v>
      </c>
      <c r="E165" s="2"/>
      <c r="F165" s="6">
        <f t="shared" si="32"/>
        <v>4.9512810512577351E-3</v>
      </c>
      <c r="G165" s="2"/>
      <c r="H165" s="7">
        <v>2146.5300000000002</v>
      </c>
      <c r="I165" s="2"/>
      <c r="J165" s="6">
        <f t="shared" si="33"/>
        <v>1.9746209604065198E-3</v>
      </c>
      <c r="K165" s="2"/>
      <c r="L165" s="7">
        <f t="shared" si="34"/>
        <v>-318.79000000000019</v>
      </c>
      <c r="M165" s="2"/>
      <c r="N165" s="6">
        <f t="shared" si="35"/>
        <v>-0.14851411347616858</v>
      </c>
      <c r="O165" s="11"/>
      <c r="P165" s="7">
        <v>4257.91</v>
      </c>
      <c r="Q165" s="2"/>
      <c r="R165" s="6">
        <f t="shared" si="36"/>
        <v>1.9407938433035113E-3</v>
      </c>
      <c r="S165" s="2"/>
      <c r="T165" s="7">
        <v>5794.36</v>
      </c>
      <c r="U165" s="2"/>
      <c r="V165" s="6">
        <f t="shared" si="37"/>
        <v>1.3989269293996445E-3</v>
      </c>
      <c r="W165" s="2"/>
      <c r="X165" s="7">
        <f t="shared" si="38"/>
        <v>-1536.4499999999998</v>
      </c>
      <c r="Y165" s="2"/>
      <c r="Z165" s="6">
        <f t="shared" si="39"/>
        <v>-0.26516302059243813</v>
      </c>
    </row>
    <row r="166" spans="1:26" s="27" customFormat="1" outlineLevel="1" collapsed="1" x14ac:dyDescent="0.25">
      <c r="A166" s="29"/>
      <c r="B166" s="14" t="str">
        <f>CONCATENATE("     ","*Payroll                                          ")</f>
        <v xml:space="preserve">     *Payroll                                          </v>
      </c>
      <c r="C166" s="14"/>
      <c r="D166" s="1">
        <f>SUM(OSRRefD22_1x_0)</f>
        <v>120415</v>
      </c>
      <c r="E166" s="1"/>
      <c r="F166" s="5">
        <f t="shared" ref="F166:F173" si="40">IF(D$12=0,0,D166/D$12)</f>
        <v>0.32619984668891649</v>
      </c>
      <c r="G166" s="1"/>
      <c r="H166" s="1">
        <f>SUM(OSRRefH22_1x_0)</f>
        <v>172459.12</v>
      </c>
      <c r="I166" s="1"/>
      <c r="J166" s="5">
        <f t="shared" ref="J166:J173" si="41">IF(H$12=0,0,H166/H$12)</f>
        <v>0.15864739517512599</v>
      </c>
      <c r="K166" s="1"/>
      <c r="L166" s="1">
        <f t="shared" ref="L166:L173" si="42">+D166-H166</f>
        <v>-52044.119999999995</v>
      </c>
      <c r="M166" s="1"/>
      <c r="N166" s="5">
        <f t="shared" ref="N166:N173" si="43">IF(H166=0,0,L166/H166)</f>
        <v>-0.30177656014944293</v>
      </c>
      <c r="O166" s="14"/>
      <c r="P166" s="1">
        <f>SUM(OSRRefP22_1x_0)</f>
        <v>400728.57</v>
      </c>
      <c r="Q166" s="1"/>
      <c r="R166" s="5">
        <f t="shared" ref="R166:R173" si="44">IF(P$12=0,0,P166/P$12)</f>
        <v>0.18265570232621645</v>
      </c>
      <c r="S166" s="1"/>
      <c r="T166" s="1">
        <f>SUM(OSRRefT22_1x_0)</f>
        <v>566591.30000000005</v>
      </c>
      <c r="U166" s="1"/>
      <c r="V166" s="5">
        <f t="shared" ref="V166:V173" si="45">IF(T$12=0,0,T166/T$12)</f>
        <v>0.13679160900143464</v>
      </c>
      <c r="W166" s="1"/>
      <c r="X166" s="1">
        <f t="shared" ref="X166:X173" si="46">+P166-T166</f>
        <v>-165862.73000000004</v>
      </c>
      <c r="Y166" s="1"/>
      <c r="Z166" s="5">
        <f t="shared" ref="Z166:Z173" si="47">IF(T166=0,0,X166/T166)</f>
        <v>-0.29273786943075197</v>
      </c>
    </row>
    <row r="167" spans="1:26" s="24" customFormat="1" hidden="1" outlineLevel="2" x14ac:dyDescent="0.25">
      <c r="A167" s="28"/>
      <c r="B167" s="11" t="str">
        <f>CONCATENATE("          ", "6001", " - ", "ADMINISTRATIVE SALARIES")</f>
        <v xml:space="preserve">          6001 - ADMINISTRATIVE SALARIES</v>
      </c>
      <c r="C167" s="11"/>
      <c r="D167" s="7">
        <v>4205.74</v>
      </c>
      <c r="E167" s="2"/>
      <c r="F167" s="6">
        <f t="shared" si="40"/>
        <v>1.1393196389265819E-2</v>
      </c>
      <c r="G167" s="2"/>
      <c r="H167" s="7">
        <v>10717.14</v>
      </c>
      <c r="I167" s="2"/>
      <c r="J167" s="6">
        <f t="shared" si="41"/>
        <v>9.8588369506184981E-3</v>
      </c>
      <c r="K167" s="2"/>
      <c r="L167" s="7">
        <f t="shared" si="42"/>
        <v>-6511.4</v>
      </c>
      <c r="M167" s="2"/>
      <c r="N167" s="6">
        <f t="shared" si="43"/>
        <v>-0.60756881033559329</v>
      </c>
      <c r="O167" s="11"/>
      <c r="P167" s="7">
        <v>12937.33</v>
      </c>
      <c r="Q167" s="2"/>
      <c r="R167" s="6">
        <f t="shared" si="44"/>
        <v>5.8969518878477512E-3</v>
      </c>
      <c r="S167" s="2"/>
      <c r="T167" s="7">
        <v>33758.700000000004</v>
      </c>
      <c r="U167" s="2"/>
      <c r="V167" s="6">
        <f t="shared" si="45"/>
        <v>8.1503314484298161E-3</v>
      </c>
      <c r="W167" s="2"/>
      <c r="X167" s="7">
        <f t="shared" si="46"/>
        <v>-20821.370000000003</v>
      </c>
      <c r="Y167" s="2"/>
      <c r="Z167" s="6">
        <f t="shared" si="47"/>
        <v>-0.61677049175471799</v>
      </c>
    </row>
    <row r="168" spans="1:26" s="24" customFormat="1" hidden="1" outlineLevel="2" x14ac:dyDescent="0.25">
      <c r="A168" s="28"/>
      <c r="B168" s="11" t="str">
        <f>CONCATENATE("          ", "6002", " - ", "STAFF SALARIES")</f>
        <v xml:space="preserve">          6002 - STAFF SALARIES</v>
      </c>
      <c r="C168" s="11"/>
      <c r="D168" s="7">
        <v>53438.720000000001</v>
      </c>
      <c r="E168" s="2"/>
      <c r="F168" s="6">
        <f t="shared" si="40"/>
        <v>0.14476354500063893</v>
      </c>
      <c r="G168" s="2"/>
      <c r="H168" s="7">
        <v>59285.080000000009</v>
      </c>
      <c r="I168" s="2"/>
      <c r="J168" s="6">
        <f t="shared" si="41"/>
        <v>5.4537118795161196E-2</v>
      </c>
      <c r="K168" s="2"/>
      <c r="L168" s="7">
        <f t="shared" si="42"/>
        <v>-5846.3600000000079</v>
      </c>
      <c r="M168" s="2"/>
      <c r="N168" s="6">
        <f t="shared" si="43"/>
        <v>-9.8614356259618896E-2</v>
      </c>
      <c r="O168" s="11"/>
      <c r="P168" s="7">
        <v>171933.88</v>
      </c>
      <c r="Q168" s="2"/>
      <c r="R168" s="6">
        <f t="shared" si="44"/>
        <v>7.8369015728205801E-2</v>
      </c>
      <c r="S168" s="2"/>
      <c r="T168" s="7">
        <v>179921.16</v>
      </c>
      <c r="U168" s="2"/>
      <c r="V168" s="6">
        <f t="shared" si="45"/>
        <v>4.3438197815258657E-2</v>
      </c>
      <c r="W168" s="2"/>
      <c r="X168" s="7">
        <f t="shared" si="46"/>
        <v>-7987.2799999999988</v>
      </c>
      <c r="Y168" s="2"/>
      <c r="Z168" s="6">
        <f t="shared" si="47"/>
        <v>-4.439322200901772E-2</v>
      </c>
    </row>
    <row r="169" spans="1:26" s="24" customFormat="1" hidden="1" outlineLevel="2" x14ac:dyDescent="0.25">
      <c r="A169" s="28"/>
      <c r="B169" s="11" t="str">
        <f>CONCATENATE("          ", "6004", " - ", "STAFF HOURLY")</f>
        <v xml:space="preserve">          6004 - STAFF HOURLY</v>
      </c>
      <c r="C169" s="11"/>
      <c r="D169" s="7">
        <v>15888.169999999998</v>
      </c>
      <c r="E169" s="2"/>
      <c r="F169" s="6">
        <f t="shared" si="40"/>
        <v>4.3040473513826692E-2</v>
      </c>
      <c r="G169" s="2"/>
      <c r="H169" s="7">
        <v>1265.96</v>
      </c>
      <c r="I169" s="2"/>
      <c r="J169" s="6">
        <f t="shared" si="41"/>
        <v>1.1645731254798385E-3</v>
      </c>
      <c r="K169" s="2"/>
      <c r="L169" s="7">
        <f t="shared" si="42"/>
        <v>14622.21</v>
      </c>
      <c r="M169" s="2"/>
      <c r="N169" s="6">
        <f t="shared" si="43"/>
        <v>11.550293848146859</v>
      </c>
      <c r="O169" s="11"/>
      <c r="P169" s="7">
        <v>45478.049999999996</v>
      </c>
      <c r="Q169" s="2"/>
      <c r="R169" s="6">
        <f t="shared" si="44"/>
        <v>2.0729306031703171E-2</v>
      </c>
      <c r="S169" s="2"/>
      <c r="T169" s="7">
        <v>6102.21</v>
      </c>
      <c r="U169" s="2"/>
      <c r="V169" s="6">
        <f t="shared" si="45"/>
        <v>1.4732508677147787E-3</v>
      </c>
      <c r="W169" s="2"/>
      <c r="X169" s="7">
        <f t="shared" si="46"/>
        <v>39375.839999999997</v>
      </c>
      <c r="Y169" s="2"/>
      <c r="Z169" s="6">
        <f t="shared" si="47"/>
        <v>6.4527179497264102</v>
      </c>
    </row>
    <row r="170" spans="1:26" s="24" customFormat="1" hidden="1" outlineLevel="2" x14ac:dyDescent="0.25">
      <c r="A170" s="28"/>
      <c r="B170" s="11" t="str">
        <f>CONCATENATE("          ", "6005", " - ", "TEMPORARY WAGES-HOURLY")</f>
        <v xml:space="preserve">          6005 - TEMPORARY WAGES-HOURLY</v>
      </c>
      <c r="C170" s="11"/>
      <c r="D170" s="7">
        <v>25841.46</v>
      </c>
      <c r="E170" s="2"/>
      <c r="F170" s="6">
        <f t="shared" si="40"/>
        <v>7.0003573393827734E-2</v>
      </c>
      <c r="G170" s="2"/>
      <c r="H170" s="7">
        <v>15943.06</v>
      </c>
      <c r="I170" s="2"/>
      <c r="J170" s="6">
        <f t="shared" si="41"/>
        <v>1.4666228959771708E-2</v>
      </c>
      <c r="K170" s="2"/>
      <c r="L170" s="7">
        <f t="shared" si="42"/>
        <v>9898.4</v>
      </c>
      <c r="M170" s="2"/>
      <c r="N170" s="6">
        <f t="shared" si="43"/>
        <v>0.62085948368757315</v>
      </c>
      <c r="O170" s="11"/>
      <c r="P170" s="7">
        <v>60732.5</v>
      </c>
      <c r="Q170" s="2"/>
      <c r="R170" s="6">
        <f t="shared" si="44"/>
        <v>2.7682422148056326E-2</v>
      </c>
      <c r="S170" s="2"/>
      <c r="T170" s="7">
        <v>50815.77</v>
      </c>
      <c r="U170" s="2"/>
      <c r="V170" s="6">
        <f t="shared" si="45"/>
        <v>1.2268403946454582E-2</v>
      </c>
      <c r="W170" s="2"/>
      <c r="X170" s="7">
        <f t="shared" si="46"/>
        <v>9916.7300000000032</v>
      </c>
      <c r="Y170" s="2"/>
      <c r="Z170" s="6">
        <f t="shared" si="47"/>
        <v>0.19515063926021398</v>
      </c>
    </row>
    <row r="171" spans="1:26" s="24" customFormat="1" hidden="1" outlineLevel="2" x14ac:dyDescent="0.25">
      <c r="A171" s="28"/>
      <c r="B171" s="11" t="str">
        <f>CONCATENATE("          ", "6006", " - ", "TEMPORARY PART TIME")</f>
        <v xml:space="preserve">          6006 - TEMPORARY PART TIME</v>
      </c>
      <c r="C171" s="11"/>
      <c r="D171" s="7">
        <v>1728.86</v>
      </c>
      <c r="E171" s="2"/>
      <c r="F171" s="6">
        <f t="shared" si="40"/>
        <v>4.6834187347639424E-3</v>
      </c>
      <c r="G171" s="2"/>
      <c r="H171" s="7">
        <v>5942.38</v>
      </c>
      <c r="I171" s="2"/>
      <c r="J171" s="6">
        <f t="shared" si="41"/>
        <v>5.4664729133534094E-3</v>
      </c>
      <c r="K171" s="2"/>
      <c r="L171" s="7">
        <f t="shared" si="42"/>
        <v>-4213.5200000000004</v>
      </c>
      <c r="M171" s="2"/>
      <c r="N171" s="6">
        <f t="shared" si="43"/>
        <v>-0.70906269878398898</v>
      </c>
      <c r="O171" s="11"/>
      <c r="P171" s="7">
        <v>5704.41</v>
      </c>
      <c r="Q171" s="2"/>
      <c r="R171" s="6">
        <f t="shared" si="44"/>
        <v>2.6001216107618486E-3</v>
      </c>
      <c r="S171" s="2"/>
      <c r="T171" s="7">
        <v>14216.38</v>
      </c>
      <c r="U171" s="2"/>
      <c r="V171" s="6">
        <f t="shared" si="45"/>
        <v>3.4322473613269656E-3</v>
      </c>
      <c r="W171" s="2"/>
      <c r="X171" s="7">
        <f t="shared" si="46"/>
        <v>-8511.9699999999993</v>
      </c>
      <c r="Y171" s="2"/>
      <c r="Z171" s="6">
        <f t="shared" si="47"/>
        <v>-0.59874384336940911</v>
      </c>
    </row>
    <row r="172" spans="1:26" s="24" customFormat="1" hidden="1" outlineLevel="2" x14ac:dyDescent="0.25">
      <c r="A172" s="28"/>
      <c r="B172" s="11" t="str">
        <f>CONCATENATE("          ", "6007", " - ", "STUDENT HOURLY")</f>
        <v xml:space="preserve">          6007 - STUDENT HOURLY</v>
      </c>
      <c r="C172" s="11"/>
      <c r="D172" s="7">
        <v>18256.38</v>
      </c>
      <c r="E172" s="2"/>
      <c r="F172" s="6">
        <f t="shared" si="40"/>
        <v>4.9455868098613971E-2</v>
      </c>
      <c r="G172" s="2"/>
      <c r="H172" s="7">
        <v>77643.5</v>
      </c>
      <c r="I172" s="2"/>
      <c r="J172" s="6">
        <f t="shared" si="41"/>
        <v>7.1425268940719946E-2</v>
      </c>
      <c r="K172" s="2"/>
      <c r="L172" s="7">
        <f t="shared" si="42"/>
        <v>-59387.119999999995</v>
      </c>
      <c r="M172" s="2"/>
      <c r="N172" s="6">
        <f t="shared" si="43"/>
        <v>-0.76486917771609986</v>
      </c>
      <c r="O172" s="11"/>
      <c r="P172" s="7">
        <v>102453.7</v>
      </c>
      <c r="Q172" s="2"/>
      <c r="R172" s="6">
        <f t="shared" si="44"/>
        <v>4.6699322010954898E-2</v>
      </c>
      <c r="S172" s="2"/>
      <c r="T172" s="7">
        <v>278153.07999999996</v>
      </c>
      <c r="U172" s="2"/>
      <c r="V172" s="6">
        <f t="shared" si="45"/>
        <v>6.7154238622980561E-2</v>
      </c>
      <c r="W172" s="2"/>
      <c r="X172" s="7">
        <f t="shared" si="46"/>
        <v>-175699.37999999995</v>
      </c>
      <c r="Y172" s="2"/>
      <c r="Z172" s="6">
        <f t="shared" si="47"/>
        <v>-0.63166433389844168</v>
      </c>
    </row>
    <row r="173" spans="1:26" s="24" customFormat="1" hidden="1" outlineLevel="2" x14ac:dyDescent="0.25">
      <c r="A173" s="28"/>
      <c r="B173" s="11" t="str">
        <f>CONCATENATE("          ", "6008", " - ", "STUDENT HOURLY-FICA EXEMPT")</f>
        <v xml:space="preserve">          6008 - STUDENT HOURLY-FICA EXEMPT</v>
      </c>
      <c r="C173" s="11"/>
      <c r="D173" s="7">
        <v>1055.67</v>
      </c>
      <c r="E173" s="2"/>
      <c r="F173" s="6">
        <f t="shared" si="40"/>
        <v>2.859771557979392E-3</v>
      </c>
      <c r="G173" s="2"/>
      <c r="H173" s="7">
        <v>1662</v>
      </c>
      <c r="I173" s="2"/>
      <c r="J173" s="6">
        <f t="shared" si="41"/>
        <v>1.5288954900213999E-3</v>
      </c>
      <c r="K173" s="2"/>
      <c r="L173" s="7">
        <f t="shared" si="42"/>
        <v>-606.32999999999993</v>
      </c>
      <c r="M173" s="2"/>
      <c r="N173" s="6">
        <f t="shared" si="43"/>
        <v>-0.36481949458483748</v>
      </c>
      <c r="O173" s="11"/>
      <c r="P173" s="7">
        <v>1488.7</v>
      </c>
      <c r="Q173" s="2"/>
      <c r="R173" s="6">
        <f t="shared" si="44"/>
        <v>6.7856290868664141E-4</v>
      </c>
      <c r="S173" s="2"/>
      <c r="T173" s="7">
        <v>3624</v>
      </c>
      <c r="U173" s="2"/>
      <c r="V173" s="6">
        <f t="shared" si="45"/>
        <v>8.7493893926927425E-4</v>
      </c>
      <c r="W173" s="2"/>
      <c r="X173" s="7">
        <f t="shared" si="46"/>
        <v>-2135.3000000000002</v>
      </c>
      <c r="Y173" s="2"/>
      <c r="Z173" s="6">
        <f t="shared" si="47"/>
        <v>-0.58921081677704201</v>
      </c>
    </row>
    <row r="174" spans="1:26" s="27" customFormat="1" outlineLevel="1" collapsed="1" x14ac:dyDescent="0.25">
      <c r="A174" s="29"/>
      <c r="B174" s="14" t="str">
        <f>CONCATENATE("     ","Advertising/Promo                                 ")</f>
        <v xml:space="preserve">     Advertising/Promo                                 </v>
      </c>
      <c r="C174" s="14"/>
      <c r="D174" s="1">
        <f>SUM(OSRRefD22_2x_0)</f>
        <v>391.39</v>
      </c>
      <c r="E174" s="1"/>
      <c r="F174" s="5">
        <f t="shared" ref="F174:F182" si="48">IF(D$12=0,0,D174/D$12)</f>
        <v>1.0602612464856954E-3</v>
      </c>
      <c r="G174" s="1"/>
      <c r="H174" s="1">
        <f>SUM(OSRRefH22_2x_0)</f>
        <v>-182.82</v>
      </c>
      <c r="I174" s="1"/>
      <c r="J174" s="5">
        <f t="shared" ref="J174:J182" si="49">IF(H$12=0,0,H174/H$12)</f>
        <v>-1.6817850390235398E-4</v>
      </c>
      <c r="K174" s="1"/>
      <c r="L174" s="1">
        <f t="shared" ref="L174:L182" si="50">+D174-H174</f>
        <v>574.21</v>
      </c>
      <c r="M174" s="1"/>
      <c r="N174" s="5">
        <f t="shared" ref="N174:N182" si="51">IF(H174=0,0,L174/H174)</f>
        <v>-3.1408489224373706</v>
      </c>
      <c r="O174" s="14"/>
      <c r="P174" s="1">
        <f>SUM(OSRRefP22_2x_0)</f>
        <v>12393.59</v>
      </c>
      <c r="Q174" s="1"/>
      <c r="R174" s="5">
        <f t="shared" ref="R174:R182" si="52">IF(P$12=0,0,P174/P$12)</f>
        <v>5.6491102837842901E-3</v>
      </c>
      <c r="S174" s="1"/>
      <c r="T174" s="1">
        <f>SUM(OSRRefT22_2x_0)</f>
        <v>7007.68</v>
      </c>
      <c r="U174" s="1"/>
      <c r="V174" s="5">
        <f t="shared" ref="V174:V182" si="53">IF(T$12=0,0,T174/T$12)</f>
        <v>1.6918576451265199E-3</v>
      </c>
      <c r="W174" s="1"/>
      <c r="X174" s="1">
        <f t="shared" ref="X174:X182" si="54">+P174-T174</f>
        <v>5385.91</v>
      </c>
      <c r="Y174" s="1"/>
      <c r="Z174" s="5">
        <f t="shared" ref="Z174:Z182" si="55">IF(T174=0,0,X174/T174)</f>
        <v>0.76857248047856064</v>
      </c>
    </row>
    <row r="175" spans="1:26" s="24" customFormat="1" hidden="1" outlineLevel="2" x14ac:dyDescent="0.25">
      <c r="A175" s="28"/>
      <c r="B175" s="11" t="str">
        <f>CONCATENATE("          ", "6362", " - ", "ADVERTISING EXPENSE")</f>
        <v xml:space="preserve">          6362 - ADVERTISING EXPENSE</v>
      </c>
      <c r="C175" s="11"/>
      <c r="D175" s="7">
        <v>391.39</v>
      </c>
      <c r="E175" s="2"/>
      <c r="F175" s="6">
        <f t="shared" si="48"/>
        <v>1.0602612464856954E-3</v>
      </c>
      <c r="G175" s="2"/>
      <c r="H175" s="7">
        <v>-182.82</v>
      </c>
      <c r="I175" s="2"/>
      <c r="J175" s="6">
        <f t="shared" si="49"/>
        <v>-1.6817850390235398E-4</v>
      </c>
      <c r="K175" s="2"/>
      <c r="L175" s="7">
        <f t="shared" si="50"/>
        <v>574.21</v>
      </c>
      <c r="M175" s="2"/>
      <c r="N175" s="6">
        <f t="shared" si="51"/>
        <v>-3.1408489224373706</v>
      </c>
      <c r="O175" s="11"/>
      <c r="P175" s="7">
        <v>12393.59</v>
      </c>
      <c r="Q175" s="2"/>
      <c r="R175" s="6">
        <f t="shared" si="52"/>
        <v>5.6491102837842901E-3</v>
      </c>
      <c r="S175" s="2"/>
      <c r="T175" s="7">
        <v>7007.68</v>
      </c>
      <c r="U175" s="2"/>
      <c r="V175" s="6">
        <f t="shared" si="53"/>
        <v>1.6918576451265199E-3</v>
      </c>
      <c r="W175" s="2"/>
      <c r="X175" s="7">
        <f t="shared" si="54"/>
        <v>5385.91</v>
      </c>
      <c r="Y175" s="2"/>
      <c r="Z175" s="6">
        <f t="shared" si="55"/>
        <v>0.76857248047856064</v>
      </c>
    </row>
    <row r="176" spans="1:26" s="27" customFormat="1" outlineLevel="1" collapsed="1" x14ac:dyDescent="0.25">
      <c r="A176" s="29"/>
      <c r="B176" s="14" t="str">
        <f>CONCATENATE("     ","Bad Debts/Over/Short                              ")</f>
        <v xml:space="preserve">     Bad Debts/Over/Short                              </v>
      </c>
      <c r="C176" s="14"/>
      <c r="D176" s="1">
        <f>SUM(OSRRefD22_3x_0)</f>
        <v>8.2200000000000006</v>
      </c>
      <c r="E176" s="1"/>
      <c r="F176" s="5">
        <f t="shared" si="48"/>
        <v>2.2267680436680594E-5</v>
      </c>
      <c r="G176" s="1"/>
      <c r="H176" s="1">
        <f>SUM(OSRRefH22_3x_0)</f>
        <v>-82.82</v>
      </c>
      <c r="I176" s="1"/>
      <c r="J176" s="5">
        <f t="shared" si="49"/>
        <v>-7.6187198846914758E-5</v>
      </c>
      <c r="K176" s="1"/>
      <c r="L176" s="1">
        <f t="shared" si="50"/>
        <v>91.039999999999992</v>
      </c>
      <c r="M176" s="1"/>
      <c r="N176" s="5">
        <f t="shared" si="51"/>
        <v>-1.0992513885534896</v>
      </c>
      <c r="O176" s="14"/>
      <c r="P176" s="1">
        <f>SUM(OSRRefP22_3x_0)</f>
        <v>80.010000000000005</v>
      </c>
      <c r="Q176" s="1"/>
      <c r="R176" s="5">
        <f t="shared" si="52"/>
        <v>3.6469280798023904E-5</v>
      </c>
      <c r="S176" s="1"/>
      <c r="T176" s="1">
        <f>SUM(OSRRefT22_3x_0)</f>
        <v>-165.15</v>
      </c>
      <c r="U176" s="1"/>
      <c r="V176" s="5">
        <f t="shared" si="53"/>
        <v>-3.9872010436070818E-5</v>
      </c>
      <c r="W176" s="1"/>
      <c r="X176" s="1">
        <f t="shared" si="54"/>
        <v>245.16000000000003</v>
      </c>
      <c r="Y176" s="1"/>
      <c r="Z176" s="5">
        <f t="shared" si="55"/>
        <v>-1.4844686648501364</v>
      </c>
    </row>
    <row r="177" spans="1:26" s="24" customFormat="1" hidden="1" outlineLevel="2" x14ac:dyDescent="0.25">
      <c r="A177" s="28"/>
      <c r="B177" s="11" t="str">
        <f>CONCATENATE("          ", "6272", " - ", "CASH (OVER/SHORT)")</f>
        <v xml:space="preserve">          6272 - CASH (OVER/SHORT)</v>
      </c>
      <c r="C177" s="11"/>
      <c r="D177" s="7">
        <v>8.2200000000000006</v>
      </c>
      <c r="E177" s="2"/>
      <c r="F177" s="6">
        <f t="shared" si="48"/>
        <v>2.2267680436680594E-5</v>
      </c>
      <c r="G177" s="2"/>
      <c r="H177" s="7">
        <v>-82.82</v>
      </c>
      <c r="I177" s="2"/>
      <c r="J177" s="6">
        <f t="shared" si="49"/>
        <v>-7.6187198846914758E-5</v>
      </c>
      <c r="K177" s="2"/>
      <c r="L177" s="7">
        <f t="shared" si="50"/>
        <v>91.039999999999992</v>
      </c>
      <c r="M177" s="2"/>
      <c r="N177" s="6">
        <f t="shared" si="51"/>
        <v>-1.0992513885534896</v>
      </c>
      <c r="O177" s="11"/>
      <c r="P177" s="7">
        <v>80.010000000000005</v>
      </c>
      <c r="Q177" s="2"/>
      <c r="R177" s="6">
        <f t="shared" si="52"/>
        <v>3.6469280798023904E-5</v>
      </c>
      <c r="S177" s="2"/>
      <c r="T177" s="7">
        <v>-165.15</v>
      </c>
      <c r="U177" s="2"/>
      <c r="V177" s="6">
        <f t="shared" si="53"/>
        <v>-3.9872010436070818E-5</v>
      </c>
      <c r="W177" s="2"/>
      <c r="X177" s="7">
        <f t="shared" si="54"/>
        <v>245.16000000000003</v>
      </c>
      <c r="Y177" s="2"/>
      <c r="Z177" s="6">
        <f t="shared" si="55"/>
        <v>-1.4844686648501364</v>
      </c>
    </row>
    <row r="178" spans="1:26" s="27" customFormat="1" outlineLevel="1" collapsed="1" x14ac:dyDescent="0.25">
      <c r="A178" s="29"/>
      <c r="B178" s="14" t="str">
        <f>CONCATENATE("     ","Bank/card Fees                                    ")</f>
        <v xml:space="preserve">     Bank/card Fees                                    </v>
      </c>
      <c r="C178" s="14"/>
      <c r="D178" s="1">
        <f>SUM(OSRRefD22_4x_0)</f>
        <v>9050.2199999999993</v>
      </c>
      <c r="E178" s="1"/>
      <c r="F178" s="5">
        <f t="shared" si="48"/>
        <v>2.451671616078533E-2</v>
      </c>
      <c r="G178" s="1"/>
      <c r="H178" s="1">
        <f>SUM(OSRRefH22_4x_0)</f>
        <v>20801.550000000003</v>
      </c>
      <c r="I178" s="1"/>
      <c r="J178" s="5">
        <f t="shared" si="49"/>
        <v>1.913561731675972E-2</v>
      </c>
      <c r="K178" s="1"/>
      <c r="L178" s="1">
        <f t="shared" si="50"/>
        <v>-11751.330000000004</v>
      </c>
      <c r="M178" s="1"/>
      <c r="N178" s="5">
        <f t="shared" si="51"/>
        <v>-0.56492569063363074</v>
      </c>
      <c r="O178" s="14"/>
      <c r="P178" s="1">
        <f>SUM(OSRRefP22_4x_0)</f>
        <v>34247.769999999997</v>
      </c>
      <c r="Q178" s="1"/>
      <c r="R178" s="5">
        <f t="shared" si="52"/>
        <v>1.561044295508235E-2</v>
      </c>
      <c r="S178" s="1"/>
      <c r="T178" s="1">
        <f>SUM(OSRRefT22_4x_0)</f>
        <v>60257.06</v>
      </c>
      <c r="U178" s="1"/>
      <c r="V178" s="5">
        <f t="shared" si="53"/>
        <v>1.4547805783632729E-2</v>
      </c>
      <c r="W178" s="1"/>
      <c r="X178" s="1">
        <f t="shared" si="54"/>
        <v>-26009.29</v>
      </c>
      <c r="Y178" s="1"/>
      <c r="Z178" s="5">
        <f t="shared" si="55"/>
        <v>-0.43163888181733395</v>
      </c>
    </row>
    <row r="179" spans="1:26" s="24" customFormat="1" hidden="1" outlineLevel="2" x14ac:dyDescent="0.25">
      <c r="A179" s="28"/>
      <c r="B179" s="11" t="str">
        <f>CONCATENATE("          ", "6381", " - ", "BANK/CREDIT CARD FEES")</f>
        <v xml:space="preserve">          6381 - BANK/CREDIT CARD FEES</v>
      </c>
      <c r="C179" s="11"/>
      <c r="D179" s="7">
        <v>9050.2199999999993</v>
      </c>
      <c r="E179" s="2"/>
      <c r="F179" s="6">
        <f t="shared" si="48"/>
        <v>2.451671616078533E-2</v>
      </c>
      <c r="G179" s="2"/>
      <c r="H179" s="7">
        <v>20801.550000000003</v>
      </c>
      <c r="I179" s="2"/>
      <c r="J179" s="6">
        <f t="shared" si="49"/>
        <v>1.913561731675972E-2</v>
      </c>
      <c r="K179" s="2"/>
      <c r="L179" s="7">
        <f t="shared" si="50"/>
        <v>-11751.330000000004</v>
      </c>
      <c r="M179" s="2"/>
      <c r="N179" s="6">
        <f t="shared" si="51"/>
        <v>-0.56492569063363074</v>
      </c>
      <c r="O179" s="11"/>
      <c r="P179" s="7">
        <v>34247.769999999997</v>
      </c>
      <c r="Q179" s="2"/>
      <c r="R179" s="6">
        <f t="shared" si="52"/>
        <v>1.561044295508235E-2</v>
      </c>
      <c r="S179" s="2"/>
      <c r="T179" s="7">
        <v>60257.06</v>
      </c>
      <c r="U179" s="2"/>
      <c r="V179" s="6">
        <f t="shared" si="53"/>
        <v>1.4547805783632729E-2</v>
      </c>
      <c r="W179" s="2"/>
      <c r="X179" s="7">
        <f t="shared" si="54"/>
        <v>-26009.29</v>
      </c>
      <c r="Y179" s="2"/>
      <c r="Z179" s="6">
        <f t="shared" si="55"/>
        <v>-0.43163888181733395</v>
      </c>
    </row>
    <row r="180" spans="1:26" s="27" customFormat="1" outlineLevel="1" collapsed="1" x14ac:dyDescent="0.25">
      <c r="A180" s="29"/>
      <c r="B180" s="14" t="str">
        <f>CONCATENATE("     ","Depreciation                                      ")</f>
        <v xml:space="preserve">     Depreciation                                      </v>
      </c>
      <c r="C180" s="14"/>
      <c r="D180" s="1">
        <f>SUM(OSRRefD22_5x_0)</f>
        <v>31066.84</v>
      </c>
      <c r="E180" s="1"/>
      <c r="F180" s="5">
        <f t="shared" si="48"/>
        <v>8.415893738412239E-2</v>
      </c>
      <c r="G180" s="1"/>
      <c r="H180" s="1">
        <f>SUM(OSRRefH22_5x_0)</f>
        <v>29607.43</v>
      </c>
      <c r="I180" s="1"/>
      <c r="J180" s="5">
        <f t="shared" si="49"/>
        <v>2.7236261250375628E-2</v>
      </c>
      <c r="K180" s="1"/>
      <c r="L180" s="1">
        <f t="shared" si="50"/>
        <v>1459.4099999999999</v>
      </c>
      <c r="M180" s="1"/>
      <c r="N180" s="5">
        <f t="shared" si="51"/>
        <v>4.9292018929032337E-2</v>
      </c>
      <c r="O180" s="14"/>
      <c r="P180" s="1">
        <f>SUM(OSRRefP22_5x_0)</f>
        <v>92503.03</v>
      </c>
      <c r="Q180" s="1"/>
      <c r="R180" s="5">
        <f t="shared" si="52"/>
        <v>4.2163716732133844E-2</v>
      </c>
      <c r="S180" s="1"/>
      <c r="T180" s="1">
        <f>SUM(OSRRefT22_5x_0)</f>
        <v>88822.29</v>
      </c>
      <c r="U180" s="1"/>
      <c r="V180" s="5">
        <f t="shared" si="53"/>
        <v>2.1444282614809011E-2</v>
      </c>
      <c r="W180" s="1"/>
      <c r="X180" s="1">
        <f t="shared" si="54"/>
        <v>3680.7400000000052</v>
      </c>
      <c r="Y180" s="1"/>
      <c r="Z180" s="5">
        <f t="shared" si="55"/>
        <v>4.1439372932177337E-2</v>
      </c>
    </row>
    <row r="181" spans="1:26" s="24" customFormat="1" hidden="1" outlineLevel="2" x14ac:dyDescent="0.25">
      <c r="A181" s="28"/>
      <c r="B181" s="11" t="str">
        <f>CONCATENATE("          ", "6321", " - ", "BUILDING DEPRECIATION")</f>
        <v xml:space="preserve">          6321 - BUILDING DEPRECIATION</v>
      </c>
      <c r="C181" s="11"/>
      <c r="D181" s="7">
        <v>16396.52</v>
      </c>
      <c r="E181" s="2"/>
      <c r="F181" s="6">
        <f t="shared" si="48"/>
        <v>4.4417575137912661E-2</v>
      </c>
      <c r="G181" s="2"/>
      <c r="H181" s="7">
        <v>16396.52</v>
      </c>
      <c r="I181" s="2"/>
      <c r="J181" s="6">
        <f t="shared" si="49"/>
        <v>1.5083372731676105E-2</v>
      </c>
      <c r="K181" s="2"/>
      <c r="L181" s="7">
        <f t="shared" si="50"/>
        <v>0</v>
      </c>
      <c r="M181" s="2"/>
      <c r="N181" s="6">
        <f t="shared" si="51"/>
        <v>0</v>
      </c>
      <c r="O181" s="11"/>
      <c r="P181" s="7">
        <v>49189.56</v>
      </c>
      <c r="Q181" s="2"/>
      <c r="R181" s="6">
        <f t="shared" si="52"/>
        <v>2.2421045818913191E-2</v>
      </c>
      <c r="S181" s="2"/>
      <c r="T181" s="7">
        <v>49189.56</v>
      </c>
      <c r="U181" s="2"/>
      <c r="V181" s="6">
        <f t="shared" si="53"/>
        <v>1.1875789583201523E-2</v>
      </c>
      <c r="W181" s="2"/>
      <c r="X181" s="7">
        <f t="shared" si="54"/>
        <v>0</v>
      </c>
      <c r="Y181" s="2"/>
      <c r="Z181" s="6">
        <f t="shared" si="55"/>
        <v>0</v>
      </c>
    </row>
    <row r="182" spans="1:26" s="24" customFormat="1" hidden="1" outlineLevel="2" x14ac:dyDescent="0.25">
      <c r="A182" s="28"/>
      <c r="B182" s="11" t="str">
        <f>CONCATENATE("          ", "6322", " - ", "EQUIPMENT DEPRECIATION EXPENSE")</f>
        <v xml:space="preserve">          6322 - EQUIPMENT DEPRECIATION EXPENSE</v>
      </c>
      <c r="C182" s="11"/>
      <c r="D182" s="7">
        <v>14670.32</v>
      </c>
      <c r="E182" s="2"/>
      <c r="F182" s="6">
        <f t="shared" si="48"/>
        <v>3.9741362246209735E-2</v>
      </c>
      <c r="G182" s="2"/>
      <c r="H182" s="7">
        <v>13210.91</v>
      </c>
      <c r="I182" s="2"/>
      <c r="J182" s="6">
        <f t="shared" si="49"/>
        <v>1.2152888518699525E-2</v>
      </c>
      <c r="K182" s="2"/>
      <c r="L182" s="7">
        <f t="shared" si="50"/>
        <v>1459.4099999999999</v>
      </c>
      <c r="M182" s="2"/>
      <c r="N182" s="6">
        <f t="shared" si="51"/>
        <v>0.11047005845925828</v>
      </c>
      <c r="O182" s="11"/>
      <c r="P182" s="7">
        <v>43313.47</v>
      </c>
      <c r="Q182" s="2"/>
      <c r="R182" s="6">
        <f t="shared" si="52"/>
        <v>1.9742670913220652E-2</v>
      </c>
      <c r="S182" s="2"/>
      <c r="T182" s="7">
        <v>39632.729999999996</v>
      </c>
      <c r="U182" s="2"/>
      <c r="V182" s="6">
        <f t="shared" si="53"/>
        <v>9.5684930316074883E-3</v>
      </c>
      <c r="W182" s="2"/>
      <c r="X182" s="7">
        <f t="shared" si="54"/>
        <v>3680.7400000000052</v>
      </c>
      <c r="Y182" s="2"/>
      <c r="Z182" s="6">
        <f t="shared" si="55"/>
        <v>9.2871220327239767E-2</v>
      </c>
    </row>
    <row r="183" spans="1:26" s="27" customFormat="1" outlineLevel="1" collapsed="1" x14ac:dyDescent="0.25">
      <c r="A183" s="29"/>
      <c r="B183" s="14" t="str">
        <f>CONCATENATE("     ","Discounts and Markdowns                           ")</f>
        <v xml:space="preserve">     Discounts and Markdowns                           </v>
      </c>
      <c r="C183" s="14"/>
      <c r="D183" s="1">
        <f>SUM(OSRRefD22_6x_0)</f>
        <v>830.95</v>
      </c>
      <c r="E183" s="1"/>
      <c r="F183" s="5">
        <f t="shared" ref="F183:F185" si="56">IF(D$12=0,0,D183/D$12)</f>
        <v>2.2510132675011849E-3</v>
      </c>
      <c r="G183" s="1"/>
      <c r="H183" s="1">
        <f>SUM(OSRRefH22_6x_0)</f>
        <v>4945.33</v>
      </c>
      <c r="I183" s="1"/>
      <c r="J183" s="5">
        <f t="shared" ref="J183:J185" si="57">IF(H$12=0,0,H183/H$12)</f>
        <v>4.5492736062981527E-3</v>
      </c>
      <c r="K183" s="1"/>
      <c r="L183" s="1">
        <f t="shared" ref="L183:L185" si="58">+D183-H183</f>
        <v>-4114.38</v>
      </c>
      <c r="M183" s="1"/>
      <c r="N183" s="5">
        <f t="shared" ref="N183:N185" si="59">IF(H183=0,0,L183/H183)</f>
        <v>-0.83197279049123118</v>
      </c>
      <c r="O183" s="14"/>
      <c r="P183" s="1">
        <f>SUM(OSRRefP22_6x_0)</f>
        <v>830.95</v>
      </c>
      <c r="Q183" s="1"/>
      <c r="R183" s="5">
        <f t="shared" ref="R183:R185" si="60">IF(P$12=0,0,P183/P$12)</f>
        <v>3.787545166743902E-4</v>
      </c>
      <c r="S183" s="1"/>
      <c r="T183" s="1">
        <f>SUM(OSRRefT22_6x_0)</f>
        <v>64028.740000000005</v>
      </c>
      <c r="U183" s="1"/>
      <c r="V183" s="5">
        <f t="shared" ref="V183:V185" si="61">IF(T$12=0,0,T183/T$12)</f>
        <v>1.5458398967535363E-2</v>
      </c>
      <c r="W183" s="1"/>
      <c r="X183" s="1">
        <f t="shared" ref="X183:X185" si="62">+P183-T183</f>
        <v>-63197.790000000008</v>
      </c>
      <c r="Y183" s="1"/>
      <c r="Z183" s="5">
        <f t="shared" ref="Z183:Z185" si="63">IF(T183=0,0,X183/T183)</f>
        <v>-0.98702223407800938</v>
      </c>
    </row>
    <row r="184" spans="1:26" s="24" customFormat="1" hidden="1" outlineLevel="2" x14ac:dyDescent="0.25">
      <c r="A184" s="28"/>
      <c r="B184" s="11" t="str">
        <f>CONCATENATE("          ", "6382", " - ", "DISCOUNTS/MARK DOWNS")</f>
        <v xml:space="preserve">          6382 - DISCOUNTS/MARK DOWNS</v>
      </c>
      <c r="C184" s="11"/>
      <c r="D184" s="7">
        <v>830.95</v>
      </c>
      <c r="E184" s="2"/>
      <c r="F184" s="6">
        <f t="shared" si="56"/>
        <v>2.2510132675011849E-3</v>
      </c>
      <c r="G184" s="2"/>
      <c r="H184" s="7">
        <v>5343.63</v>
      </c>
      <c r="I184" s="2"/>
      <c r="J184" s="6">
        <f t="shared" si="57"/>
        <v>4.9156749743339669E-3</v>
      </c>
      <c r="K184" s="2"/>
      <c r="L184" s="7">
        <f t="shared" si="58"/>
        <v>-4512.68</v>
      </c>
      <c r="M184" s="2"/>
      <c r="N184" s="6">
        <f t="shared" si="59"/>
        <v>-0.84449709280021268</v>
      </c>
      <c r="O184" s="11"/>
      <c r="P184" s="7">
        <v>830.95</v>
      </c>
      <c r="Q184" s="2"/>
      <c r="R184" s="6">
        <f t="shared" si="60"/>
        <v>3.787545166743902E-4</v>
      </c>
      <c r="S184" s="2"/>
      <c r="T184" s="7">
        <v>65676.600000000006</v>
      </c>
      <c r="U184" s="2"/>
      <c r="V184" s="6">
        <f t="shared" si="61"/>
        <v>1.5856240270091727E-2</v>
      </c>
      <c r="W184" s="2"/>
      <c r="X184" s="7">
        <f t="shared" si="62"/>
        <v>-64845.650000000009</v>
      </c>
      <c r="Y184" s="2"/>
      <c r="Z184" s="6">
        <f t="shared" si="63"/>
        <v>-0.987347852964374</v>
      </c>
    </row>
    <row r="185" spans="1:26" s="24" customFormat="1" hidden="1" outlineLevel="2" x14ac:dyDescent="0.25">
      <c r="A185" s="28"/>
      <c r="B185" s="11" t="str">
        <f>CONCATENATE("          ", "9175", " - ", "EARNED DISCOUNTS")</f>
        <v xml:space="preserve">          9175 - EARNED DISCOUNTS</v>
      </c>
      <c r="C185" s="11"/>
      <c r="D185" s="7"/>
      <c r="E185" s="2"/>
      <c r="F185" s="6">
        <f t="shared" si="56"/>
        <v>0</v>
      </c>
      <c r="G185" s="2"/>
      <c r="H185" s="7">
        <v>-398.3</v>
      </c>
      <c r="I185" s="2"/>
      <c r="J185" s="6">
        <f t="shared" si="57"/>
        <v>-3.6640136803581442E-4</v>
      </c>
      <c r="K185" s="2"/>
      <c r="L185" s="7">
        <f t="shared" si="58"/>
        <v>398.3</v>
      </c>
      <c r="M185" s="2"/>
      <c r="N185" s="6">
        <f t="shared" si="59"/>
        <v>-1</v>
      </c>
      <c r="O185" s="11"/>
      <c r="P185" s="7"/>
      <c r="Q185" s="2"/>
      <c r="R185" s="6">
        <f t="shared" si="60"/>
        <v>0</v>
      </c>
      <c r="S185" s="2"/>
      <c r="T185" s="7">
        <v>-1647.86</v>
      </c>
      <c r="U185" s="2"/>
      <c r="V185" s="6">
        <f t="shared" si="61"/>
        <v>-3.978413025563648E-4</v>
      </c>
      <c r="W185" s="2"/>
      <c r="X185" s="7">
        <f t="shared" si="62"/>
        <v>1647.86</v>
      </c>
      <c r="Y185" s="2"/>
      <c r="Z185" s="6">
        <f t="shared" si="63"/>
        <v>-1</v>
      </c>
    </row>
    <row r="186" spans="1:26" s="27" customFormat="1" outlineLevel="1" collapsed="1" x14ac:dyDescent="0.25">
      <c r="A186" s="29"/>
      <c r="B186" s="14" t="str">
        <f>CONCATENATE("     ","Donations                                         ")</f>
        <v xml:space="preserve">     Donations                                         </v>
      </c>
      <c r="C186" s="14"/>
      <c r="D186" s="1">
        <f>SUM(OSRRefD22_7x_0)</f>
        <v>0</v>
      </c>
      <c r="E186" s="1"/>
      <c r="F186" s="5">
        <f t="shared" ref="F186:F194" si="64">IF(D$12=0,0,D186/D$12)</f>
        <v>0</v>
      </c>
      <c r="G186" s="1"/>
      <c r="H186" s="1">
        <f>SUM(OSRRefH22_7x_0)</f>
        <v>1608.36</v>
      </c>
      <c r="I186" s="1"/>
      <c r="J186" s="5">
        <f t="shared" ref="J186:J194" si="65">IF(H$12=0,0,H186/H$12)</f>
        <v>1.4795513539896622E-3</v>
      </c>
      <c r="K186" s="1"/>
      <c r="L186" s="1">
        <f t="shared" ref="L186:L194" si="66">+D186-H186</f>
        <v>-1608.36</v>
      </c>
      <c r="M186" s="1"/>
      <c r="N186" s="5">
        <f t="shared" ref="N186:N194" si="67">IF(H186=0,0,L186/H186)</f>
        <v>-1</v>
      </c>
      <c r="O186" s="14"/>
      <c r="P186" s="1">
        <f>SUM(OSRRefP22_7x_0)</f>
        <v>0</v>
      </c>
      <c r="Q186" s="1"/>
      <c r="R186" s="5">
        <f t="shared" ref="R186:R194" si="68">IF(P$12=0,0,P186/P$12)</f>
        <v>0</v>
      </c>
      <c r="S186" s="1"/>
      <c r="T186" s="1">
        <f>SUM(OSRRefT22_7x_0)</f>
        <v>5225.34</v>
      </c>
      <c r="U186" s="1"/>
      <c r="V186" s="5">
        <f t="shared" ref="V186:V194" si="69">IF(T$12=0,0,T186/T$12)</f>
        <v>1.2615489616228778E-3</v>
      </c>
      <c r="W186" s="1"/>
      <c r="X186" s="1">
        <f t="shared" ref="X186:X194" si="70">+P186-T186</f>
        <v>-5225.34</v>
      </c>
      <c r="Y186" s="1"/>
      <c r="Z186" s="5">
        <f t="shared" ref="Z186:Z194" si="71">IF(T186=0,0,X186/T186)</f>
        <v>-1</v>
      </c>
    </row>
    <row r="187" spans="1:26" s="24" customFormat="1" hidden="1" outlineLevel="2" x14ac:dyDescent="0.25">
      <c r="A187" s="28"/>
      <c r="B187" s="11" t="str">
        <f>CONCATENATE("          ", "6399", " - ", "DONATION-ON CAMPUS")</f>
        <v xml:space="preserve">          6399 - DONATION-ON CAMPUS</v>
      </c>
      <c r="C187" s="11"/>
      <c r="D187" s="7"/>
      <c r="E187" s="2"/>
      <c r="F187" s="6">
        <f t="shared" si="64"/>
        <v>0</v>
      </c>
      <c r="G187" s="2"/>
      <c r="H187" s="7">
        <v>1608.36</v>
      </c>
      <c r="I187" s="2"/>
      <c r="J187" s="6">
        <f t="shared" si="65"/>
        <v>1.4795513539896622E-3</v>
      </c>
      <c r="K187" s="2"/>
      <c r="L187" s="7">
        <f t="shared" si="66"/>
        <v>-1608.36</v>
      </c>
      <c r="M187" s="2"/>
      <c r="N187" s="6">
        <f t="shared" si="67"/>
        <v>-1</v>
      </c>
      <c r="O187" s="11"/>
      <c r="P187" s="7"/>
      <c r="Q187" s="2"/>
      <c r="R187" s="6">
        <f t="shared" si="68"/>
        <v>0</v>
      </c>
      <c r="S187" s="2"/>
      <c r="T187" s="7">
        <v>5225.34</v>
      </c>
      <c r="U187" s="2"/>
      <c r="V187" s="6">
        <f t="shared" si="69"/>
        <v>1.2615489616228778E-3</v>
      </c>
      <c r="W187" s="2"/>
      <c r="X187" s="7">
        <f t="shared" si="70"/>
        <v>-5225.34</v>
      </c>
      <c r="Y187" s="2"/>
      <c r="Z187" s="6">
        <f t="shared" si="71"/>
        <v>-1</v>
      </c>
    </row>
    <row r="188" spans="1:26" s="27" customFormat="1" outlineLevel="1" collapsed="1" x14ac:dyDescent="0.25">
      <c r="A188" s="29"/>
      <c r="B188" s="14" t="str">
        <f>CONCATENATE("     ","Employees' Appreciation                           ")</f>
        <v xml:space="preserve">     Employees' Appreciation                           </v>
      </c>
      <c r="C188" s="14"/>
      <c r="D188" s="1">
        <f>SUM(OSRRefD22_8x_0)</f>
        <v>0</v>
      </c>
      <c r="E188" s="1"/>
      <c r="F188" s="5">
        <f t="shared" si="64"/>
        <v>0</v>
      </c>
      <c r="G188" s="1"/>
      <c r="H188" s="1">
        <f>SUM(OSRRefH22_8x_0)</f>
        <v>134.26</v>
      </c>
      <c r="I188" s="1"/>
      <c r="J188" s="5">
        <f t="shared" si="65"/>
        <v>1.235075261674327E-4</v>
      </c>
      <c r="K188" s="1"/>
      <c r="L188" s="1">
        <f t="shared" si="66"/>
        <v>-134.26</v>
      </c>
      <c r="M188" s="1"/>
      <c r="N188" s="5">
        <f t="shared" si="67"/>
        <v>-1</v>
      </c>
      <c r="O188" s="14"/>
      <c r="P188" s="1">
        <f>SUM(OSRRefP22_8x_0)</f>
        <v>107.7</v>
      </c>
      <c r="Q188" s="1"/>
      <c r="R188" s="5">
        <f t="shared" si="68"/>
        <v>4.9090632945221523E-5</v>
      </c>
      <c r="S188" s="1"/>
      <c r="T188" s="1">
        <f>SUM(OSRRefT22_8x_0)</f>
        <v>585.13</v>
      </c>
      <c r="U188" s="1"/>
      <c r="V188" s="5">
        <f t="shared" si="69"/>
        <v>1.412673900481872E-4</v>
      </c>
      <c r="W188" s="1"/>
      <c r="X188" s="1">
        <f t="shared" si="70"/>
        <v>-477.43</v>
      </c>
      <c r="Y188" s="1"/>
      <c r="Z188" s="5">
        <f t="shared" si="71"/>
        <v>-0.81593833848888286</v>
      </c>
    </row>
    <row r="189" spans="1:26" s="24" customFormat="1" hidden="1" outlineLevel="2" x14ac:dyDescent="0.25">
      <c r="A189" s="28"/>
      <c r="B189" s="11" t="str">
        <f>CONCATENATE("          ", "6277", " - ", "EMPLOYEE APPRECIATION")</f>
        <v xml:space="preserve">          6277 - EMPLOYEE APPRECIATION</v>
      </c>
      <c r="C189" s="11"/>
      <c r="D189" s="7"/>
      <c r="E189" s="2"/>
      <c r="F189" s="6">
        <f t="shared" si="64"/>
        <v>0</v>
      </c>
      <c r="G189" s="2"/>
      <c r="H189" s="7">
        <v>134.26</v>
      </c>
      <c r="I189" s="2"/>
      <c r="J189" s="6">
        <f t="shared" si="65"/>
        <v>1.235075261674327E-4</v>
      </c>
      <c r="K189" s="2"/>
      <c r="L189" s="7">
        <f t="shared" si="66"/>
        <v>-134.26</v>
      </c>
      <c r="M189" s="2"/>
      <c r="N189" s="6">
        <f t="shared" si="67"/>
        <v>-1</v>
      </c>
      <c r="O189" s="11"/>
      <c r="P189" s="7">
        <v>107.7</v>
      </c>
      <c r="Q189" s="2"/>
      <c r="R189" s="6">
        <f t="shared" si="68"/>
        <v>4.9090632945221523E-5</v>
      </c>
      <c r="S189" s="2"/>
      <c r="T189" s="7">
        <v>585.13</v>
      </c>
      <c r="U189" s="2"/>
      <c r="V189" s="6">
        <f t="shared" si="69"/>
        <v>1.412673900481872E-4</v>
      </c>
      <c r="W189" s="2"/>
      <c r="X189" s="7">
        <f t="shared" si="70"/>
        <v>-477.43</v>
      </c>
      <c r="Y189" s="2"/>
      <c r="Z189" s="6">
        <f t="shared" si="71"/>
        <v>-0.81593833848888286</v>
      </c>
    </row>
    <row r="190" spans="1:26" s="27" customFormat="1" outlineLevel="1" collapsed="1" x14ac:dyDescent="0.25">
      <c r="A190" s="29"/>
      <c r="B190" s="14" t="str">
        <f>CONCATENATE("     ","Equipment Rental                                  ")</f>
        <v xml:space="preserve">     Equipment Rental                                  </v>
      </c>
      <c r="C190" s="14"/>
      <c r="D190" s="1">
        <f>SUM(OSRRefD22_9x_0)</f>
        <v>1712.05</v>
      </c>
      <c r="E190" s="1"/>
      <c r="F190" s="5">
        <f t="shared" si="64"/>
        <v>4.6378810573745747E-3</v>
      </c>
      <c r="G190" s="1"/>
      <c r="H190" s="1">
        <f>SUM(OSRRefH22_9x_0)</f>
        <v>1296.9000000000001</v>
      </c>
      <c r="I190" s="1"/>
      <c r="J190" s="5">
        <f t="shared" si="65"/>
        <v>1.1930352352639913E-3</v>
      </c>
      <c r="K190" s="1"/>
      <c r="L190" s="1">
        <f t="shared" si="66"/>
        <v>415.14999999999986</v>
      </c>
      <c r="M190" s="1"/>
      <c r="N190" s="5">
        <f t="shared" si="67"/>
        <v>0.32010949186521692</v>
      </c>
      <c r="O190" s="14"/>
      <c r="P190" s="1">
        <f>SUM(OSRRefP22_9x_0)</f>
        <v>4488.37</v>
      </c>
      <c r="Q190" s="1"/>
      <c r="R190" s="5">
        <f t="shared" si="68"/>
        <v>2.0458395932436762E-3</v>
      </c>
      <c r="S190" s="1"/>
      <c r="T190" s="1">
        <f>SUM(OSRRefT22_9x_0)</f>
        <v>3890.7</v>
      </c>
      <c r="U190" s="1"/>
      <c r="V190" s="5">
        <f t="shared" si="69"/>
        <v>9.3932807147212056E-4</v>
      </c>
      <c r="W190" s="1"/>
      <c r="X190" s="1">
        <f t="shared" si="70"/>
        <v>597.67000000000007</v>
      </c>
      <c r="Y190" s="1"/>
      <c r="Z190" s="5">
        <f t="shared" si="71"/>
        <v>0.15361503071426738</v>
      </c>
    </row>
    <row r="191" spans="1:26" s="24" customFormat="1" hidden="1" outlineLevel="2" x14ac:dyDescent="0.25">
      <c r="A191" s="28"/>
      <c r="B191" s="11" t="str">
        <f>CONCATENATE("          ", "6351", " - ", "EQUIPMENT RENTAL")</f>
        <v xml:space="preserve">          6351 - EQUIPMENT RENTAL</v>
      </c>
      <c r="C191" s="11"/>
      <c r="D191" s="7">
        <v>1712.05</v>
      </c>
      <c r="E191" s="2"/>
      <c r="F191" s="6">
        <f t="shared" si="64"/>
        <v>4.6378810573745747E-3</v>
      </c>
      <c r="G191" s="2"/>
      <c r="H191" s="7">
        <v>1296.9000000000001</v>
      </c>
      <c r="I191" s="2"/>
      <c r="J191" s="6">
        <f t="shared" si="65"/>
        <v>1.1930352352639913E-3</v>
      </c>
      <c r="K191" s="2"/>
      <c r="L191" s="7">
        <f t="shared" si="66"/>
        <v>415.14999999999986</v>
      </c>
      <c r="M191" s="2"/>
      <c r="N191" s="6">
        <f t="shared" si="67"/>
        <v>0.32010949186521692</v>
      </c>
      <c r="O191" s="11"/>
      <c r="P191" s="7">
        <v>4488.37</v>
      </c>
      <c r="Q191" s="2"/>
      <c r="R191" s="6">
        <f t="shared" si="68"/>
        <v>2.0458395932436762E-3</v>
      </c>
      <c r="S191" s="2"/>
      <c r="T191" s="7">
        <v>3890.7</v>
      </c>
      <c r="U191" s="2"/>
      <c r="V191" s="6">
        <f t="shared" si="69"/>
        <v>9.3932807147212056E-4</v>
      </c>
      <c r="W191" s="2"/>
      <c r="X191" s="7">
        <f t="shared" si="70"/>
        <v>597.67000000000007</v>
      </c>
      <c r="Y191" s="2"/>
      <c r="Z191" s="6">
        <f t="shared" si="71"/>
        <v>0.15361503071426738</v>
      </c>
    </row>
    <row r="192" spans="1:26" s="27" customFormat="1" outlineLevel="1" collapsed="1" x14ac:dyDescent="0.25">
      <c r="A192" s="29"/>
      <c r="B192" s="14" t="str">
        <f>CONCATENATE("     ","Freight out/Postage                               ")</f>
        <v xml:space="preserve">     Freight out/Postage                               </v>
      </c>
      <c r="C192" s="14"/>
      <c r="D192" s="1">
        <f>SUM(OSRRefD22_10x_0)</f>
        <v>-5939.64</v>
      </c>
      <c r="E192" s="1"/>
      <c r="F192" s="5">
        <f t="shared" si="64"/>
        <v>-1.6090268300355901E-2</v>
      </c>
      <c r="G192" s="1"/>
      <c r="H192" s="1">
        <f>SUM(OSRRefH22_10x_0)</f>
        <v>9425.0299999999988</v>
      </c>
      <c r="I192" s="1"/>
      <c r="J192" s="5">
        <f t="shared" si="65"/>
        <v>8.6702080988666618E-3</v>
      </c>
      <c r="K192" s="1"/>
      <c r="L192" s="1">
        <f t="shared" si="66"/>
        <v>-15364.669999999998</v>
      </c>
      <c r="M192" s="1"/>
      <c r="N192" s="5">
        <f t="shared" si="67"/>
        <v>-1.6301985245670305</v>
      </c>
      <c r="O192" s="14"/>
      <c r="P192" s="1">
        <f>SUM(OSRRefP22_10x_0)</f>
        <v>-80751.510000000009</v>
      </c>
      <c r="Q192" s="1"/>
      <c r="R192" s="5">
        <f t="shared" si="68"/>
        <v>-3.6807267754711104E-2</v>
      </c>
      <c r="S192" s="1"/>
      <c r="T192" s="1">
        <f>SUM(OSRRefT22_10x_0)</f>
        <v>-5710.8099999999995</v>
      </c>
      <c r="U192" s="1"/>
      <c r="V192" s="5">
        <f t="shared" si="69"/>
        <v>-1.3787555308411598E-3</v>
      </c>
      <c r="W192" s="1"/>
      <c r="X192" s="1">
        <f t="shared" si="70"/>
        <v>-75040.700000000012</v>
      </c>
      <c r="Y192" s="1"/>
      <c r="Z192" s="5">
        <f t="shared" si="71"/>
        <v>13.140114974933507</v>
      </c>
    </row>
    <row r="193" spans="1:26" s="24" customFormat="1" hidden="1" outlineLevel="2" x14ac:dyDescent="0.25">
      <c r="A193" s="28"/>
      <c r="B193" s="11" t="str">
        <f>CONCATENATE("          ", "6305", " - ", "FREIGHT OUT")</f>
        <v xml:space="preserve">          6305 - FREIGHT OUT</v>
      </c>
      <c r="C193" s="11"/>
      <c r="D193" s="7">
        <v>5328.45</v>
      </c>
      <c r="E193" s="2"/>
      <c r="F193" s="6">
        <f t="shared" si="64"/>
        <v>1.4434576864091326E-2</v>
      </c>
      <c r="G193" s="2"/>
      <c r="H193" s="7">
        <v>10653.47</v>
      </c>
      <c r="I193" s="2"/>
      <c r="J193" s="6">
        <f t="shared" si="65"/>
        <v>9.8002660866897007E-3</v>
      </c>
      <c r="K193" s="2"/>
      <c r="L193" s="7">
        <f t="shared" si="66"/>
        <v>-5325.0199999999995</v>
      </c>
      <c r="M193" s="2"/>
      <c r="N193" s="6">
        <f t="shared" si="67"/>
        <v>-0.49983901958704535</v>
      </c>
      <c r="O193" s="11"/>
      <c r="P193" s="7">
        <v>25658.06</v>
      </c>
      <c r="Q193" s="2"/>
      <c r="R193" s="6">
        <f t="shared" si="68"/>
        <v>1.1695175538964445E-2</v>
      </c>
      <c r="S193" s="2"/>
      <c r="T193" s="7">
        <v>14931.230000000001</v>
      </c>
      <c r="U193" s="2"/>
      <c r="V193" s="6">
        <f t="shared" si="69"/>
        <v>3.6048329299629045E-3</v>
      </c>
      <c r="W193" s="2"/>
      <c r="X193" s="7">
        <f t="shared" si="70"/>
        <v>10726.83</v>
      </c>
      <c r="Y193" s="2"/>
      <c r="Z193" s="6">
        <f t="shared" si="71"/>
        <v>0.71841569649653769</v>
      </c>
    </row>
    <row r="194" spans="1:26" s="24" customFormat="1" hidden="1" outlineLevel="2" x14ac:dyDescent="0.25">
      <c r="A194" s="28"/>
      <c r="B194" s="11" t="str">
        <f>CONCATENATE("          ", "6307", " - ", "POSTAGE")</f>
        <v xml:space="preserve">          6307 - POSTAGE</v>
      </c>
      <c r="C194" s="11"/>
      <c r="D194" s="7">
        <v>-11268.09</v>
      </c>
      <c r="E194" s="2"/>
      <c r="F194" s="6">
        <f t="shared" si="64"/>
        <v>-3.0524845164447229E-2</v>
      </c>
      <c r="G194" s="2"/>
      <c r="H194" s="7">
        <v>-1228.44</v>
      </c>
      <c r="I194" s="2"/>
      <c r="J194" s="6">
        <f t="shared" si="65"/>
        <v>-1.1300579878230376E-3</v>
      </c>
      <c r="K194" s="2"/>
      <c r="L194" s="7">
        <f t="shared" si="66"/>
        <v>-10039.65</v>
      </c>
      <c r="M194" s="2"/>
      <c r="N194" s="6">
        <f t="shared" si="67"/>
        <v>8.1726824264921358</v>
      </c>
      <c r="O194" s="11"/>
      <c r="P194" s="7">
        <v>-106409.57</v>
      </c>
      <c r="Q194" s="2"/>
      <c r="R194" s="6">
        <f t="shared" si="68"/>
        <v>-4.8502443293675548E-2</v>
      </c>
      <c r="S194" s="2"/>
      <c r="T194" s="7">
        <v>-20642.04</v>
      </c>
      <c r="U194" s="2"/>
      <c r="V194" s="6">
        <f t="shared" si="69"/>
        <v>-4.9835884608040648E-3</v>
      </c>
      <c r="W194" s="2"/>
      <c r="X194" s="7">
        <f t="shared" si="70"/>
        <v>-85767.53</v>
      </c>
      <c r="Y194" s="2"/>
      <c r="Z194" s="6">
        <f t="shared" si="71"/>
        <v>4.1549929173666937</v>
      </c>
    </row>
    <row r="195" spans="1:26" s="27" customFormat="1" outlineLevel="1" collapsed="1" x14ac:dyDescent="0.25">
      <c r="A195" s="29"/>
      <c r="B195" s="14" t="str">
        <f>CONCATENATE("     ","General                                           ")</f>
        <v xml:space="preserve">     General                                           </v>
      </c>
      <c r="C195" s="14"/>
      <c r="D195" s="1">
        <f>SUM(OSRRefD22_11x_0)</f>
        <v>0</v>
      </c>
      <c r="E195" s="1"/>
      <c r="F195" s="5">
        <f t="shared" ref="F195:F209" si="72">IF(D$12=0,0,D195/D$12)</f>
        <v>0</v>
      </c>
      <c r="G195" s="1"/>
      <c r="H195" s="1">
        <f>SUM(OSRRefH22_11x_0)</f>
        <v>-1366.16</v>
      </c>
      <c r="I195" s="1"/>
      <c r="J195" s="5">
        <f t="shared" ref="J195:J209" si="73">IF(H$12=0,0,H195/H$12)</f>
        <v>-1.2567484131453886E-3</v>
      </c>
      <c r="K195" s="1"/>
      <c r="L195" s="1">
        <f t="shared" ref="L195:L209" si="74">+D195-H195</f>
        <v>1366.16</v>
      </c>
      <c r="M195" s="1"/>
      <c r="N195" s="5">
        <f t="shared" ref="N195:N209" si="75">IF(H195=0,0,L195/H195)</f>
        <v>-1</v>
      </c>
      <c r="O195" s="14"/>
      <c r="P195" s="1">
        <f>SUM(OSRRefP22_11x_0)</f>
        <v>-3206.83</v>
      </c>
      <c r="Q195" s="1"/>
      <c r="R195" s="5">
        <f t="shared" ref="R195:R209" si="76">IF(P$12=0,0,P195/P$12)</f>
        <v>-1.4617020840085862E-3</v>
      </c>
      <c r="S195" s="1"/>
      <c r="T195" s="1">
        <f>SUM(OSRRefT22_11x_0)</f>
        <v>-15701.74</v>
      </c>
      <c r="U195" s="1"/>
      <c r="V195" s="5">
        <f t="shared" ref="V195:V209" si="77">IF(T$12=0,0,T195/T$12)</f>
        <v>-3.7908564404751472E-3</v>
      </c>
      <c r="W195" s="1"/>
      <c r="X195" s="1">
        <f t="shared" ref="X195:X209" si="78">+P195-T195</f>
        <v>12494.91</v>
      </c>
      <c r="Y195" s="1"/>
      <c r="Z195" s="5">
        <f t="shared" ref="Z195:Z209" si="79">IF(T195=0,0,X195/T195)</f>
        <v>-0.7957659469587447</v>
      </c>
    </row>
    <row r="196" spans="1:26" s="24" customFormat="1" hidden="1" outlineLevel="2" x14ac:dyDescent="0.25">
      <c r="A196" s="28"/>
      <c r="B196" s="11" t="str">
        <f>CONCATENATE("          ", "6279", " - ", "GENERAL EXPENSE")</f>
        <v xml:space="preserve">          6279 - GENERAL EXPENSE</v>
      </c>
      <c r="C196" s="11"/>
      <c r="D196" s="7"/>
      <c r="E196" s="2"/>
      <c r="F196" s="6">
        <f t="shared" si="72"/>
        <v>0</v>
      </c>
      <c r="G196" s="2"/>
      <c r="H196" s="7">
        <v>-1366.16</v>
      </c>
      <c r="I196" s="2"/>
      <c r="J196" s="6">
        <f t="shared" si="73"/>
        <v>-1.2567484131453886E-3</v>
      </c>
      <c r="K196" s="2"/>
      <c r="L196" s="7">
        <f t="shared" si="74"/>
        <v>1366.16</v>
      </c>
      <c r="M196" s="2"/>
      <c r="N196" s="6">
        <f t="shared" si="75"/>
        <v>-1</v>
      </c>
      <c r="O196" s="11"/>
      <c r="P196" s="7">
        <v>-3206.83</v>
      </c>
      <c r="Q196" s="2"/>
      <c r="R196" s="6">
        <f t="shared" si="76"/>
        <v>-1.4617020840085862E-3</v>
      </c>
      <c r="S196" s="2"/>
      <c r="T196" s="7">
        <v>-15701.74</v>
      </c>
      <c r="U196" s="2"/>
      <c r="V196" s="6">
        <f t="shared" si="77"/>
        <v>-3.7908564404751472E-3</v>
      </c>
      <c r="W196" s="2"/>
      <c r="X196" s="7">
        <f t="shared" si="78"/>
        <v>12494.91</v>
      </c>
      <c r="Y196" s="2"/>
      <c r="Z196" s="6">
        <f t="shared" si="79"/>
        <v>-0.7957659469587447</v>
      </c>
    </row>
    <row r="197" spans="1:26" s="27" customFormat="1" outlineLevel="1" collapsed="1" x14ac:dyDescent="0.25">
      <c r="A197" s="29"/>
      <c r="B197" s="14" t="str">
        <f>CONCATENATE("     ","Insurance                                         ")</f>
        <v xml:space="preserve">     Insurance                                         </v>
      </c>
      <c r="C197" s="14"/>
      <c r="D197" s="1">
        <f>SUM(OSRRefD22_12x_0)</f>
        <v>4044.74</v>
      </c>
      <c r="E197" s="1"/>
      <c r="F197" s="5">
        <f t="shared" si="72"/>
        <v>1.0957053256625238E-2</v>
      </c>
      <c r="G197" s="1"/>
      <c r="H197" s="1">
        <f>SUM(OSRRefH22_12x_0)</f>
        <v>4044.74</v>
      </c>
      <c r="I197" s="1"/>
      <c r="J197" s="5">
        <f t="shared" si="73"/>
        <v>3.7208091120993722E-3</v>
      </c>
      <c r="K197" s="1"/>
      <c r="L197" s="1">
        <f t="shared" si="74"/>
        <v>0</v>
      </c>
      <c r="M197" s="1"/>
      <c r="N197" s="5">
        <f t="shared" si="75"/>
        <v>0</v>
      </c>
      <c r="O197" s="14"/>
      <c r="P197" s="1">
        <f>SUM(OSRRefP22_12x_0)</f>
        <v>12134.22</v>
      </c>
      <c r="Q197" s="1"/>
      <c r="R197" s="5">
        <f t="shared" si="76"/>
        <v>5.5308870946756353E-3</v>
      </c>
      <c r="S197" s="1"/>
      <c r="T197" s="1">
        <f>SUM(OSRRefT22_12x_0)</f>
        <v>12134.22</v>
      </c>
      <c r="U197" s="1"/>
      <c r="V197" s="5">
        <f t="shared" si="77"/>
        <v>2.9295534149172218E-3</v>
      </c>
      <c r="W197" s="1"/>
      <c r="X197" s="1">
        <f t="shared" si="78"/>
        <v>0</v>
      </c>
      <c r="Y197" s="1"/>
      <c r="Z197" s="5">
        <f t="shared" si="79"/>
        <v>0</v>
      </c>
    </row>
    <row r="198" spans="1:26" s="24" customFormat="1" hidden="1" outlineLevel="2" x14ac:dyDescent="0.25">
      <c r="A198" s="28"/>
      <c r="B198" s="11" t="str">
        <f>CONCATENATE("          ", "6314", " - ", "LIABILITY INSURANCE")</f>
        <v xml:space="preserve">          6314 - LIABILITY INSURANCE</v>
      </c>
      <c r="C198" s="11"/>
      <c r="D198" s="7">
        <v>4044.74</v>
      </c>
      <c r="E198" s="2"/>
      <c r="F198" s="6">
        <f t="shared" si="72"/>
        <v>1.0957053256625238E-2</v>
      </c>
      <c r="G198" s="2"/>
      <c r="H198" s="7">
        <v>4044.74</v>
      </c>
      <c r="I198" s="2"/>
      <c r="J198" s="6">
        <f t="shared" si="73"/>
        <v>3.7208091120993722E-3</v>
      </c>
      <c r="K198" s="2"/>
      <c r="L198" s="7">
        <f t="shared" si="74"/>
        <v>0</v>
      </c>
      <c r="M198" s="2"/>
      <c r="N198" s="6">
        <f t="shared" si="75"/>
        <v>0</v>
      </c>
      <c r="O198" s="11"/>
      <c r="P198" s="7">
        <v>12134.22</v>
      </c>
      <c r="Q198" s="2"/>
      <c r="R198" s="6">
        <f t="shared" si="76"/>
        <v>5.5308870946756353E-3</v>
      </c>
      <c r="S198" s="2"/>
      <c r="T198" s="7">
        <v>12134.22</v>
      </c>
      <c r="U198" s="2"/>
      <c r="V198" s="6">
        <f t="shared" si="77"/>
        <v>2.9295534149172218E-3</v>
      </c>
      <c r="W198" s="2"/>
      <c r="X198" s="7">
        <f t="shared" si="78"/>
        <v>0</v>
      </c>
      <c r="Y198" s="2"/>
      <c r="Z198" s="6">
        <f t="shared" si="79"/>
        <v>0</v>
      </c>
    </row>
    <row r="199" spans="1:26" s="27" customFormat="1" outlineLevel="1" collapsed="1" x14ac:dyDescent="0.25">
      <c r="A199" s="29"/>
      <c r="B199" s="14" t="str">
        <f>CONCATENATE("     ","Inventory Adjustment                              ")</f>
        <v xml:space="preserve">     Inventory Adjustment                              </v>
      </c>
      <c r="C199" s="14"/>
      <c r="D199" s="1">
        <f>SUM(OSRRefD22_13x_0)</f>
        <v>2100</v>
      </c>
      <c r="E199" s="1"/>
      <c r="F199" s="5">
        <f t="shared" si="72"/>
        <v>5.6888234692249687E-3</v>
      </c>
      <c r="G199" s="1"/>
      <c r="H199" s="1">
        <f>SUM(OSRRefH22_13x_0)</f>
        <v>4250</v>
      </c>
      <c r="I199" s="1"/>
      <c r="J199" s="5">
        <f t="shared" si="73"/>
        <v>3.9096304648561673E-3</v>
      </c>
      <c r="K199" s="1"/>
      <c r="L199" s="1">
        <f t="shared" si="74"/>
        <v>-2150</v>
      </c>
      <c r="M199" s="1"/>
      <c r="N199" s="5">
        <f t="shared" si="75"/>
        <v>-0.50588235294117645</v>
      </c>
      <c r="O199" s="14"/>
      <c r="P199" s="1">
        <f>SUM(OSRRefP22_13x_0)</f>
        <v>6300</v>
      </c>
      <c r="Q199" s="1"/>
      <c r="R199" s="5">
        <f t="shared" si="76"/>
        <v>2.8715969132302285E-3</v>
      </c>
      <c r="S199" s="1"/>
      <c r="T199" s="1">
        <f>SUM(OSRRefT22_13x_0)</f>
        <v>12650</v>
      </c>
      <c r="U199" s="1"/>
      <c r="V199" s="5">
        <f t="shared" si="77"/>
        <v>3.0540776991601322E-3</v>
      </c>
      <c r="W199" s="1"/>
      <c r="X199" s="1">
        <f t="shared" si="78"/>
        <v>-6350</v>
      </c>
      <c r="Y199" s="1"/>
      <c r="Z199" s="5">
        <f t="shared" si="79"/>
        <v>-0.50197628458498023</v>
      </c>
    </row>
    <row r="200" spans="1:26" s="24" customFormat="1" hidden="1" outlineLevel="2" x14ac:dyDescent="0.25">
      <c r="A200" s="28"/>
      <c r="B200" s="11" t="str">
        <f>CONCATENATE("          ", "6408", " - ", "INVENTORY ADJUSTMENT")</f>
        <v xml:space="preserve">          6408 - INVENTORY ADJUSTMENT</v>
      </c>
      <c r="C200" s="11"/>
      <c r="D200" s="7">
        <v>2100</v>
      </c>
      <c r="E200" s="2"/>
      <c r="F200" s="6">
        <f t="shared" si="72"/>
        <v>5.6888234692249687E-3</v>
      </c>
      <c r="G200" s="2"/>
      <c r="H200" s="7">
        <v>4250</v>
      </c>
      <c r="I200" s="2"/>
      <c r="J200" s="6">
        <f t="shared" si="73"/>
        <v>3.9096304648561673E-3</v>
      </c>
      <c r="K200" s="2"/>
      <c r="L200" s="7">
        <f t="shared" si="74"/>
        <v>-2150</v>
      </c>
      <c r="M200" s="2"/>
      <c r="N200" s="6">
        <f t="shared" si="75"/>
        <v>-0.50588235294117645</v>
      </c>
      <c r="O200" s="11"/>
      <c r="P200" s="7">
        <v>6300</v>
      </c>
      <c r="Q200" s="2"/>
      <c r="R200" s="6">
        <f t="shared" si="76"/>
        <v>2.8715969132302285E-3</v>
      </c>
      <c r="S200" s="2"/>
      <c r="T200" s="7">
        <v>12650</v>
      </c>
      <c r="U200" s="2"/>
      <c r="V200" s="6">
        <f t="shared" si="77"/>
        <v>3.0540776991601322E-3</v>
      </c>
      <c r="W200" s="2"/>
      <c r="X200" s="7">
        <f t="shared" si="78"/>
        <v>-6350</v>
      </c>
      <c r="Y200" s="2"/>
      <c r="Z200" s="6">
        <f t="shared" si="79"/>
        <v>-0.50197628458498023</v>
      </c>
    </row>
    <row r="201" spans="1:26" s="27" customFormat="1" outlineLevel="1" collapsed="1" x14ac:dyDescent="0.25">
      <c r="A201" s="29"/>
      <c r="B201" s="14" t="str">
        <f>CONCATENATE("     ","Professional Services                             ")</f>
        <v xml:space="preserve">     Professional Services                             </v>
      </c>
      <c r="C201" s="14"/>
      <c r="D201" s="1">
        <f>SUM(OSRRefD22_14x_0)</f>
        <v>0</v>
      </c>
      <c r="E201" s="1"/>
      <c r="F201" s="5">
        <f t="shared" si="72"/>
        <v>0</v>
      </c>
      <c r="G201" s="1"/>
      <c r="H201" s="1">
        <f>SUM(OSRRefH22_14x_0)</f>
        <v>0</v>
      </c>
      <c r="I201" s="1"/>
      <c r="J201" s="5">
        <f t="shared" si="73"/>
        <v>0</v>
      </c>
      <c r="K201" s="1"/>
      <c r="L201" s="1">
        <f t="shared" si="74"/>
        <v>0</v>
      </c>
      <c r="M201" s="1"/>
      <c r="N201" s="5">
        <f t="shared" si="75"/>
        <v>0</v>
      </c>
      <c r="O201" s="14"/>
      <c r="P201" s="1">
        <f>SUM(OSRRefP22_14x_0)</f>
        <v>0</v>
      </c>
      <c r="Q201" s="1"/>
      <c r="R201" s="5">
        <f t="shared" si="76"/>
        <v>0</v>
      </c>
      <c r="S201" s="1"/>
      <c r="T201" s="1">
        <f>SUM(OSRRefT22_14x_0)</f>
        <v>6158.41</v>
      </c>
      <c r="U201" s="1"/>
      <c r="V201" s="5">
        <f t="shared" si="77"/>
        <v>1.4868191812873318E-3</v>
      </c>
      <c r="W201" s="1"/>
      <c r="X201" s="1">
        <f t="shared" si="78"/>
        <v>-6158.41</v>
      </c>
      <c r="Y201" s="1"/>
      <c r="Z201" s="5">
        <f t="shared" si="79"/>
        <v>-1</v>
      </c>
    </row>
    <row r="202" spans="1:26" s="24" customFormat="1" hidden="1" outlineLevel="2" x14ac:dyDescent="0.25">
      <c r="A202" s="28"/>
      <c r="B202" s="11" t="str">
        <f>CONCATENATE("          ", "6336", " - ", "PROFESSIONAL SERVICES")</f>
        <v xml:space="preserve">          6336 - PROFESSIONAL SERVICES</v>
      </c>
      <c r="C202" s="11"/>
      <c r="D202" s="7"/>
      <c r="E202" s="2"/>
      <c r="F202" s="6">
        <f t="shared" si="72"/>
        <v>0</v>
      </c>
      <c r="G202" s="2"/>
      <c r="H202" s="7"/>
      <c r="I202" s="2"/>
      <c r="J202" s="6">
        <f t="shared" si="73"/>
        <v>0</v>
      </c>
      <c r="K202" s="2"/>
      <c r="L202" s="7">
        <f t="shared" si="74"/>
        <v>0</v>
      </c>
      <c r="M202" s="2"/>
      <c r="N202" s="6">
        <f t="shared" si="75"/>
        <v>0</v>
      </c>
      <c r="O202" s="11"/>
      <c r="P202" s="7"/>
      <c r="Q202" s="2"/>
      <c r="R202" s="6">
        <f t="shared" si="76"/>
        <v>0</v>
      </c>
      <c r="S202" s="2"/>
      <c r="T202" s="7">
        <v>6158.41</v>
      </c>
      <c r="U202" s="2"/>
      <c r="V202" s="6">
        <f t="shared" si="77"/>
        <v>1.4868191812873318E-3</v>
      </c>
      <c r="W202" s="2"/>
      <c r="X202" s="7">
        <f t="shared" si="78"/>
        <v>-6158.41</v>
      </c>
      <c r="Y202" s="2"/>
      <c r="Z202" s="6">
        <f t="shared" si="79"/>
        <v>-1</v>
      </c>
    </row>
    <row r="203" spans="1:26" s="27" customFormat="1" outlineLevel="1" collapsed="1" x14ac:dyDescent="0.25">
      <c r="A203" s="29"/>
      <c r="B203" s="14" t="str">
        <f>CONCATENATE("     ","Rent                                              ")</f>
        <v xml:space="preserve">     Rent                                              </v>
      </c>
      <c r="C203" s="14"/>
      <c r="D203" s="1">
        <f>SUM(OSRRefD22_15x_0)</f>
        <v>6100</v>
      </c>
      <c r="E203" s="1"/>
      <c r="F203" s="5">
        <f t="shared" si="72"/>
        <v>1.6524677696320145E-2</v>
      </c>
      <c r="G203" s="1"/>
      <c r="H203" s="1">
        <f>SUM(OSRRefH22_15x_0)</f>
        <v>6100</v>
      </c>
      <c r="I203" s="1"/>
      <c r="J203" s="5">
        <f t="shared" si="73"/>
        <v>5.6114696083817929E-3</v>
      </c>
      <c r="K203" s="1"/>
      <c r="L203" s="1">
        <f t="shared" si="74"/>
        <v>0</v>
      </c>
      <c r="M203" s="1"/>
      <c r="N203" s="5">
        <f t="shared" si="75"/>
        <v>0</v>
      </c>
      <c r="O203" s="14"/>
      <c r="P203" s="1">
        <f>SUM(OSRRefP22_15x_0)</f>
        <v>18300</v>
      </c>
      <c r="Q203" s="1"/>
      <c r="R203" s="5">
        <f t="shared" si="76"/>
        <v>8.3413053193830446E-3</v>
      </c>
      <c r="S203" s="1"/>
      <c r="T203" s="1">
        <f>SUM(OSRRefT22_15x_0)</f>
        <v>18300</v>
      </c>
      <c r="U203" s="1"/>
      <c r="V203" s="5">
        <f t="shared" si="77"/>
        <v>4.4181519284292817E-3</v>
      </c>
      <c r="W203" s="1"/>
      <c r="X203" s="1">
        <f t="shared" si="78"/>
        <v>0</v>
      </c>
      <c r="Y203" s="1"/>
      <c r="Z203" s="5">
        <f t="shared" si="79"/>
        <v>0</v>
      </c>
    </row>
    <row r="204" spans="1:26" s="24" customFormat="1" hidden="1" outlineLevel="2" x14ac:dyDescent="0.25">
      <c r="A204" s="28"/>
      <c r="B204" s="11" t="str">
        <f>CONCATENATE("          ", "6273", " - ", "RENT")</f>
        <v xml:space="preserve">          6273 - RENT</v>
      </c>
      <c r="C204" s="11"/>
      <c r="D204" s="7">
        <v>6100</v>
      </c>
      <c r="E204" s="2"/>
      <c r="F204" s="6">
        <f t="shared" si="72"/>
        <v>1.6524677696320145E-2</v>
      </c>
      <c r="G204" s="2"/>
      <c r="H204" s="7">
        <v>6100</v>
      </c>
      <c r="I204" s="2"/>
      <c r="J204" s="6">
        <f t="shared" si="73"/>
        <v>5.6114696083817929E-3</v>
      </c>
      <c r="K204" s="2"/>
      <c r="L204" s="7">
        <f t="shared" si="74"/>
        <v>0</v>
      </c>
      <c r="M204" s="2"/>
      <c r="N204" s="6">
        <f t="shared" si="75"/>
        <v>0</v>
      </c>
      <c r="O204" s="11"/>
      <c r="P204" s="7">
        <v>18300</v>
      </c>
      <c r="Q204" s="2"/>
      <c r="R204" s="6">
        <f t="shared" si="76"/>
        <v>8.3413053193830446E-3</v>
      </c>
      <c r="S204" s="2"/>
      <c r="T204" s="7">
        <v>18300</v>
      </c>
      <c r="U204" s="2"/>
      <c r="V204" s="6">
        <f t="shared" si="77"/>
        <v>4.4181519284292817E-3</v>
      </c>
      <c r="W204" s="2"/>
      <c r="X204" s="7">
        <f t="shared" si="78"/>
        <v>0</v>
      </c>
      <c r="Y204" s="2"/>
      <c r="Z204" s="6">
        <f t="shared" si="79"/>
        <v>0</v>
      </c>
    </row>
    <row r="205" spans="1:26" s="27" customFormat="1" outlineLevel="1" collapsed="1" x14ac:dyDescent="0.25">
      <c r="A205" s="29"/>
      <c r="B205" s="14" t="str">
        <f>CONCATENATE("     ","Repair and Maintenance                            ")</f>
        <v xml:space="preserve">     Repair and Maintenance                            </v>
      </c>
      <c r="C205" s="14"/>
      <c r="D205" s="1">
        <f>SUM(OSRRefD22_16x_0)</f>
        <v>13339.48</v>
      </c>
      <c r="E205" s="1"/>
      <c r="F205" s="5">
        <f t="shared" si="72"/>
        <v>3.6136165186312894E-2</v>
      </c>
      <c r="G205" s="1"/>
      <c r="H205" s="1">
        <f>SUM(OSRRefH22_16x_0)</f>
        <v>10676.609999999999</v>
      </c>
      <c r="I205" s="1"/>
      <c r="J205" s="5">
        <f t="shared" si="73"/>
        <v>9.8215528746795292E-3</v>
      </c>
      <c r="K205" s="1"/>
      <c r="L205" s="1">
        <f t="shared" si="74"/>
        <v>2662.8700000000008</v>
      </c>
      <c r="M205" s="1"/>
      <c r="N205" s="5">
        <f t="shared" si="75"/>
        <v>0.24941156415753701</v>
      </c>
      <c r="O205" s="14"/>
      <c r="P205" s="1">
        <f>SUM(OSRRefP22_16x_0)</f>
        <v>86392.27</v>
      </c>
      <c r="Q205" s="1"/>
      <c r="R205" s="5">
        <f t="shared" si="76"/>
        <v>3.9378377120468648E-2</v>
      </c>
      <c r="S205" s="1"/>
      <c r="T205" s="1">
        <f>SUM(OSRRefT22_16x_0)</f>
        <v>48354.41</v>
      </c>
      <c r="U205" s="1"/>
      <c r="V205" s="5">
        <f t="shared" si="77"/>
        <v>1.1674160097790173E-2</v>
      </c>
      <c r="W205" s="1"/>
      <c r="X205" s="1">
        <f t="shared" si="78"/>
        <v>38037.86</v>
      </c>
      <c r="Y205" s="1"/>
      <c r="Z205" s="5">
        <f t="shared" si="79"/>
        <v>0.78664717447695043</v>
      </c>
    </row>
    <row r="206" spans="1:26" s="24" customFormat="1" hidden="1" outlineLevel="2" x14ac:dyDescent="0.25">
      <c r="A206" s="28"/>
      <c r="B206" s="11" t="str">
        <f>CONCATENATE("          ", "6371", " - ", "COMPUTER SOFTWARE MAINTENANCE")</f>
        <v xml:space="preserve">          6371 - COMPUTER SOFTWARE MAINTENANCE</v>
      </c>
      <c r="C206" s="11"/>
      <c r="D206" s="7"/>
      <c r="E206" s="2"/>
      <c r="F206" s="6">
        <f t="shared" si="72"/>
        <v>0</v>
      </c>
      <c r="G206" s="2"/>
      <c r="H206" s="7">
        <v>3662.15</v>
      </c>
      <c r="I206" s="2"/>
      <c r="J206" s="6">
        <f t="shared" si="73"/>
        <v>3.3688595780877674E-3</v>
      </c>
      <c r="K206" s="2"/>
      <c r="L206" s="7">
        <f t="shared" si="74"/>
        <v>-3662.15</v>
      </c>
      <c r="M206" s="2"/>
      <c r="N206" s="6">
        <f t="shared" si="75"/>
        <v>-1</v>
      </c>
      <c r="O206" s="11"/>
      <c r="P206" s="7">
        <v>58428.780000000006</v>
      </c>
      <c r="Q206" s="2"/>
      <c r="R206" s="6">
        <f t="shared" si="76"/>
        <v>2.6632365760604463E-2</v>
      </c>
      <c r="S206" s="2"/>
      <c r="T206" s="7">
        <v>12150.4</v>
      </c>
      <c r="U206" s="2"/>
      <c r="V206" s="6">
        <f t="shared" si="77"/>
        <v>2.9334597372233412E-3</v>
      </c>
      <c r="W206" s="2"/>
      <c r="X206" s="7">
        <f t="shared" si="78"/>
        <v>46278.380000000005</v>
      </c>
      <c r="Y206" s="2"/>
      <c r="Z206" s="6">
        <f t="shared" si="79"/>
        <v>3.8087947721885702</v>
      </c>
    </row>
    <row r="207" spans="1:26" s="24" customFormat="1" hidden="1" outlineLevel="2" x14ac:dyDescent="0.25">
      <c r="A207" s="28"/>
      <c r="B207" s="11" t="str">
        <f>CONCATENATE("          ", "6372", " - ", "COMPUTER HARDWARE MAINTENANCE")</f>
        <v xml:space="preserve">          6372 - COMPUTER HARDWARE MAINTENANCE</v>
      </c>
      <c r="C207" s="11"/>
      <c r="D207" s="7">
        <v>-9.09</v>
      </c>
      <c r="E207" s="2"/>
      <c r="F207" s="6">
        <f t="shared" si="72"/>
        <v>-2.4624478731073792E-5</v>
      </c>
      <c r="G207" s="2"/>
      <c r="H207" s="7"/>
      <c r="I207" s="2"/>
      <c r="J207" s="6">
        <f t="shared" si="73"/>
        <v>0</v>
      </c>
      <c r="K207" s="2"/>
      <c r="L207" s="7">
        <f t="shared" si="74"/>
        <v>-9.09</v>
      </c>
      <c r="M207" s="2"/>
      <c r="N207" s="6">
        <f t="shared" si="75"/>
        <v>0</v>
      </c>
      <c r="O207" s="11"/>
      <c r="P207" s="7">
        <v>-8.11</v>
      </c>
      <c r="Q207" s="2"/>
      <c r="R207" s="6">
        <f t="shared" si="76"/>
        <v>-3.6966112644916112E-6</v>
      </c>
      <c r="S207" s="2"/>
      <c r="T207" s="7"/>
      <c r="U207" s="2"/>
      <c r="V207" s="6">
        <f t="shared" si="77"/>
        <v>0</v>
      </c>
      <c r="W207" s="2"/>
      <c r="X207" s="7">
        <f t="shared" si="78"/>
        <v>-8.11</v>
      </c>
      <c r="Y207" s="2"/>
      <c r="Z207" s="6">
        <f t="shared" si="79"/>
        <v>0</v>
      </c>
    </row>
    <row r="208" spans="1:26" s="24" customFormat="1" hidden="1" outlineLevel="2" x14ac:dyDescent="0.25">
      <c r="A208" s="28"/>
      <c r="B208" s="11" t="str">
        <f>CONCATENATE("          ", "6373", " - ", "MAINTENANCE CONTRACTS")</f>
        <v xml:space="preserve">          6373 - MAINTENANCE CONTRACTS</v>
      </c>
      <c r="C208" s="11"/>
      <c r="D208" s="7">
        <v>12402.82</v>
      </c>
      <c r="E208" s="2"/>
      <c r="F208" s="6">
        <f t="shared" si="72"/>
        <v>3.3598787381225154E-2</v>
      </c>
      <c r="G208" s="2"/>
      <c r="H208" s="7">
        <v>6672.75</v>
      </c>
      <c r="I208" s="2"/>
      <c r="J208" s="6">
        <f t="shared" si="73"/>
        <v>6.138349808086821E-3</v>
      </c>
      <c r="K208" s="2"/>
      <c r="L208" s="7">
        <f t="shared" si="74"/>
        <v>5730.07</v>
      </c>
      <c r="M208" s="2"/>
      <c r="N208" s="6">
        <f t="shared" si="75"/>
        <v>0.85872691169308002</v>
      </c>
      <c r="O208" s="11"/>
      <c r="P208" s="7">
        <v>25189.05</v>
      </c>
      <c r="Q208" s="2"/>
      <c r="R208" s="6">
        <f t="shared" si="76"/>
        <v>1.1481396544000299E-2</v>
      </c>
      <c r="S208" s="2"/>
      <c r="T208" s="7">
        <v>19048.190000000002</v>
      </c>
      <c r="U208" s="2"/>
      <c r="V208" s="6">
        <f t="shared" si="77"/>
        <v>4.5987867421632446E-3</v>
      </c>
      <c r="W208" s="2"/>
      <c r="X208" s="7">
        <f t="shared" si="78"/>
        <v>6140.8599999999969</v>
      </c>
      <c r="Y208" s="2"/>
      <c r="Z208" s="6">
        <f t="shared" si="79"/>
        <v>0.32238548649504212</v>
      </c>
    </row>
    <row r="209" spans="1:26" s="24" customFormat="1" hidden="1" outlineLevel="2" x14ac:dyDescent="0.25">
      <c r="A209" s="28"/>
      <c r="B209" s="11" t="str">
        <f>CONCATENATE("          ", "6375", " - ", "OUTSIDE REPAIRS &amp; MAINTENANCE")</f>
        <v xml:space="preserve">          6375 - OUTSIDE REPAIRS &amp; MAINTENANCE</v>
      </c>
      <c r="C209" s="11"/>
      <c r="D209" s="7">
        <v>945.75</v>
      </c>
      <c r="E209" s="2"/>
      <c r="F209" s="6">
        <f t="shared" si="72"/>
        <v>2.5620022838188164E-3</v>
      </c>
      <c r="G209" s="2"/>
      <c r="H209" s="7">
        <v>341.71</v>
      </c>
      <c r="I209" s="2"/>
      <c r="J209" s="6">
        <f t="shared" si="73"/>
        <v>3.1434348850494133E-4</v>
      </c>
      <c r="K209" s="2"/>
      <c r="L209" s="7">
        <f t="shared" si="74"/>
        <v>604.04</v>
      </c>
      <c r="M209" s="2"/>
      <c r="N209" s="6">
        <f t="shared" si="75"/>
        <v>1.7676977554066313</v>
      </c>
      <c r="O209" s="11"/>
      <c r="P209" s="7">
        <v>2782.55</v>
      </c>
      <c r="Q209" s="2"/>
      <c r="R209" s="6">
        <f t="shared" si="76"/>
        <v>1.2683114271283766E-3</v>
      </c>
      <c r="S209" s="2"/>
      <c r="T209" s="7">
        <v>17155.82</v>
      </c>
      <c r="U209" s="2"/>
      <c r="V209" s="6">
        <f t="shared" si="77"/>
        <v>4.1419136184035867E-3</v>
      </c>
      <c r="W209" s="2"/>
      <c r="X209" s="7">
        <f t="shared" si="78"/>
        <v>-14373.27</v>
      </c>
      <c r="Y209" s="2"/>
      <c r="Z209" s="6">
        <f t="shared" si="79"/>
        <v>-0.8378072281010176</v>
      </c>
    </row>
    <row r="210" spans="1:26" s="27" customFormat="1" outlineLevel="1" collapsed="1" x14ac:dyDescent="0.25">
      <c r="A210" s="29"/>
      <c r="B210" s="14" t="str">
        <f>CONCATENATE("     ","Royalty &amp; Commissions                             ")</f>
        <v xml:space="preserve">     Royalty &amp; Commissions                             </v>
      </c>
      <c r="C210" s="14"/>
      <c r="D210" s="1">
        <f>SUM(OSRRefD22_17x_0)</f>
        <v>62.6</v>
      </c>
      <c r="E210" s="1"/>
      <c r="F210" s="5">
        <f t="shared" ref="F210:F213" si="80">IF(D$12=0,0,D210/D$12)</f>
        <v>1.6958111865403953E-4</v>
      </c>
      <c r="G210" s="1"/>
      <c r="H210" s="1">
        <f>SUM(OSRRefH22_17x_0)</f>
        <v>10580.82</v>
      </c>
      <c r="I210" s="1"/>
      <c r="J210" s="5">
        <f t="shared" ref="J210:J213" si="81">IF(H$12=0,0,H210/H$12)</f>
        <v>9.7334344035669238E-3</v>
      </c>
      <c r="K210" s="1"/>
      <c r="L210" s="1">
        <f t="shared" ref="L210:L213" si="82">+D210-H210</f>
        <v>-10518.22</v>
      </c>
      <c r="M210" s="1"/>
      <c r="N210" s="5">
        <f t="shared" ref="N210:N213" si="83">IF(H210=0,0,L210/H210)</f>
        <v>-0.9940836343497006</v>
      </c>
      <c r="O210" s="14"/>
      <c r="P210" s="1">
        <f>SUM(OSRRefP22_17x_0)</f>
        <v>13307</v>
      </c>
      <c r="Q210" s="1"/>
      <c r="R210" s="5">
        <f t="shared" ref="R210:R213" si="84">IF(P$12=0,0,P210/P$12)</f>
        <v>6.0654508133896265E-3</v>
      </c>
      <c r="S210" s="1"/>
      <c r="T210" s="1">
        <f>SUM(OSRRefT22_17x_0)</f>
        <v>19452.440000000002</v>
      </c>
      <c r="U210" s="1"/>
      <c r="V210" s="5">
        <f t="shared" ref="V210:V213" si="85">IF(T$12=0,0,T210/T$12)</f>
        <v>4.696384442549449E-3</v>
      </c>
      <c r="W210" s="1"/>
      <c r="X210" s="1">
        <f t="shared" ref="X210:X213" si="86">+P210-T210</f>
        <v>-6145.4400000000023</v>
      </c>
      <c r="Y210" s="1"/>
      <c r="Z210" s="5">
        <f t="shared" ref="Z210:Z213" si="87">IF(T210=0,0,X210/T210)</f>
        <v>-0.31592129316425094</v>
      </c>
    </row>
    <row r="211" spans="1:26" s="24" customFormat="1" hidden="1" outlineLevel="2" x14ac:dyDescent="0.25">
      <c r="A211" s="28"/>
      <c r="B211" s="11" t="str">
        <f>CONCATENATE("          ", "6253", " - ", "ROYALTY DUE ATHLETICS-LRG")</f>
        <v xml:space="preserve">          6253 - ROYALTY DUE ATHLETICS-LRG</v>
      </c>
      <c r="C211" s="11"/>
      <c r="D211" s="7"/>
      <c r="E211" s="2"/>
      <c r="F211" s="6">
        <f t="shared" si="80"/>
        <v>0</v>
      </c>
      <c r="G211" s="2"/>
      <c r="H211" s="7"/>
      <c r="I211" s="2"/>
      <c r="J211" s="6">
        <f t="shared" si="81"/>
        <v>0</v>
      </c>
      <c r="K211" s="2"/>
      <c r="L211" s="7">
        <f t="shared" si="82"/>
        <v>0</v>
      </c>
      <c r="M211" s="2"/>
      <c r="N211" s="6">
        <f t="shared" si="83"/>
        <v>0</v>
      </c>
      <c r="O211" s="11"/>
      <c r="P211" s="7">
        <v>7922.2</v>
      </c>
      <c r="Q211" s="2"/>
      <c r="R211" s="6">
        <f t="shared" si="84"/>
        <v>3.61101032793532E-3</v>
      </c>
      <c r="S211" s="2"/>
      <c r="T211" s="7">
        <v>4366.95</v>
      </c>
      <c r="U211" s="2"/>
      <c r="V211" s="6">
        <f t="shared" si="85"/>
        <v>1.0543086646914892E-3</v>
      </c>
      <c r="W211" s="2"/>
      <c r="X211" s="7">
        <f t="shared" si="86"/>
        <v>3555.25</v>
      </c>
      <c r="Y211" s="2"/>
      <c r="Z211" s="6">
        <f t="shared" si="87"/>
        <v>0.81412656430689612</v>
      </c>
    </row>
    <row r="212" spans="1:26" s="24" customFormat="1" hidden="1" outlineLevel="2" x14ac:dyDescent="0.25">
      <c r="A212" s="28"/>
      <c r="B212" s="11" t="str">
        <f>CONCATENATE("          ", "6254", " - ", "ROYALTY &amp; COMMISSIONS")</f>
        <v xml:space="preserve">          6254 - ROYALTY &amp; COMMISSIONS</v>
      </c>
      <c r="C212" s="11"/>
      <c r="D212" s="7"/>
      <c r="E212" s="2"/>
      <c r="F212" s="6">
        <f t="shared" si="80"/>
        <v>0</v>
      </c>
      <c r="G212" s="2"/>
      <c r="H212" s="7">
        <v>365.38</v>
      </c>
      <c r="I212" s="2"/>
      <c r="J212" s="6">
        <f t="shared" si="81"/>
        <v>3.3611783041156382E-4</v>
      </c>
      <c r="K212" s="2"/>
      <c r="L212" s="7">
        <f t="shared" si="82"/>
        <v>-365.38</v>
      </c>
      <c r="M212" s="2"/>
      <c r="N212" s="6">
        <f t="shared" si="83"/>
        <v>-1</v>
      </c>
      <c r="O212" s="11"/>
      <c r="P212" s="7"/>
      <c r="Q212" s="2"/>
      <c r="R212" s="6">
        <f t="shared" si="84"/>
        <v>0</v>
      </c>
      <c r="S212" s="2"/>
      <c r="T212" s="7">
        <v>615.87</v>
      </c>
      <c r="U212" s="2"/>
      <c r="V212" s="6">
        <f t="shared" si="85"/>
        <v>1.4868891957167988E-4</v>
      </c>
      <c r="W212" s="2"/>
      <c r="X212" s="7">
        <f t="shared" si="86"/>
        <v>-615.87</v>
      </c>
      <c r="Y212" s="2"/>
      <c r="Z212" s="6">
        <f t="shared" si="87"/>
        <v>-1</v>
      </c>
    </row>
    <row r="213" spans="1:26" s="24" customFormat="1" hidden="1" outlineLevel="2" x14ac:dyDescent="0.25">
      <c r="A213" s="28"/>
      <c r="B213" s="11" t="str">
        <f>CONCATENATE("          ", "6259", " - ", "ROYALTY &amp; COMMISSIONS")</f>
        <v xml:space="preserve">          6259 - ROYALTY &amp; COMMISSIONS</v>
      </c>
      <c r="C213" s="11"/>
      <c r="D213" s="7">
        <v>62.6</v>
      </c>
      <c r="E213" s="2"/>
      <c r="F213" s="6">
        <f t="shared" si="80"/>
        <v>1.6958111865403953E-4</v>
      </c>
      <c r="G213" s="2"/>
      <c r="H213" s="7">
        <v>10215.44</v>
      </c>
      <c r="I213" s="2"/>
      <c r="J213" s="6">
        <f t="shared" si="81"/>
        <v>9.397316573155361E-3</v>
      </c>
      <c r="K213" s="2"/>
      <c r="L213" s="7">
        <f t="shared" si="82"/>
        <v>-10152.84</v>
      </c>
      <c r="M213" s="2"/>
      <c r="N213" s="6">
        <f t="shared" si="83"/>
        <v>-0.99387202117578877</v>
      </c>
      <c r="O213" s="11"/>
      <c r="P213" s="7">
        <v>5384.8</v>
      </c>
      <c r="Q213" s="2"/>
      <c r="R213" s="6">
        <f t="shared" si="84"/>
        <v>2.454440485454307E-3</v>
      </c>
      <c r="S213" s="2"/>
      <c r="T213" s="7">
        <v>14469.62</v>
      </c>
      <c r="U213" s="2"/>
      <c r="V213" s="6">
        <f t="shared" si="85"/>
        <v>3.4933868582862795E-3</v>
      </c>
      <c r="W213" s="2"/>
      <c r="X213" s="7">
        <f t="shared" si="86"/>
        <v>-9084.82</v>
      </c>
      <c r="Y213" s="2"/>
      <c r="Z213" s="6">
        <f t="shared" si="87"/>
        <v>-0.62785477434790959</v>
      </c>
    </row>
    <row r="214" spans="1:26" s="27" customFormat="1" outlineLevel="1" collapsed="1" x14ac:dyDescent="0.25">
      <c r="A214" s="29"/>
      <c r="B214" s="14" t="str">
        <f>CONCATENATE("     ","Services                                          ")</f>
        <v xml:space="preserve">     Services                                          </v>
      </c>
      <c r="C214" s="14"/>
      <c r="D214" s="1">
        <f>SUM(OSRRefD22_18x_0)</f>
        <v>4517.25</v>
      </c>
      <c r="E214" s="1"/>
      <c r="F214" s="5">
        <f t="shared" ref="F214:F218" si="88">IF(D$12=0,0,D214/D$12)</f>
        <v>1.2237065626836423E-2</v>
      </c>
      <c r="G214" s="1"/>
      <c r="H214" s="1">
        <f>SUM(OSRRefH22_18x_0)</f>
        <v>3921.52</v>
      </c>
      <c r="I214" s="1"/>
      <c r="J214" s="5">
        <f t="shared" ref="J214:J218" si="89">IF(H$12=0,0,H214/H$12)</f>
        <v>3.6074574260100602E-3</v>
      </c>
      <c r="K214" s="1"/>
      <c r="L214" s="1">
        <f t="shared" ref="L214:L218" si="90">+D214-H214</f>
        <v>595.73</v>
      </c>
      <c r="M214" s="1"/>
      <c r="N214" s="5">
        <f t="shared" ref="N214:N218" si="91">IF(H214=0,0,L214/H214)</f>
        <v>0.15191303372161816</v>
      </c>
      <c r="O214" s="14"/>
      <c r="P214" s="1">
        <f>SUM(OSRRefP22_18x_0)</f>
        <v>8822.77</v>
      </c>
      <c r="Q214" s="1"/>
      <c r="R214" s="5">
        <f t="shared" ref="R214:R218" si="92">IF(P$12=0,0,P214/P$12)</f>
        <v>4.0214982695460739E-3</v>
      </c>
      <c r="S214" s="1"/>
      <c r="T214" s="1">
        <f>SUM(OSRRefT22_18x_0)</f>
        <v>13227.19</v>
      </c>
      <c r="U214" s="1"/>
      <c r="V214" s="5">
        <f t="shared" ref="V214:V218" si="93">IF(T$12=0,0,T214/T$12)</f>
        <v>3.193428142415329E-3</v>
      </c>
      <c r="W214" s="1"/>
      <c r="X214" s="1">
        <f t="shared" ref="X214:X218" si="94">+P214-T214</f>
        <v>-4404.42</v>
      </c>
      <c r="Y214" s="1"/>
      <c r="Z214" s="5">
        <f t="shared" ref="Z214:Z218" si="95">IF(T214=0,0,X214/T214)</f>
        <v>-0.33298228875520802</v>
      </c>
    </row>
    <row r="215" spans="1:26" s="24" customFormat="1" hidden="1" outlineLevel="2" x14ac:dyDescent="0.25">
      <c r="A215" s="28"/>
      <c r="B215" s="11" t="str">
        <f>CONCATENATE("          ", "6282", " - ", "JANITORIAL/EXTERMINATOR EXPENS")</f>
        <v xml:space="preserve">          6282 - JANITORIAL/EXTERMINATOR EXPENS</v>
      </c>
      <c r="C215" s="11"/>
      <c r="D215" s="7">
        <v>266.5</v>
      </c>
      <c r="E215" s="2"/>
      <c r="F215" s="6">
        <f t="shared" si="88"/>
        <v>7.2193878788021624E-4</v>
      </c>
      <c r="G215" s="2"/>
      <c r="H215" s="7">
        <v>266.5</v>
      </c>
      <c r="I215" s="2"/>
      <c r="J215" s="6">
        <f t="shared" si="89"/>
        <v>2.4515682797274555E-4</v>
      </c>
      <c r="K215" s="2"/>
      <c r="L215" s="7">
        <f t="shared" si="90"/>
        <v>0</v>
      </c>
      <c r="M215" s="2"/>
      <c r="N215" s="6">
        <f t="shared" si="91"/>
        <v>0</v>
      </c>
      <c r="O215" s="11"/>
      <c r="P215" s="7">
        <v>742.94</v>
      </c>
      <c r="Q215" s="2"/>
      <c r="R215" s="6">
        <f t="shared" si="92"/>
        <v>3.386387636055978E-4</v>
      </c>
      <c r="S215" s="2"/>
      <c r="T215" s="7">
        <v>799.5</v>
      </c>
      <c r="U215" s="2"/>
      <c r="V215" s="6">
        <f t="shared" si="93"/>
        <v>1.930225391682629E-4</v>
      </c>
      <c r="W215" s="2"/>
      <c r="X215" s="7">
        <f t="shared" si="94"/>
        <v>-56.559999999999945</v>
      </c>
      <c r="Y215" s="2"/>
      <c r="Z215" s="6">
        <f t="shared" si="95"/>
        <v>-7.0744215134458971E-2</v>
      </c>
    </row>
    <row r="216" spans="1:26" s="24" customFormat="1" hidden="1" outlineLevel="2" x14ac:dyDescent="0.25">
      <c r="A216" s="28"/>
      <c r="B216" s="11" t="str">
        <f>CONCATENATE("          ", "6283", " - ", "PLANT SERVICE")</f>
        <v xml:space="preserve">          6283 - PLANT SERVICE</v>
      </c>
      <c r="C216" s="11"/>
      <c r="D216" s="7"/>
      <c r="E216" s="2"/>
      <c r="F216" s="6">
        <f t="shared" si="88"/>
        <v>0</v>
      </c>
      <c r="G216" s="2"/>
      <c r="H216" s="7">
        <v>180.66</v>
      </c>
      <c r="I216" s="2"/>
      <c r="J216" s="6">
        <f t="shared" si="89"/>
        <v>1.6619149171315649E-4</v>
      </c>
      <c r="K216" s="2"/>
      <c r="L216" s="7">
        <f t="shared" si="90"/>
        <v>-180.66</v>
      </c>
      <c r="M216" s="2"/>
      <c r="N216" s="6">
        <f t="shared" si="91"/>
        <v>-1</v>
      </c>
      <c r="O216" s="11"/>
      <c r="P216" s="7">
        <v>130</v>
      </c>
      <c r="Q216" s="2"/>
      <c r="R216" s="6">
        <f t="shared" si="92"/>
        <v>5.9255174399988843E-5</v>
      </c>
      <c r="S216" s="2"/>
      <c r="T216" s="7">
        <v>541.98</v>
      </c>
      <c r="U216" s="2"/>
      <c r="V216" s="6">
        <f t="shared" si="93"/>
        <v>1.3084972580164493E-4</v>
      </c>
      <c r="W216" s="2"/>
      <c r="X216" s="7">
        <f t="shared" si="94"/>
        <v>-411.98</v>
      </c>
      <c r="Y216" s="2"/>
      <c r="Z216" s="6">
        <f t="shared" si="95"/>
        <v>-0.76013875050739876</v>
      </c>
    </row>
    <row r="217" spans="1:26" s="24" customFormat="1" hidden="1" outlineLevel="2" x14ac:dyDescent="0.25">
      <c r="A217" s="28"/>
      <c r="B217" s="11" t="str">
        <f>CONCATENATE("          ", "6284", " - ", "TRASH REMOVAL EXPENSE")</f>
        <v xml:space="preserve">          6284 - TRASH REMOVAL EXPENSE</v>
      </c>
      <c r="C217" s="11"/>
      <c r="D217" s="7">
        <v>142.57</v>
      </c>
      <c r="E217" s="2"/>
      <c r="F217" s="6">
        <f t="shared" si="88"/>
        <v>3.8621693428923988E-4</v>
      </c>
      <c r="G217" s="2"/>
      <c r="H217" s="7">
        <v>134.82</v>
      </c>
      <c r="I217" s="2"/>
      <c r="J217" s="6">
        <f t="shared" si="89"/>
        <v>1.2402267747574315E-4</v>
      </c>
      <c r="K217" s="2"/>
      <c r="L217" s="7">
        <f t="shared" si="90"/>
        <v>7.75</v>
      </c>
      <c r="M217" s="2"/>
      <c r="N217" s="6">
        <f t="shared" si="91"/>
        <v>5.7484052811155616E-2</v>
      </c>
      <c r="O217" s="11"/>
      <c r="P217" s="7">
        <v>427.71</v>
      </c>
      <c r="Q217" s="2"/>
      <c r="R217" s="6">
        <f t="shared" si="92"/>
        <v>1.9495408186630175E-4</v>
      </c>
      <c r="S217" s="2"/>
      <c r="T217" s="7">
        <v>404.46</v>
      </c>
      <c r="U217" s="2"/>
      <c r="V217" s="6">
        <f t="shared" si="93"/>
        <v>9.7648400490300941E-5</v>
      </c>
      <c r="W217" s="2"/>
      <c r="X217" s="7">
        <f t="shared" si="94"/>
        <v>23.25</v>
      </c>
      <c r="Y217" s="2"/>
      <c r="Z217" s="6">
        <f t="shared" si="95"/>
        <v>5.7484052811155616E-2</v>
      </c>
    </row>
    <row r="218" spans="1:26" s="24" customFormat="1" hidden="1" outlineLevel="2" x14ac:dyDescent="0.25">
      <c r="A218" s="28"/>
      <c r="B218" s="11" t="str">
        <f>CONCATENATE("          ", "6285", " - ", "JANITORIAL SERVICES")</f>
        <v xml:space="preserve">          6285 - JANITORIAL SERVICES</v>
      </c>
      <c r="C218" s="11"/>
      <c r="D218" s="7">
        <v>4108.18</v>
      </c>
      <c r="E218" s="2"/>
      <c r="F218" s="6">
        <f t="shared" si="88"/>
        <v>1.1128909904666967E-2</v>
      </c>
      <c r="G218" s="2"/>
      <c r="H218" s="7">
        <v>3339.54</v>
      </c>
      <c r="I218" s="2"/>
      <c r="J218" s="6">
        <f t="shared" si="89"/>
        <v>3.072086428848415E-3</v>
      </c>
      <c r="K218" s="2"/>
      <c r="L218" s="7">
        <f t="shared" si="90"/>
        <v>768.64000000000033</v>
      </c>
      <c r="M218" s="2"/>
      <c r="N218" s="6">
        <f t="shared" si="91"/>
        <v>0.23016343568275879</v>
      </c>
      <c r="O218" s="11"/>
      <c r="P218" s="7">
        <v>7522.12</v>
      </c>
      <c r="Q218" s="2"/>
      <c r="R218" s="6">
        <f t="shared" si="92"/>
        <v>3.4286502496741851E-3</v>
      </c>
      <c r="S218" s="2"/>
      <c r="T218" s="7">
        <v>11481.25</v>
      </c>
      <c r="U218" s="2"/>
      <c r="V218" s="6">
        <f t="shared" si="93"/>
        <v>2.77190747695512E-3</v>
      </c>
      <c r="W218" s="2"/>
      <c r="X218" s="7">
        <f t="shared" si="94"/>
        <v>-3959.13</v>
      </c>
      <c r="Y218" s="2"/>
      <c r="Z218" s="6">
        <f t="shared" si="95"/>
        <v>-0.34483440391943387</v>
      </c>
    </row>
    <row r="219" spans="1:26" s="27" customFormat="1" outlineLevel="1" collapsed="1" x14ac:dyDescent="0.25">
      <c r="A219" s="29"/>
      <c r="B219" s="14" t="str">
        <f>CONCATENATE("     ","Subscriptions &amp; Dues                              ")</f>
        <v xml:space="preserve">     Subscriptions &amp; Dues                              </v>
      </c>
      <c r="C219" s="14"/>
      <c r="D219" s="1">
        <f>SUM(OSRRefD22_19x_0)</f>
        <v>148.77000000000001</v>
      </c>
      <c r="E219" s="1"/>
      <c r="F219" s="5">
        <f t="shared" ref="F219:F221" si="96">IF(D$12=0,0,D219/D$12)</f>
        <v>4.0301250834123744E-4</v>
      </c>
      <c r="G219" s="1"/>
      <c r="H219" s="1">
        <f>SUM(OSRRefH22_19x_0)</f>
        <v>706.62</v>
      </c>
      <c r="I219" s="1"/>
      <c r="J219" s="5">
        <f t="shared" ref="J219:J221" si="97">IF(H$12=0,0,H219/H$12)</f>
        <v>6.5002895978274469E-4</v>
      </c>
      <c r="K219" s="1"/>
      <c r="L219" s="1">
        <f t="shared" ref="L219:L221" si="98">+D219-H219</f>
        <v>-557.85</v>
      </c>
      <c r="M219" s="1"/>
      <c r="N219" s="5">
        <f t="shared" ref="N219:N221" si="99">IF(H219=0,0,L219/H219)</f>
        <v>-0.78946251167529935</v>
      </c>
      <c r="O219" s="14"/>
      <c r="P219" s="1">
        <f>SUM(OSRRefP22_19x_0)</f>
        <v>783.77</v>
      </c>
      <c r="Q219" s="1"/>
      <c r="R219" s="5">
        <f t="shared" ref="R219:R221" si="100">IF(P$12=0,0,P219/P$12)</f>
        <v>3.5724944645753269E-4</v>
      </c>
      <c r="S219" s="1"/>
      <c r="T219" s="1">
        <f>SUM(OSRRefT22_19x_0)</f>
        <v>1698.85</v>
      </c>
      <c r="U219" s="1"/>
      <c r="V219" s="5">
        <f t="shared" ref="V219:V221" si="101">IF(T$12=0,0,T219/T$12)</f>
        <v>4.1015177068918498E-4</v>
      </c>
      <c r="W219" s="1"/>
      <c r="X219" s="1">
        <f t="shared" ref="X219:X221" si="102">+P219-T219</f>
        <v>-915.07999999999993</v>
      </c>
      <c r="Y219" s="1"/>
      <c r="Z219" s="5">
        <f t="shared" ref="Z219:Z221" si="103">IF(T219=0,0,X219/T219)</f>
        <v>-0.53864673161256138</v>
      </c>
    </row>
    <row r="220" spans="1:26" s="24" customFormat="1" hidden="1" outlineLevel="2" x14ac:dyDescent="0.25">
      <c r="A220" s="28"/>
      <c r="B220" s="11" t="str">
        <f>CONCATENATE("          ", "6258", " - ", "MEMBERSHIP DUES")</f>
        <v xml:space="preserve">          6258 - MEMBERSHIP DUES</v>
      </c>
      <c r="C220" s="11"/>
      <c r="D220" s="7">
        <v>73.040000000000006</v>
      </c>
      <c r="E220" s="2"/>
      <c r="F220" s="6">
        <f t="shared" si="96"/>
        <v>1.9786269818675798E-4</v>
      </c>
      <c r="G220" s="2"/>
      <c r="H220" s="7">
        <v>250</v>
      </c>
      <c r="I220" s="2"/>
      <c r="J220" s="6">
        <f t="shared" si="97"/>
        <v>2.2997826263859806E-4</v>
      </c>
      <c r="K220" s="2"/>
      <c r="L220" s="7">
        <f t="shared" si="98"/>
        <v>-176.95999999999998</v>
      </c>
      <c r="M220" s="2"/>
      <c r="N220" s="6">
        <f t="shared" si="99"/>
        <v>-0.70783999999999991</v>
      </c>
      <c r="O220" s="11"/>
      <c r="P220" s="7">
        <v>633.04</v>
      </c>
      <c r="Q220" s="2"/>
      <c r="R220" s="6">
        <f t="shared" si="100"/>
        <v>2.8854535078591488E-4</v>
      </c>
      <c r="S220" s="2"/>
      <c r="T220" s="7">
        <v>908.85</v>
      </c>
      <c r="U220" s="2"/>
      <c r="V220" s="6">
        <f t="shared" si="101"/>
        <v>2.1942280765863131E-4</v>
      </c>
      <c r="W220" s="2"/>
      <c r="X220" s="7">
        <f t="shared" si="102"/>
        <v>-275.81000000000006</v>
      </c>
      <c r="Y220" s="2"/>
      <c r="Z220" s="6">
        <f t="shared" si="103"/>
        <v>-0.30347141992628052</v>
      </c>
    </row>
    <row r="221" spans="1:26" s="24" customFormat="1" hidden="1" outlineLevel="2" x14ac:dyDescent="0.25">
      <c r="A221" s="28"/>
      <c r="B221" s="11" t="str">
        <f>CONCATENATE("          ", "6275", " - ", "SUBSCRIPTIONS")</f>
        <v xml:space="preserve">          6275 - SUBSCRIPTIONS</v>
      </c>
      <c r="C221" s="11"/>
      <c r="D221" s="7">
        <v>75.73</v>
      </c>
      <c r="E221" s="2"/>
      <c r="F221" s="6">
        <f t="shared" si="96"/>
        <v>2.0514981015447948E-4</v>
      </c>
      <c r="G221" s="2"/>
      <c r="H221" s="7">
        <v>456.62</v>
      </c>
      <c r="I221" s="2"/>
      <c r="J221" s="6">
        <f t="shared" si="97"/>
        <v>4.200506971441466E-4</v>
      </c>
      <c r="K221" s="2"/>
      <c r="L221" s="7">
        <f t="shared" si="98"/>
        <v>-380.89</v>
      </c>
      <c r="M221" s="2"/>
      <c r="N221" s="6">
        <f t="shared" si="99"/>
        <v>-0.83415093513205729</v>
      </c>
      <c r="O221" s="11"/>
      <c r="P221" s="7">
        <v>150.72999999999999</v>
      </c>
      <c r="Q221" s="2"/>
      <c r="R221" s="6">
        <f t="shared" si="100"/>
        <v>6.8704095671617829E-5</v>
      </c>
      <c r="S221" s="2"/>
      <c r="T221" s="7">
        <v>790</v>
      </c>
      <c r="U221" s="2"/>
      <c r="V221" s="6">
        <f t="shared" si="101"/>
        <v>1.9072896303055369E-4</v>
      </c>
      <c r="W221" s="2"/>
      <c r="X221" s="7">
        <f t="shared" si="102"/>
        <v>-639.27</v>
      </c>
      <c r="Y221" s="2"/>
      <c r="Z221" s="6">
        <f t="shared" si="103"/>
        <v>-0.80920253164556954</v>
      </c>
    </row>
    <row r="222" spans="1:26" s="27" customFormat="1" outlineLevel="1" collapsed="1" x14ac:dyDescent="0.25">
      <c r="A222" s="29"/>
      <c r="B222" s="14" t="str">
        <f>CONCATENATE("     ","Supplies                                          ")</f>
        <v xml:space="preserve">     Supplies                                          </v>
      </c>
      <c r="C222" s="14"/>
      <c r="D222" s="1">
        <f>SUM(OSRRefD22_20x_0)</f>
        <v>13852.2</v>
      </c>
      <c r="E222" s="1"/>
      <c r="F222" s="5">
        <f t="shared" ref="F222:F229" si="104">IF(D$12=0,0,D222/D$12)</f>
        <v>3.7525104981141956E-2</v>
      </c>
      <c r="G222" s="1"/>
      <c r="H222" s="1">
        <f>SUM(OSRRefH22_20x_0)</f>
        <v>19613.150000000001</v>
      </c>
      <c r="I222" s="1"/>
      <c r="J222" s="5">
        <f t="shared" ref="J222:J229" si="105">IF(H$12=0,0,H222/H$12)</f>
        <v>1.8042392647480879E-2</v>
      </c>
      <c r="K222" s="1"/>
      <c r="L222" s="1">
        <f t="shared" ref="L222:L229" si="106">+D222-H222</f>
        <v>-5760.9500000000007</v>
      </c>
      <c r="M222" s="1"/>
      <c r="N222" s="5">
        <f t="shared" ref="N222:N229" si="107">IF(H222=0,0,L222/H222)</f>
        <v>-0.29372895225907109</v>
      </c>
      <c r="O222" s="14"/>
      <c r="P222" s="1">
        <f>SUM(OSRRefP22_20x_0)</f>
        <v>33390.14</v>
      </c>
      <c r="Q222" s="1"/>
      <c r="R222" s="5">
        <f t="shared" ref="R222:R229" si="108">IF(P$12=0,0,P222/P$12)</f>
        <v>1.5219527453384949E-2</v>
      </c>
      <c r="S222" s="1"/>
      <c r="T222" s="1">
        <f>SUM(OSRRefT22_20x_0)</f>
        <v>32061.97</v>
      </c>
      <c r="U222" s="1"/>
      <c r="V222" s="5">
        <f t="shared" ref="V222:V229" si="109">IF(T$12=0,0,T222/T$12)</f>
        <v>7.7406915073629399E-3</v>
      </c>
      <c r="W222" s="1"/>
      <c r="X222" s="1">
        <f t="shared" ref="X222:X229" si="110">+P222-T222</f>
        <v>1328.1699999999983</v>
      </c>
      <c r="Y222" s="1"/>
      <c r="Z222" s="5">
        <f t="shared" ref="Z222:Z229" si="111">IF(T222=0,0,X222/T222)</f>
        <v>4.142509022371358E-2</v>
      </c>
    </row>
    <row r="223" spans="1:26" s="24" customFormat="1" hidden="1" outlineLevel="2" x14ac:dyDescent="0.25">
      <c r="A223" s="28"/>
      <c r="B223" s="11" t="str">
        <f>CONCATENATE("          ", "6234", " - ", "EXPENDABLE SUPPLIES &amp; EQUIPMEN")</f>
        <v xml:space="preserve">          6234 - EXPENDABLE SUPPLIES &amp; EQUIPMEN</v>
      </c>
      <c r="C223" s="11"/>
      <c r="D223" s="7"/>
      <c r="E223" s="2"/>
      <c r="F223" s="6">
        <f t="shared" si="104"/>
        <v>0</v>
      </c>
      <c r="G223" s="2"/>
      <c r="H223" s="7"/>
      <c r="I223" s="2"/>
      <c r="J223" s="6">
        <f t="shared" si="105"/>
        <v>0</v>
      </c>
      <c r="K223" s="2"/>
      <c r="L223" s="7">
        <f t="shared" si="106"/>
        <v>0</v>
      </c>
      <c r="M223" s="2"/>
      <c r="N223" s="6">
        <f t="shared" si="107"/>
        <v>0</v>
      </c>
      <c r="O223" s="11"/>
      <c r="P223" s="7"/>
      <c r="Q223" s="2"/>
      <c r="R223" s="6">
        <f t="shared" si="108"/>
        <v>0</v>
      </c>
      <c r="S223" s="2"/>
      <c r="T223" s="7">
        <v>1716.1</v>
      </c>
      <c r="U223" s="2"/>
      <c r="V223" s="6">
        <f t="shared" si="109"/>
        <v>4.1431642209713065E-4</v>
      </c>
      <c r="W223" s="2"/>
      <c r="X223" s="7">
        <f t="shared" si="110"/>
        <v>-1716.1</v>
      </c>
      <c r="Y223" s="2"/>
      <c r="Z223" s="6">
        <f t="shared" si="111"/>
        <v>-1</v>
      </c>
    </row>
    <row r="224" spans="1:26" s="24" customFormat="1" hidden="1" outlineLevel="2" x14ac:dyDescent="0.25">
      <c r="A224" s="28"/>
      <c r="B224" s="11" t="str">
        <f>CONCATENATE("          ", "6235", " - ", "COVID-19 EXPENSES")</f>
        <v xml:space="preserve">          6235 - COVID-19 EXPENSES</v>
      </c>
      <c r="C224" s="11"/>
      <c r="D224" s="7">
        <v>2460.7800000000002</v>
      </c>
      <c r="E224" s="2"/>
      <c r="F224" s="6">
        <f t="shared" si="104"/>
        <v>6.6661633412378185E-3</v>
      </c>
      <c r="G224" s="2"/>
      <c r="H224" s="7"/>
      <c r="I224" s="2"/>
      <c r="J224" s="6">
        <f t="shared" si="105"/>
        <v>0</v>
      </c>
      <c r="K224" s="2"/>
      <c r="L224" s="7">
        <f t="shared" si="106"/>
        <v>2460.7800000000002</v>
      </c>
      <c r="M224" s="2"/>
      <c r="N224" s="6">
        <f t="shared" si="107"/>
        <v>0</v>
      </c>
      <c r="O224" s="11"/>
      <c r="P224" s="7">
        <v>9094.67</v>
      </c>
      <c r="Q224" s="2"/>
      <c r="R224" s="6">
        <f t="shared" si="108"/>
        <v>4.1454327458488194E-3</v>
      </c>
      <c r="S224" s="2"/>
      <c r="T224" s="7"/>
      <c r="U224" s="2"/>
      <c r="V224" s="6">
        <f t="shared" si="109"/>
        <v>0</v>
      </c>
      <c r="W224" s="2"/>
      <c r="X224" s="7">
        <f t="shared" si="110"/>
        <v>9094.67</v>
      </c>
      <c r="Y224" s="2"/>
      <c r="Z224" s="6">
        <f t="shared" si="111"/>
        <v>0</v>
      </c>
    </row>
    <row r="225" spans="1:26" s="24" customFormat="1" hidden="1" outlineLevel="2" x14ac:dyDescent="0.25">
      <c r="A225" s="28"/>
      <c r="B225" s="11" t="str">
        <f>CONCATENATE("          ", "6237", " - ", "JANITORIAL SUPPLIES")</f>
        <v xml:space="preserve">          6237 - JANITORIAL SUPPLIES</v>
      </c>
      <c r="C225" s="11"/>
      <c r="D225" s="7"/>
      <c r="E225" s="2"/>
      <c r="F225" s="6">
        <f t="shared" si="104"/>
        <v>0</v>
      </c>
      <c r="G225" s="2"/>
      <c r="H225" s="7">
        <v>1088.21</v>
      </c>
      <c r="I225" s="2"/>
      <c r="J225" s="6">
        <f t="shared" si="105"/>
        <v>1.0010585807437953E-3</v>
      </c>
      <c r="K225" s="2"/>
      <c r="L225" s="7">
        <f t="shared" si="106"/>
        <v>-1088.21</v>
      </c>
      <c r="M225" s="2"/>
      <c r="N225" s="6">
        <f t="shared" si="107"/>
        <v>-1</v>
      </c>
      <c r="O225" s="11"/>
      <c r="P225" s="7">
        <v>139.31</v>
      </c>
      <c r="Q225" s="2"/>
      <c r="R225" s="6">
        <f t="shared" si="108"/>
        <v>6.349875650509573E-5</v>
      </c>
      <c r="S225" s="2"/>
      <c r="T225" s="7">
        <v>1863.61</v>
      </c>
      <c r="U225" s="2"/>
      <c r="V225" s="6">
        <f t="shared" si="109"/>
        <v>4.4992962378907617E-4</v>
      </c>
      <c r="W225" s="2"/>
      <c r="X225" s="7">
        <f t="shared" si="110"/>
        <v>-1724.3</v>
      </c>
      <c r="Y225" s="2"/>
      <c r="Z225" s="6">
        <f t="shared" si="111"/>
        <v>-0.92524723520479069</v>
      </c>
    </row>
    <row r="226" spans="1:26" s="24" customFormat="1" hidden="1" outlineLevel="2" x14ac:dyDescent="0.25">
      <c r="A226" s="28"/>
      <c r="B226" s="11" t="str">
        <f>CONCATENATE("          ", "6241", " - ", "OFFICE EXPENSE")</f>
        <v xml:space="preserve">          6241 - OFFICE EXPENSE</v>
      </c>
      <c r="C226" s="11"/>
      <c r="D226" s="7">
        <v>4755.57</v>
      </c>
      <c r="E226" s="2"/>
      <c r="F226" s="6">
        <f t="shared" si="104"/>
        <v>1.2882665821686753E-2</v>
      </c>
      <c r="G226" s="2"/>
      <c r="H226" s="7">
        <v>2754.87</v>
      </c>
      <c r="I226" s="2"/>
      <c r="J226" s="6">
        <f t="shared" si="105"/>
        <v>2.5342408655807786E-3</v>
      </c>
      <c r="K226" s="2"/>
      <c r="L226" s="7">
        <f t="shared" si="106"/>
        <v>2000.6999999999998</v>
      </c>
      <c r="M226" s="2"/>
      <c r="N226" s="6">
        <f t="shared" si="107"/>
        <v>0.72624116564483987</v>
      </c>
      <c r="O226" s="11"/>
      <c r="P226" s="7">
        <v>7479.49</v>
      </c>
      <c r="Q226" s="2"/>
      <c r="R226" s="6">
        <f t="shared" si="108"/>
        <v>3.4092191105613272E-3</v>
      </c>
      <c r="S226" s="2"/>
      <c r="T226" s="7">
        <v>9772.3799999999992</v>
      </c>
      <c r="U226" s="2"/>
      <c r="V226" s="6">
        <f t="shared" si="109"/>
        <v>2.3593365870133195E-3</v>
      </c>
      <c r="W226" s="2"/>
      <c r="X226" s="7">
        <f t="shared" si="110"/>
        <v>-2292.8899999999994</v>
      </c>
      <c r="Y226" s="2"/>
      <c r="Z226" s="6">
        <f t="shared" si="111"/>
        <v>-0.23462963986255136</v>
      </c>
    </row>
    <row r="227" spans="1:26" s="24" customFormat="1" hidden="1" outlineLevel="2" x14ac:dyDescent="0.25">
      <c r="A227" s="28"/>
      <c r="B227" s="11" t="str">
        <f>CONCATENATE("          ", "6243", " - ", "PAPER SUPPLIES")</f>
        <v xml:space="preserve">          6243 - PAPER SUPPLIES</v>
      </c>
      <c r="C227" s="11"/>
      <c r="D227" s="7"/>
      <c r="E227" s="2"/>
      <c r="F227" s="6">
        <f t="shared" si="104"/>
        <v>0</v>
      </c>
      <c r="G227" s="2"/>
      <c r="H227" s="7">
        <v>318.66000000000003</v>
      </c>
      <c r="I227" s="2"/>
      <c r="J227" s="6">
        <f t="shared" si="105"/>
        <v>2.9313949268966265E-4</v>
      </c>
      <c r="K227" s="2"/>
      <c r="L227" s="7">
        <f t="shared" si="106"/>
        <v>-318.66000000000003</v>
      </c>
      <c r="M227" s="2"/>
      <c r="N227" s="6">
        <f t="shared" si="107"/>
        <v>-1</v>
      </c>
      <c r="O227" s="11"/>
      <c r="P227" s="7">
        <v>3124.69</v>
      </c>
      <c r="Q227" s="2"/>
      <c r="R227" s="6">
        <f t="shared" si="108"/>
        <v>1.4242619299684703E-3</v>
      </c>
      <c r="S227" s="2"/>
      <c r="T227" s="7">
        <v>2976.95</v>
      </c>
      <c r="U227" s="2"/>
      <c r="V227" s="6">
        <f t="shared" si="109"/>
        <v>7.1872226138456556E-4</v>
      </c>
      <c r="W227" s="2"/>
      <c r="X227" s="7">
        <f t="shared" si="110"/>
        <v>147.74000000000024</v>
      </c>
      <c r="Y227" s="2"/>
      <c r="Z227" s="6">
        <f t="shared" si="111"/>
        <v>4.962797494079519E-2</v>
      </c>
    </row>
    <row r="228" spans="1:26" s="24" customFormat="1" hidden="1" outlineLevel="2" x14ac:dyDescent="0.25">
      <c r="A228" s="28"/>
      <c r="B228" s="11" t="str">
        <f>CONCATENATE("          ", "6245", " - ", "PRINTING")</f>
        <v xml:space="preserve">          6245 - PRINTING</v>
      </c>
      <c r="C228" s="11"/>
      <c r="D228" s="7">
        <v>356.96</v>
      </c>
      <c r="E228" s="2"/>
      <c r="F228" s="6">
        <f t="shared" si="104"/>
        <v>9.6699163122597367E-4</v>
      </c>
      <c r="G228" s="2"/>
      <c r="H228" s="7">
        <v>254.9</v>
      </c>
      <c r="I228" s="2"/>
      <c r="J228" s="6">
        <f t="shared" si="105"/>
        <v>2.3448583658631459E-4</v>
      </c>
      <c r="K228" s="2"/>
      <c r="L228" s="7">
        <f t="shared" si="106"/>
        <v>102.05999999999997</v>
      </c>
      <c r="M228" s="2"/>
      <c r="N228" s="6">
        <f t="shared" si="107"/>
        <v>0.4003923107100823</v>
      </c>
      <c r="O228" s="11"/>
      <c r="P228" s="7">
        <v>61.46</v>
      </c>
      <c r="Q228" s="2"/>
      <c r="R228" s="6">
        <f t="shared" si="108"/>
        <v>2.8014023220179339E-5</v>
      </c>
      <c r="S228" s="2"/>
      <c r="T228" s="7">
        <v>5240.01</v>
      </c>
      <c r="U228" s="2"/>
      <c r="V228" s="6">
        <f t="shared" si="109"/>
        <v>1.2650907260376351E-3</v>
      </c>
      <c r="W228" s="2"/>
      <c r="X228" s="7">
        <f t="shared" si="110"/>
        <v>-5178.55</v>
      </c>
      <c r="Y228" s="2"/>
      <c r="Z228" s="6">
        <f t="shared" si="111"/>
        <v>-0.98827101474997181</v>
      </c>
    </row>
    <row r="229" spans="1:26" s="24" customFormat="1" hidden="1" outlineLevel="2" x14ac:dyDescent="0.25">
      <c r="A229" s="28"/>
      <c r="B229" s="11" t="str">
        <f>CONCATENATE("          ", "6247", " - ", "STORE SUPPLIES")</f>
        <v xml:space="preserve">          6247 - STORE SUPPLIES</v>
      </c>
      <c r="C229" s="11"/>
      <c r="D229" s="7">
        <v>6278.89</v>
      </c>
      <c r="E229" s="2"/>
      <c r="F229" s="6">
        <f t="shared" si="104"/>
        <v>1.7009284186991411E-2</v>
      </c>
      <c r="G229" s="2"/>
      <c r="H229" s="7">
        <v>15196.510000000002</v>
      </c>
      <c r="I229" s="2"/>
      <c r="J229" s="6">
        <f t="shared" si="105"/>
        <v>1.3979467871880329E-2</v>
      </c>
      <c r="K229" s="2"/>
      <c r="L229" s="7">
        <f t="shared" si="106"/>
        <v>-8917.6200000000026</v>
      </c>
      <c r="M229" s="2"/>
      <c r="N229" s="6">
        <f t="shared" si="107"/>
        <v>-0.58682026333677939</v>
      </c>
      <c r="O229" s="11"/>
      <c r="P229" s="7">
        <v>13490.52</v>
      </c>
      <c r="Q229" s="2"/>
      <c r="R229" s="6">
        <f t="shared" si="108"/>
        <v>6.1491008872810579E-3</v>
      </c>
      <c r="S229" s="2"/>
      <c r="T229" s="7">
        <v>10492.92</v>
      </c>
      <c r="U229" s="2"/>
      <c r="V229" s="6">
        <f t="shared" si="109"/>
        <v>2.5332958870412123E-3</v>
      </c>
      <c r="W229" s="2"/>
      <c r="X229" s="7">
        <f t="shared" si="110"/>
        <v>2997.6000000000004</v>
      </c>
      <c r="Y229" s="2"/>
      <c r="Z229" s="6">
        <f t="shared" si="111"/>
        <v>0.28567834311135509</v>
      </c>
    </row>
    <row r="230" spans="1:26" s="27" customFormat="1" outlineLevel="1" collapsed="1" x14ac:dyDescent="0.25">
      <c r="A230" s="29"/>
      <c r="B230" s="14" t="str">
        <f>CONCATENATE("     ","Telephone/Data Lines                              ")</f>
        <v xml:space="preserve">     Telephone/Data Lines                              </v>
      </c>
      <c r="C230" s="14"/>
      <c r="D230" s="1">
        <f>SUM(OSRRefD22_21x_0)</f>
        <v>5060.54</v>
      </c>
      <c r="E230" s="1"/>
      <c r="F230" s="5">
        <f t="shared" ref="F230:F232" si="112">IF(D$12=0,0,D230/D$12)</f>
        <v>1.3708818437596058E-2</v>
      </c>
      <c r="G230" s="1"/>
      <c r="H230" s="1">
        <f>SUM(OSRRefH22_21x_0)</f>
        <v>5999.03</v>
      </c>
      <c r="I230" s="1"/>
      <c r="J230" s="5">
        <f t="shared" ref="J230:J232" si="113">IF(H$12=0,0,H230/H$12)</f>
        <v>5.5185859876673155E-3</v>
      </c>
      <c r="K230" s="1"/>
      <c r="L230" s="1">
        <f t="shared" ref="L230:L232" si="114">+D230-H230</f>
        <v>-938.48999999999978</v>
      </c>
      <c r="M230" s="1"/>
      <c r="N230" s="5">
        <f t="shared" ref="N230:N232" si="115">IF(H230=0,0,L230/H230)</f>
        <v>-0.15644029118040748</v>
      </c>
      <c r="O230" s="14"/>
      <c r="P230" s="1">
        <f>SUM(OSRRefP22_21x_0)</f>
        <v>9530.7900000000009</v>
      </c>
      <c r="Q230" s="1"/>
      <c r="R230" s="5">
        <f t="shared" ref="R230:R232" si="116">IF(P$12=0,0,P230/P$12)</f>
        <v>4.3442201816897667E-3</v>
      </c>
      <c r="S230" s="1"/>
      <c r="T230" s="1">
        <f>SUM(OSRRefT22_21x_0)</f>
        <v>10416.4</v>
      </c>
      <c r="U230" s="1"/>
      <c r="V230" s="5">
        <f t="shared" ref="V230:V232" si="117">IF(T$12=0,0,T230/T$12)</f>
        <v>2.5148217348246325E-3</v>
      </c>
      <c r="W230" s="1"/>
      <c r="X230" s="1">
        <f t="shared" ref="X230:X232" si="118">+P230-T230</f>
        <v>-885.60999999999876</v>
      </c>
      <c r="Y230" s="1"/>
      <c r="Z230" s="5">
        <f t="shared" ref="Z230:Z232" si="119">IF(T230=0,0,X230/T230)</f>
        <v>-8.5020736530855068E-2</v>
      </c>
    </row>
    <row r="231" spans="1:26" s="24" customFormat="1" hidden="1" outlineLevel="2" x14ac:dyDescent="0.25">
      <c r="A231" s="28"/>
      <c r="B231" s="11" t="str">
        <f>CONCATENATE("          ", "6303", " - ", "DATA PHONE LINES")</f>
        <v xml:space="preserve">          6303 - DATA PHONE LINES</v>
      </c>
      <c r="C231" s="11"/>
      <c r="D231" s="7">
        <v>885</v>
      </c>
      <c r="E231" s="2"/>
      <c r="F231" s="6">
        <f t="shared" si="112"/>
        <v>2.397432747744808E-3</v>
      </c>
      <c r="G231" s="2"/>
      <c r="H231" s="7">
        <v>295</v>
      </c>
      <c r="I231" s="2"/>
      <c r="J231" s="6">
        <f t="shared" si="113"/>
        <v>2.7137434991354568E-4</v>
      </c>
      <c r="K231" s="2"/>
      <c r="L231" s="7">
        <f t="shared" si="114"/>
        <v>590</v>
      </c>
      <c r="M231" s="2"/>
      <c r="N231" s="6">
        <f t="shared" si="115"/>
        <v>2</v>
      </c>
      <c r="O231" s="11"/>
      <c r="P231" s="7">
        <v>1180</v>
      </c>
      <c r="Q231" s="2"/>
      <c r="R231" s="6">
        <f t="shared" si="116"/>
        <v>5.3785465993836019E-4</v>
      </c>
      <c r="S231" s="2"/>
      <c r="T231" s="7">
        <v>885</v>
      </c>
      <c r="U231" s="2"/>
      <c r="V231" s="6">
        <f t="shared" si="117"/>
        <v>2.136647244076456E-4</v>
      </c>
      <c r="W231" s="2"/>
      <c r="X231" s="7">
        <f t="shared" si="118"/>
        <v>295</v>
      </c>
      <c r="Y231" s="2"/>
      <c r="Z231" s="6">
        <f t="shared" si="119"/>
        <v>0.33333333333333331</v>
      </c>
    </row>
    <row r="232" spans="1:26" s="24" customFormat="1" hidden="1" outlineLevel="2" x14ac:dyDescent="0.25">
      <c r="A232" s="28"/>
      <c r="B232" s="11" t="str">
        <f>CONCATENATE("          ", "6309", " - ", "TELEPHONE")</f>
        <v xml:space="preserve">          6309 - TELEPHONE</v>
      </c>
      <c r="C232" s="11"/>
      <c r="D232" s="7">
        <v>4175.54</v>
      </c>
      <c r="E232" s="2"/>
      <c r="F232" s="6">
        <f t="shared" si="112"/>
        <v>1.1311385689851249E-2</v>
      </c>
      <c r="G232" s="2"/>
      <c r="H232" s="7">
        <v>5704.03</v>
      </c>
      <c r="I232" s="2"/>
      <c r="J232" s="6">
        <f t="shared" si="113"/>
        <v>5.2472116377537698E-3</v>
      </c>
      <c r="K232" s="2"/>
      <c r="L232" s="7">
        <f t="shared" si="114"/>
        <v>-1528.4899999999998</v>
      </c>
      <c r="M232" s="2"/>
      <c r="N232" s="6">
        <f t="shared" si="115"/>
        <v>-0.26796668320468159</v>
      </c>
      <c r="O232" s="11"/>
      <c r="P232" s="7">
        <v>8350.7900000000009</v>
      </c>
      <c r="Q232" s="2"/>
      <c r="R232" s="6">
        <f t="shared" si="116"/>
        <v>3.8063655217514068E-3</v>
      </c>
      <c r="S232" s="2"/>
      <c r="T232" s="7">
        <v>9531.4</v>
      </c>
      <c r="U232" s="2"/>
      <c r="V232" s="6">
        <f t="shared" si="117"/>
        <v>2.3011570104169866E-3</v>
      </c>
      <c r="W232" s="2"/>
      <c r="X232" s="7">
        <f t="shared" si="118"/>
        <v>-1180.6099999999988</v>
      </c>
      <c r="Y232" s="2"/>
      <c r="Z232" s="6">
        <f t="shared" si="119"/>
        <v>-0.12386532933252185</v>
      </c>
    </row>
    <row r="233" spans="1:26" s="27" customFormat="1" outlineLevel="1" collapsed="1" x14ac:dyDescent="0.25">
      <c r="A233" s="29"/>
      <c r="B233" s="14" t="str">
        <f>CONCATENATE("     ","Training                                          ")</f>
        <v xml:space="preserve">     Training                                          </v>
      </c>
      <c r="C233" s="14"/>
      <c r="D233" s="1">
        <f>SUM(OSRRefD22_22x_0)</f>
        <v>0</v>
      </c>
      <c r="E233" s="1"/>
      <c r="F233" s="5">
        <f t="shared" ref="F233:F238" si="120">IF(D$12=0,0,D233/D$12)</f>
        <v>0</v>
      </c>
      <c r="G233" s="1"/>
      <c r="H233" s="1">
        <f>SUM(OSRRefH22_22x_0)</f>
        <v>-4902.29</v>
      </c>
      <c r="I233" s="1"/>
      <c r="J233" s="5">
        <f t="shared" ref="J233:J238" si="121">IF(H$12=0,0,H233/H$12)</f>
        <v>-4.5096805486022915E-3</v>
      </c>
      <c r="K233" s="1"/>
      <c r="L233" s="1">
        <f t="shared" ref="L233:L238" si="122">+D233-H233</f>
        <v>4902.29</v>
      </c>
      <c r="M233" s="1"/>
      <c r="N233" s="5">
        <f t="shared" ref="N233:N238" si="123">IF(H233=0,0,L233/H233)</f>
        <v>-1</v>
      </c>
      <c r="O233" s="14"/>
      <c r="P233" s="1">
        <f>SUM(OSRRefP22_22x_0)</f>
        <v>131.63</v>
      </c>
      <c r="Q233" s="1"/>
      <c r="R233" s="5">
        <f t="shared" ref="R233:R238" si="124">IF(P$12=0,0,P233/P$12)</f>
        <v>5.9998143125157929E-5</v>
      </c>
      <c r="S233" s="1"/>
      <c r="T233" s="1">
        <f>SUM(OSRRefT22_22x_0)</f>
        <v>2420.2399999999998</v>
      </c>
      <c r="U233" s="1"/>
      <c r="V233" s="5">
        <f t="shared" ref="V233:V238" si="125">IF(T$12=0,0,T233/T$12)</f>
        <v>5.843162854241358E-4</v>
      </c>
      <c r="W233" s="1"/>
      <c r="X233" s="1">
        <f t="shared" ref="X233:X238" si="126">+P233-T233</f>
        <v>-2288.6099999999997</v>
      </c>
      <c r="Y233" s="1"/>
      <c r="Z233" s="5">
        <f t="shared" ref="Z233:Z238" si="127">IF(T233=0,0,X233/T233)</f>
        <v>-0.94561283178527744</v>
      </c>
    </row>
    <row r="234" spans="1:26" s="24" customFormat="1" hidden="1" outlineLevel="2" x14ac:dyDescent="0.25">
      <c r="A234" s="28"/>
      <c r="B234" s="11" t="str">
        <f>CONCATENATE("          ", "6376", " - ", "TRAINING")</f>
        <v xml:space="preserve">          6376 - TRAINING</v>
      </c>
      <c r="C234" s="11"/>
      <c r="D234" s="7"/>
      <c r="E234" s="2"/>
      <c r="F234" s="6">
        <f t="shared" si="120"/>
        <v>0</v>
      </c>
      <c r="G234" s="2"/>
      <c r="H234" s="7">
        <v>-4902.29</v>
      </c>
      <c r="I234" s="2"/>
      <c r="J234" s="6">
        <f t="shared" si="121"/>
        <v>-4.5096805486022915E-3</v>
      </c>
      <c r="K234" s="2"/>
      <c r="L234" s="7">
        <f t="shared" si="122"/>
        <v>4902.29</v>
      </c>
      <c r="M234" s="2"/>
      <c r="N234" s="6">
        <f t="shared" si="123"/>
        <v>-1</v>
      </c>
      <c r="O234" s="11"/>
      <c r="P234" s="7">
        <v>131.63</v>
      </c>
      <c r="Q234" s="2"/>
      <c r="R234" s="6">
        <f t="shared" si="124"/>
        <v>5.9998143125157929E-5</v>
      </c>
      <c r="S234" s="2"/>
      <c r="T234" s="7">
        <v>2420.2399999999998</v>
      </c>
      <c r="U234" s="2"/>
      <c r="V234" s="6">
        <f t="shared" si="125"/>
        <v>5.843162854241358E-4</v>
      </c>
      <c r="W234" s="2"/>
      <c r="X234" s="7">
        <f t="shared" si="126"/>
        <v>-2288.6099999999997</v>
      </c>
      <c r="Y234" s="2"/>
      <c r="Z234" s="6">
        <f t="shared" si="127"/>
        <v>-0.94561283178527744</v>
      </c>
    </row>
    <row r="235" spans="1:26" s="27" customFormat="1" outlineLevel="1" collapsed="1" x14ac:dyDescent="0.25">
      <c r="A235" s="29"/>
      <c r="B235" s="14" t="str">
        <f>CONCATENATE("     ","Travel                                            ")</f>
        <v xml:space="preserve">     Travel                                            </v>
      </c>
      <c r="C235" s="14"/>
      <c r="D235" s="1">
        <f>SUM(OSRRefD22_23x_0)</f>
        <v>0</v>
      </c>
      <c r="E235" s="1"/>
      <c r="F235" s="5">
        <f t="shared" si="120"/>
        <v>0</v>
      </c>
      <c r="G235" s="1"/>
      <c r="H235" s="1">
        <f>SUM(OSRRefH22_23x_0)</f>
        <v>207.82999999999998</v>
      </c>
      <c r="I235" s="1"/>
      <c r="J235" s="5">
        <f t="shared" si="121"/>
        <v>1.9118552929671932E-4</v>
      </c>
      <c r="K235" s="1"/>
      <c r="L235" s="1">
        <f t="shared" si="122"/>
        <v>-207.82999999999998</v>
      </c>
      <c r="M235" s="1"/>
      <c r="N235" s="5">
        <f t="shared" si="123"/>
        <v>-1</v>
      </c>
      <c r="O235" s="14"/>
      <c r="P235" s="1">
        <f>SUM(OSRRefP22_23x_0)</f>
        <v>300.96999999999997</v>
      </c>
      <c r="Q235" s="1"/>
      <c r="R235" s="5">
        <f t="shared" si="124"/>
        <v>1.3718484491665107E-4</v>
      </c>
      <c r="S235" s="1"/>
      <c r="T235" s="1">
        <f>SUM(OSRRefT22_23x_0)</f>
        <v>613.86</v>
      </c>
      <c r="U235" s="1"/>
      <c r="V235" s="5">
        <f t="shared" si="125"/>
        <v>1.4820364714675406E-4</v>
      </c>
      <c r="W235" s="1"/>
      <c r="X235" s="1">
        <f t="shared" si="126"/>
        <v>-312.89000000000004</v>
      </c>
      <c r="Y235" s="1"/>
      <c r="Z235" s="5">
        <f t="shared" si="127"/>
        <v>-0.50970905418173529</v>
      </c>
    </row>
    <row r="236" spans="1:26" s="24" customFormat="1" hidden="1" outlineLevel="2" x14ac:dyDescent="0.25">
      <c r="A236" s="28"/>
      <c r="B236" s="11" t="str">
        <f>CONCATENATE("          ", "6292", " - ", "TRAVEL/CONFERENCE")</f>
        <v xml:space="preserve">          6292 - TRAVEL/CONFERENCE</v>
      </c>
      <c r="C236" s="11"/>
      <c r="D236" s="7"/>
      <c r="E236" s="2"/>
      <c r="F236" s="6">
        <f t="shared" si="120"/>
        <v>0</v>
      </c>
      <c r="G236" s="2"/>
      <c r="H236" s="7">
        <v>91.13</v>
      </c>
      <c r="I236" s="2"/>
      <c r="J236" s="6">
        <f t="shared" si="121"/>
        <v>8.3831676297021766E-5</v>
      </c>
      <c r="K236" s="2"/>
      <c r="L236" s="7">
        <f t="shared" si="122"/>
        <v>-91.13</v>
      </c>
      <c r="M236" s="2"/>
      <c r="N236" s="6">
        <f t="shared" si="123"/>
        <v>-1</v>
      </c>
      <c r="O236" s="11"/>
      <c r="P236" s="7">
        <v>0.16</v>
      </c>
      <c r="Q236" s="2"/>
      <c r="R236" s="6">
        <f t="shared" si="124"/>
        <v>7.2929445415370879E-8</v>
      </c>
      <c r="S236" s="2"/>
      <c r="T236" s="7">
        <v>341.77</v>
      </c>
      <c r="U236" s="2"/>
      <c r="V236" s="6">
        <f t="shared" si="125"/>
        <v>8.2513212272091561E-5</v>
      </c>
      <c r="W236" s="2"/>
      <c r="X236" s="7">
        <f t="shared" si="126"/>
        <v>-341.60999999999996</v>
      </c>
      <c r="Y236" s="2"/>
      <c r="Z236" s="6">
        <f t="shared" si="127"/>
        <v>-0.99953184890423374</v>
      </c>
    </row>
    <row r="237" spans="1:26" s="24" customFormat="1" hidden="1" outlineLevel="2" x14ac:dyDescent="0.25">
      <c r="A237" s="28"/>
      <c r="B237" s="11" t="str">
        <f>CONCATENATE("          ", "6294", " - ", "TRAVEL OPERATIONAL")</f>
        <v xml:space="preserve">          6294 - TRAVEL OPERATIONAL</v>
      </c>
      <c r="C237" s="11"/>
      <c r="D237" s="7"/>
      <c r="E237" s="2"/>
      <c r="F237" s="6">
        <f t="shared" si="120"/>
        <v>0</v>
      </c>
      <c r="G237" s="2"/>
      <c r="H237" s="7">
        <v>33.43</v>
      </c>
      <c r="I237" s="2"/>
      <c r="J237" s="6">
        <f t="shared" si="121"/>
        <v>3.075269328003333E-5</v>
      </c>
      <c r="K237" s="2"/>
      <c r="L237" s="7">
        <f t="shared" si="122"/>
        <v>-33.43</v>
      </c>
      <c r="M237" s="2"/>
      <c r="N237" s="6">
        <f t="shared" si="123"/>
        <v>-1</v>
      </c>
      <c r="O237" s="11"/>
      <c r="P237" s="7">
        <v>240.92</v>
      </c>
      <c r="Q237" s="2"/>
      <c r="R237" s="6">
        <f t="shared" si="124"/>
        <v>1.098135124341947E-4</v>
      </c>
      <c r="S237" s="2"/>
      <c r="T237" s="7">
        <v>102.1</v>
      </c>
      <c r="U237" s="2"/>
      <c r="V237" s="6">
        <f t="shared" si="125"/>
        <v>2.464990775369561E-5</v>
      </c>
      <c r="W237" s="2"/>
      <c r="X237" s="7">
        <f t="shared" si="126"/>
        <v>138.82</v>
      </c>
      <c r="Y237" s="2"/>
      <c r="Z237" s="6">
        <f t="shared" si="127"/>
        <v>1.3596474045053868</v>
      </c>
    </row>
    <row r="238" spans="1:26" s="24" customFormat="1" hidden="1" outlineLevel="2" x14ac:dyDescent="0.25">
      <c r="A238" s="28"/>
      <c r="B238" s="11" t="str">
        <f>CONCATENATE("          ", "6298", " - ", "VEHICLE MILEAGE")</f>
        <v xml:space="preserve">          6298 - VEHICLE MILEAGE</v>
      </c>
      <c r="C238" s="11"/>
      <c r="D238" s="7"/>
      <c r="E238" s="2"/>
      <c r="F238" s="6">
        <f t="shared" si="120"/>
        <v>0</v>
      </c>
      <c r="G238" s="2"/>
      <c r="H238" s="7">
        <v>83.27</v>
      </c>
      <c r="I238" s="2"/>
      <c r="J238" s="6">
        <f t="shared" si="121"/>
        <v>7.6601159719664233E-5</v>
      </c>
      <c r="K238" s="2"/>
      <c r="L238" s="7">
        <f t="shared" si="122"/>
        <v>-83.27</v>
      </c>
      <c r="M238" s="2"/>
      <c r="N238" s="6">
        <f t="shared" si="123"/>
        <v>-1</v>
      </c>
      <c r="O238" s="11"/>
      <c r="P238" s="7">
        <v>59.89</v>
      </c>
      <c r="Q238" s="2"/>
      <c r="R238" s="6">
        <f t="shared" si="124"/>
        <v>2.7298403037041013E-5</v>
      </c>
      <c r="S238" s="2"/>
      <c r="T238" s="7">
        <v>169.99</v>
      </c>
      <c r="U238" s="2"/>
      <c r="V238" s="6">
        <f t="shared" si="125"/>
        <v>4.1040527120966871E-5</v>
      </c>
      <c r="W238" s="2"/>
      <c r="X238" s="7">
        <f t="shared" si="126"/>
        <v>-110.10000000000001</v>
      </c>
      <c r="Y238" s="2"/>
      <c r="Z238" s="6">
        <f t="shared" si="127"/>
        <v>-0.64768515795046766</v>
      </c>
    </row>
    <row r="239" spans="1:26" s="27" customFormat="1" outlineLevel="1" collapsed="1" x14ac:dyDescent="0.25">
      <c r="A239" s="29"/>
      <c r="B239" s="14" t="str">
        <f>CONCATENATE("     ","Utilities                                         ")</f>
        <v xml:space="preserve">     Utilities                                         </v>
      </c>
      <c r="C239" s="14"/>
      <c r="D239" s="1">
        <f>SUM(OSRRefD22_24x_0)</f>
        <v>6161.01</v>
      </c>
      <c r="E239" s="1"/>
      <c r="F239" s="5">
        <f t="shared" ref="F239:F240" si="128">IF(D$12=0,0,D239/D$12)</f>
        <v>1.6689951562918918E-2</v>
      </c>
      <c r="G239" s="1"/>
      <c r="H239" s="1">
        <f>SUM(OSRRefH22_24x_0)</f>
        <v>5648.02</v>
      </c>
      <c r="I239" s="1"/>
      <c r="J239" s="5">
        <f t="shared" ref="J239:J240" si="129">IF(H$12=0,0,H239/H$12)</f>
        <v>5.1956873077922188E-3</v>
      </c>
      <c r="K239" s="1"/>
      <c r="L239" s="1">
        <f t="shared" ref="L239:L240" si="130">+D239-H239</f>
        <v>512.98999999999978</v>
      </c>
      <c r="M239" s="1"/>
      <c r="N239" s="5">
        <f t="shared" ref="N239:N240" si="131">IF(H239=0,0,L239/H239)</f>
        <v>9.0826519736119868E-2</v>
      </c>
      <c r="O239" s="14"/>
      <c r="P239" s="1">
        <f>SUM(OSRRefP22_24x_0)</f>
        <v>18482.38</v>
      </c>
      <c r="Q239" s="1"/>
      <c r="R239" s="5">
        <f t="shared" ref="R239:R240" si="132">IF(P$12=0,0,P239/P$12)</f>
        <v>8.42443577097589E-3</v>
      </c>
      <c r="S239" s="1"/>
      <c r="T239" s="1">
        <f>SUM(OSRRefT22_24x_0)</f>
        <v>11337.8</v>
      </c>
      <c r="U239" s="1"/>
      <c r="V239" s="5">
        <f t="shared" ref="V239:V240" si="133">IF(T$12=0,0,T239/T$12)</f>
        <v>2.7372744772757112E-3</v>
      </c>
      <c r="W239" s="1"/>
      <c r="X239" s="1">
        <f t="shared" ref="X239:X240" si="134">+P239-T239</f>
        <v>7144.5800000000017</v>
      </c>
      <c r="Y239" s="1"/>
      <c r="Z239" s="5">
        <f t="shared" ref="Z239:Z240" si="135">IF(T239=0,0,X239/T239)</f>
        <v>0.63015576214080349</v>
      </c>
    </row>
    <row r="240" spans="1:26" s="24" customFormat="1" hidden="1" outlineLevel="2" x14ac:dyDescent="0.25">
      <c r="A240" s="28"/>
      <c r="B240" s="11" t="str">
        <f>CONCATENATE("          ", "6274", " - ", "UTILITIES")</f>
        <v xml:space="preserve">          6274 - UTILITIES</v>
      </c>
      <c r="C240" s="11"/>
      <c r="D240" s="7">
        <v>6161.01</v>
      </c>
      <c r="E240" s="2"/>
      <c r="F240" s="6">
        <f t="shared" si="128"/>
        <v>1.6689951562918918E-2</v>
      </c>
      <c r="G240" s="2"/>
      <c r="H240" s="7">
        <v>5648.02</v>
      </c>
      <c r="I240" s="2"/>
      <c r="J240" s="6">
        <f t="shared" si="129"/>
        <v>5.1956873077922188E-3</v>
      </c>
      <c r="K240" s="2"/>
      <c r="L240" s="7">
        <f t="shared" si="130"/>
        <v>512.98999999999978</v>
      </c>
      <c r="M240" s="2"/>
      <c r="N240" s="6">
        <f t="shared" si="131"/>
        <v>9.0826519736119868E-2</v>
      </c>
      <c r="O240" s="11"/>
      <c r="P240" s="7">
        <v>18482.38</v>
      </c>
      <c r="Q240" s="2"/>
      <c r="R240" s="6">
        <f t="shared" si="132"/>
        <v>8.42443577097589E-3</v>
      </c>
      <c r="S240" s="2"/>
      <c r="T240" s="7">
        <v>11337.8</v>
      </c>
      <c r="U240" s="2"/>
      <c r="V240" s="6">
        <f t="shared" si="133"/>
        <v>2.7372744772757112E-3</v>
      </c>
      <c r="W240" s="2"/>
      <c r="X240" s="7">
        <f t="shared" si="134"/>
        <v>7144.5800000000017</v>
      </c>
      <c r="Y240" s="2"/>
      <c r="Z240" s="6">
        <f t="shared" si="135"/>
        <v>0.63015576214080349</v>
      </c>
    </row>
    <row r="241" spans="1:26" s="60" customFormat="1" x14ac:dyDescent="0.25">
      <c r="A241" s="37"/>
      <c r="B241" s="37"/>
      <c r="C241" s="37"/>
      <c r="D241" s="1"/>
      <c r="E241" s="1"/>
      <c r="F241" s="5"/>
      <c r="G241" s="1"/>
      <c r="H241" s="1"/>
      <c r="I241" s="1"/>
      <c r="J241" s="5"/>
      <c r="K241" s="1"/>
      <c r="L241" s="1"/>
      <c r="M241" s="1"/>
      <c r="N241" s="5"/>
      <c r="O241" s="37"/>
      <c r="P241" s="1"/>
      <c r="Q241" s="1"/>
      <c r="R241" s="5"/>
      <c r="S241" s="1"/>
      <c r="T241" s="1"/>
      <c r="U241" s="1"/>
      <c r="V241" s="5"/>
      <c r="W241" s="1"/>
      <c r="X241" s="1"/>
      <c r="Y241" s="1"/>
      <c r="Z241" s="5"/>
    </row>
    <row r="242" spans="1:26" s="23" customFormat="1" collapsed="1" x14ac:dyDescent="0.25">
      <c r="A242" s="10"/>
      <c r="B242" s="26" t="s">
        <v>0</v>
      </c>
      <c r="C242" s="10"/>
      <c r="D242" s="4">
        <f>SUM(OSRRefD25x_0)</f>
        <v>166664.99</v>
      </c>
      <c r="E242" s="4"/>
      <c r="F242" s="12">
        <f t="shared" ref="F242:F250" si="136">IF(D$12=0,0,D242/D$12)</f>
        <v>0.45148938410006889</v>
      </c>
      <c r="G242" s="4"/>
      <c r="H242" s="4">
        <f>SUM(OSRRefH25x_0)</f>
        <v>123340.45</v>
      </c>
      <c r="I242" s="4"/>
      <c r="J242" s="12">
        <f t="shared" ref="J242:J250" si="137">IF(H$12=0,0,H242/H$12)</f>
        <v>0.11346248961625148</v>
      </c>
      <c r="K242" s="4"/>
      <c r="L242" s="4">
        <f t="shared" ref="L242:L250" si="138">+D242-H242</f>
        <v>43324.539999999994</v>
      </c>
      <c r="M242" s="4"/>
      <c r="N242" s="12">
        <f t="shared" ref="N242:N250" si="139">IF(H242=0,0,L242/H242)</f>
        <v>0.35125978541508479</v>
      </c>
      <c r="O242" s="10"/>
      <c r="P242" s="4">
        <f>SUM(OSRRefP25x_0)</f>
        <v>421405.64</v>
      </c>
      <c r="Q242" s="4"/>
      <c r="R242" s="12">
        <f t="shared" ref="R242:R250" si="140">IF(P$12=0,0,P242/P$12)</f>
        <v>0.19208049762568397</v>
      </c>
      <c r="S242" s="4"/>
      <c r="T242" s="4">
        <f>SUM(OSRRefT25x_0)</f>
        <v>244543.30000000002</v>
      </c>
      <c r="U242" s="4"/>
      <c r="V242" s="12">
        <f t="shared" ref="V242:V250" si="141">IF(T$12=0,0,T242/T$12)</f>
        <v>5.9039860791227354E-2</v>
      </c>
      <c r="W242" s="4"/>
      <c r="X242" s="4">
        <f t="shared" ref="X242:X250" si="142">+P242-T242</f>
        <v>176862.34</v>
      </c>
      <c r="Y242" s="4"/>
      <c r="Z242" s="12">
        <f t="shared" ref="Z242:Z250" si="143">IF(T242=0,0,X242/T242)</f>
        <v>0.7232352716267425</v>
      </c>
    </row>
    <row r="243" spans="1:26" s="24" customFormat="1" hidden="1" outlineLevel="1" x14ac:dyDescent="0.25">
      <c r="A243" s="44"/>
      <c r="B243" s="11" t="str">
        <f>CONCATENATE("          ", "4098", " - ", "TAXABLE SALES-GRAD RENTALS")</f>
        <v xml:space="preserve">          4098 - TAXABLE SALES-GRAD RENTALS</v>
      </c>
      <c r="C243" s="11"/>
      <c r="D243" s="2">
        <f t="shared" ref="D243:D245" si="144">0</f>
        <v>0</v>
      </c>
      <c r="E243" s="2"/>
      <c r="F243" s="19">
        <f t="shared" si="136"/>
        <v>0</v>
      </c>
      <c r="G243" s="2"/>
      <c r="H243" s="2">
        <f t="shared" ref="H243:H244" si="145">0</f>
        <v>0</v>
      </c>
      <c r="I243" s="2"/>
      <c r="J243" s="19">
        <f t="shared" si="137"/>
        <v>0</v>
      </c>
      <c r="K243" s="2"/>
      <c r="L243" s="2">
        <f t="shared" si="138"/>
        <v>0</v>
      </c>
      <c r="M243" s="2"/>
      <c r="N243" s="19">
        <f t="shared" si="139"/>
        <v>0</v>
      </c>
      <c r="O243" s="11"/>
      <c r="P243" s="2">
        <f t="shared" ref="P243:P245" si="146">0</f>
        <v>0</v>
      </c>
      <c r="Q243" s="2"/>
      <c r="R243" s="19">
        <f t="shared" si="140"/>
        <v>0</v>
      </c>
      <c r="S243" s="2"/>
      <c r="T243" s="2">
        <f>--1626.85</f>
        <v>1626.85</v>
      </c>
      <c r="U243" s="2"/>
      <c r="V243" s="19">
        <f t="shared" si="141"/>
        <v>3.9276887785602061E-4</v>
      </c>
      <c r="W243" s="2"/>
      <c r="X243" s="2">
        <f t="shared" si="142"/>
        <v>-1626.85</v>
      </c>
      <c r="Y243" s="2"/>
      <c r="Z243" s="19">
        <f t="shared" si="143"/>
        <v>-1</v>
      </c>
    </row>
    <row r="244" spans="1:26" s="24" customFormat="1" hidden="1" outlineLevel="1" x14ac:dyDescent="0.25">
      <c r="A244" s="44"/>
      <c r="B244" s="11" t="str">
        <f>CONCATENATE("          ", "4197", " - ", "NON-TAXABLE SALES-RETURNED CHE")</f>
        <v xml:space="preserve">          4197 - NON-TAXABLE SALES-RETURNED CHE</v>
      </c>
      <c r="C244" s="11"/>
      <c r="D244" s="2">
        <f t="shared" si="144"/>
        <v>0</v>
      </c>
      <c r="E244" s="2"/>
      <c r="F244" s="19">
        <f t="shared" si="136"/>
        <v>0</v>
      </c>
      <c r="G244" s="2"/>
      <c r="H244" s="2">
        <f t="shared" si="145"/>
        <v>0</v>
      </c>
      <c r="I244" s="2"/>
      <c r="J244" s="19">
        <f t="shared" si="137"/>
        <v>0</v>
      </c>
      <c r="K244" s="2"/>
      <c r="L244" s="2">
        <f t="shared" si="138"/>
        <v>0</v>
      </c>
      <c r="M244" s="2"/>
      <c r="N244" s="19">
        <f t="shared" si="139"/>
        <v>0</v>
      </c>
      <c r="O244" s="11"/>
      <c r="P244" s="2">
        <f t="shared" si="146"/>
        <v>0</v>
      </c>
      <c r="Q244" s="2"/>
      <c r="R244" s="19">
        <f t="shared" si="140"/>
        <v>0</v>
      </c>
      <c r="S244" s="2"/>
      <c r="T244" s="2">
        <f>--30</f>
        <v>30</v>
      </c>
      <c r="U244" s="2"/>
      <c r="V244" s="19">
        <f t="shared" si="141"/>
        <v>7.2428720138184953E-6</v>
      </c>
      <c r="W244" s="2"/>
      <c r="X244" s="2">
        <f t="shared" si="142"/>
        <v>-30</v>
      </c>
      <c r="Y244" s="2"/>
      <c r="Z244" s="19">
        <f t="shared" si="143"/>
        <v>-1</v>
      </c>
    </row>
    <row r="245" spans="1:26" s="24" customFormat="1" hidden="1" outlineLevel="1" x14ac:dyDescent="0.25">
      <c r="A245" s="44"/>
      <c r="B245" s="11" t="str">
        <f>CONCATENATE("          ", "4198", " - ", "NON-TAXABLE SALES-GRAD RENTALS")</f>
        <v xml:space="preserve">          4198 - NON-TAXABLE SALES-GRAD RENTALS</v>
      </c>
      <c r="C245" s="11"/>
      <c r="D245" s="2">
        <f t="shared" si="144"/>
        <v>0</v>
      </c>
      <c r="E245" s="2"/>
      <c r="F245" s="19">
        <f t="shared" si="136"/>
        <v>0</v>
      </c>
      <c r="G245" s="2"/>
      <c r="H245" s="2">
        <f>--30</f>
        <v>30</v>
      </c>
      <c r="I245" s="2"/>
      <c r="J245" s="19">
        <f t="shared" si="137"/>
        <v>2.7597391516631768E-5</v>
      </c>
      <c r="K245" s="2"/>
      <c r="L245" s="2">
        <f t="shared" si="138"/>
        <v>-30</v>
      </c>
      <c r="M245" s="2"/>
      <c r="N245" s="19">
        <f t="shared" si="139"/>
        <v>-1</v>
      </c>
      <c r="O245" s="11"/>
      <c r="P245" s="2">
        <f t="shared" si="146"/>
        <v>0</v>
      </c>
      <c r="Q245" s="2"/>
      <c r="R245" s="19">
        <f t="shared" si="140"/>
        <v>0</v>
      </c>
      <c r="S245" s="2"/>
      <c r="T245" s="2">
        <f>--495</f>
        <v>495</v>
      </c>
      <c r="U245" s="2"/>
      <c r="V245" s="19">
        <f t="shared" si="141"/>
        <v>1.1950738822800517E-4</v>
      </c>
      <c r="W245" s="2"/>
      <c r="X245" s="2">
        <f t="shared" si="142"/>
        <v>-495</v>
      </c>
      <c r="Y245" s="2"/>
      <c r="Z245" s="19">
        <f t="shared" si="143"/>
        <v>-1</v>
      </c>
    </row>
    <row r="246" spans="1:26" s="24" customFormat="1" hidden="1" outlineLevel="1" x14ac:dyDescent="0.25">
      <c r="A246" s="44"/>
      <c r="B246" s="11" t="str">
        <f>CONCATENATE("          ", "9150", " - ", "MISC. INCOME")</f>
        <v xml:space="preserve">          9150 - MISC. INCOME</v>
      </c>
      <c r="C246" s="11"/>
      <c r="D246" s="2">
        <f>--18837.05</f>
        <v>18837.05</v>
      </c>
      <c r="E246" s="2"/>
      <c r="F246" s="19">
        <f t="shared" si="136"/>
        <v>5.1028881967125808E-2</v>
      </c>
      <c r="G246" s="2"/>
      <c r="H246" s="2">
        <f>--39218.84</f>
        <v>39218.839999999997</v>
      </c>
      <c r="I246" s="2"/>
      <c r="J246" s="19">
        <f t="shared" si="137"/>
        <v>3.6077922743604614E-2</v>
      </c>
      <c r="K246" s="2"/>
      <c r="L246" s="2">
        <f t="shared" si="138"/>
        <v>-20381.789999999997</v>
      </c>
      <c r="M246" s="2"/>
      <c r="N246" s="19">
        <f t="shared" si="139"/>
        <v>-0.51969385122048484</v>
      </c>
      <c r="O246" s="11"/>
      <c r="P246" s="2">
        <f>--111367.41</f>
        <v>111367.41</v>
      </c>
      <c r="Q246" s="2"/>
      <c r="R246" s="19">
        <f t="shared" si="140"/>
        <v>5.076227155403893E-2</v>
      </c>
      <c r="S246" s="2"/>
      <c r="T246" s="2">
        <f>--137386.92</f>
        <v>137386.92000000001</v>
      </c>
      <c r="U246" s="2"/>
      <c r="V246" s="19">
        <f t="shared" si="141"/>
        <v>3.3169195931090689E-2</v>
      </c>
      <c r="W246" s="2"/>
      <c r="X246" s="2">
        <f t="shared" si="142"/>
        <v>-26019.510000000009</v>
      </c>
      <c r="Y246" s="2"/>
      <c r="Z246" s="19">
        <f t="shared" si="143"/>
        <v>-0.18938855314610742</v>
      </c>
    </row>
    <row r="247" spans="1:26" s="24" customFormat="1" hidden="1" outlineLevel="1" x14ac:dyDescent="0.25">
      <c r="A247" s="44"/>
      <c r="B247" s="11" t="str">
        <f>CONCATENATE("          ", "9151", " - ", "MISC. INCOME")</f>
        <v xml:space="preserve">          9151 - MISC. INCOME</v>
      </c>
      <c r="C247" s="11"/>
      <c r="D247" s="2">
        <f>--147285.39</f>
        <v>147285.39000000001</v>
      </c>
      <c r="E247" s="2"/>
      <c r="F247" s="19">
        <f t="shared" si="136"/>
        <v>0.39899075395521549</v>
      </c>
      <c r="G247" s="2"/>
      <c r="H247" s="2">
        <f>--83458.02</f>
        <v>83458.02</v>
      </c>
      <c r="I247" s="2"/>
      <c r="J247" s="19">
        <f t="shared" si="137"/>
        <v>7.6774121771429477E-2</v>
      </c>
      <c r="K247" s="2"/>
      <c r="L247" s="2">
        <f t="shared" si="138"/>
        <v>63827.37000000001</v>
      </c>
      <c r="M247" s="2"/>
      <c r="N247" s="19">
        <f t="shared" si="139"/>
        <v>0.76478413937929524</v>
      </c>
      <c r="O247" s="11"/>
      <c r="P247" s="2">
        <f>--147285.39</f>
        <v>147285.39000000001</v>
      </c>
      <c r="Q247" s="2"/>
      <c r="R247" s="19">
        <f t="shared" si="140"/>
        <v>6.7134011315541336E-2</v>
      </c>
      <c r="S247" s="2"/>
      <c r="T247" s="2">
        <f>--83193.51</f>
        <v>83193.509999999995</v>
      </c>
      <c r="U247" s="2"/>
      <c r="V247" s="19">
        <f t="shared" si="141"/>
        <v>2.0085331510344303E-2</v>
      </c>
      <c r="W247" s="2"/>
      <c r="X247" s="2">
        <f t="shared" si="142"/>
        <v>64091.880000000019</v>
      </c>
      <c r="Y247" s="2"/>
      <c r="Z247" s="19">
        <f t="shared" si="143"/>
        <v>0.7703951906825427</v>
      </c>
    </row>
    <row r="248" spans="1:26" s="24" customFormat="1" hidden="1" outlineLevel="1" x14ac:dyDescent="0.25">
      <c r="A248" s="44"/>
      <c r="B248" s="11" t="str">
        <f>CONCATENATE("          ", "9152", " - ", "MISC. INCOME")</f>
        <v xml:space="preserve">          9152 - MISC. INCOME</v>
      </c>
      <c r="C248" s="11"/>
      <c r="D248" s="2">
        <f>--542.55</f>
        <v>542.54999999999995</v>
      </c>
      <c r="E248" s="2"/>
      <c r="F248" s="19">
        <f t="shared" si="136"/>
        <v>1.4697481777276222E-3</v>
      </c>
      <c r="G248" s="2"/>
      <c r="H248" s="2">
        <f>--633.59</f>
        <v>633.59</v>
      </c>
      <c r="I248" s="2"/>
      <c r="J248" s="19">
        <f t="shared" si="137"/>
        <v>5.8284770970075742E-4</v>
      </c>
      <c r="K248" s="2"/>
      <c r="L248" s="2">
        <f t="shared" si="138"/>
        <v>-91.040000000000077</v>
      </c>
      <c r="M248" s="2"/>
      <c r="N248" s="19">
        <f t="shared" si="139"/>
        <v>-0.14368913650783641</v>
      </c>
      <c r="O248" s="11"/>
      <c r="P248" s="2">
        <f>--2088.94</f>
        <v>2088.94</v>
      </c>
      <c r="Q248" s="2"/>
      <c r="R248" s="19">
        <f t="shared" si="140"/>
        <v>9.5215772316240531E-4</v>
      </c>
      <c r="S248" s="2"/>
      <c r="T248" s="2">
        <f>--641.02</f>
        <v>641.02</v>
      </c>
      <c r="U248" s="2"/>
      <c r="V248" s="19">
        <f t="shared" si="141"/>
        <v>1.5476086060993105E-4</v>
      </c>
      <c r="W248" s="2"/>
      <c r="X248" s="2">
        <f t="shared" si="142"/>
        <v>1447.92</v>
      </c>
      <c r="Y248" s="2"/>
      <c r="Z248" s="19">
        <f t="shared" si="143"/>
        <v>2.2587750772206796</v>
      </c>
    </row>
    <row r="249" spans="1:26" s="24" customFormat="1" hidden="1" outlineLevel="1" x14ac:dyDescent="0.25">
      <c r="A249" s="44"/>
      <c r="B249" s="11" t="str">
        <f>CONCATENATE("          ", "9160", " - ", "MISC. INCOME")</f>
        <v xml:space="preserve">          9160 - MISC. INCOME</v>
      </c>
      <c r="C249" s="11"/>
      <c r="D249" s="2">
        <f t="shared" ref="D249:D250" si="147">0</f>
        <v>0</v>
      </c>
      <c r="E249" s="2"/>
      <c r="F249" s="19">
        <f t="shared" si="136"/>
        <v>0</v>
      </c>
      <c r="G249" s="2"/>
      <c r="H249" s="2">
        <f t="shared" ref="H249:H250" si="148">0</f>
        <v>0</v>
      </c>
      <c r="I249" s="2"/>
      <c r="J249" s="19">
        <f t="shared" si="137"/>
        <v>0</v>
      </c>
      <c r="K249" s="2"/>
      <c r="L249" s="2">
        <f t="shared" si="138"/>
        <v>0</v>
      </c>
      <c r="M249" s="2"/>
      <c r="N249" s="19">
        <f t="shared" si="139"/>
        <v>0</v>
      </c>
      <c r="O249" s="11"/>
      <c r="P249" s="2">
        <f>0</f>
        <v>0</v>
      </c>
      <c r="Q249" s="2"/>
      <c r="R249" s="19">
        <f t="shared" si="140"/>
        <v>0</v>
      </c>
      <c r="S249" s="2"/>
      <c r="T249" s="2">
        <f>--21170</f>
        <v>21170</v>
      </c>
      <c r="U249" s="2"/>
      <c r="V249" s="19">
        <f t="shared" si="141"/>
        <v>5.111053351084585E-3</v>
      </c>
      <c r="W249" s="2"/>
      <c r="X249" s="2">
        <f t="shared" si="142"/>
        <v>-21170</v>
      </c>
      <c r="Y249" s="2"/>
      <c r="Z249" s="19">
        <f t="shared" si="143"/>
        <v>-1</v>
      </c>
    </row>
    <row r="250" spans="1:26" s="24" customFormat="1" hidden="1" outlineLevel="1" x14ac:dyDescent="0.25">
      <c r="A250" s="44"/>
      <c r="B250" s="11" t="str">
        <f>CONCATENATE("          ", "9163", " - ", "MISC. INCOME")</f>
        <v xml:space="preserve">          9163 - MISC. INCOME</v>
      </c>
      <c r="C250" s="11"/>
      <c r="D250" s="2">
        <f t="shared" si="147"/>
        <v>0</v>
      </c>
      <c r="E250" s="2"/>
      <c r="F250" s="19">
        <f t="shared" si="136"/>
        <v>0</v>
      </c>
      <c r="G250" s="2"/>
      <c r="H250" s="2">
        <f t="shared" si="148"/>
        <v>0</v>
      </c>
      <c r="I250" s="2"/>
      <c r="J250" s="19">
        <f t="shared" si="137"/>
        <v>0</v>
      </c>
      <c r="K250" s="2"/>
      <c r="L250" s="2">
        <f t="shared" si="138"/>
        <v>0</v>
      </c>
      <c r="M250" s="2"/>
      <c r="N250" s="19">
        <f t="shared" si="139"/>
        <v>0</v>
      </c>
      <c r="O250" s="11"/>
      <c r="P250" s="2">
        <f>--160663.9</f>
        <v>160663.9</v>
      </c>
      <c r="Q250" s="2"/>
      <c r="R250" s="19">
        <f t="shared" si="140"/>
        <v>7.3232057032941278E-2</v>
      </c>
      <c r="S250" s="2"/>
      <c r="T250" s="2">
        <f>0</f>
        <v>0</v>
      </c>
      <c r="U250" s="2"/>
      <c r="V250" s="19">
        <f t="shared" si="141"/>
        <v>0</v>
      </c>
      <c r="W250" s="2"/>
      <c r="X250" s="2">
        <f t="shared" si="142"/>
        <v>160663.9</v>
      </c>
      <c r="Y250" s="2"/>
      <c r="Z250" s="19">
        <f t="shared" si="143"/>
        <v>0</v>
      </c>
    </row>
    <row r="251" spans="1:26" x14ac:dyDescent="0.25">
      <c r="A251" s="9"/>
      <c r="B251" s="10"/>
      <c r="C251" s="10"/>
      <c r="D251" s="3"/>
      <c r="E251" s="3"/>
      <c r="F251" s="8"/>
      <c r="G251" s="3"/>
      <c r="H251" s="3"/>
      <c r="I251" s="3"/>
      <c r="J251" s="8"/>
      <c r="K251" s="3"/>
      <c r="L251" s="3"/>
      <c r="M251" s="3"/>
      <c r="N251" s="8"/>
      <c r="O251" s="10"/>
      <c r="P251" s="3"/>
      <c r="Q251" s="3"/>
      <c r="R251" s="8"/>
      <c r="S251" s="3"/>
      <c r="T251" s="3"/>
      <c r="U251" s="3"/>
      <c r="V251" s="8"/>
      <c r="W251" s="3"/>
      <c r="X251" s="3"/>
      <c r="Y251" s="3"/>
      <c r="Z251" s="8"/>
    </row>
    <row r="252" spans="1:26" s="23" customFormat="1" x14ac:dyDescent="0.25">
      <c r="A252" s="10"/>
      <c r="B252" s="25" t="s">
        <v>3</v>
      </c>
      <c r="C252" s="25"/>
      <c r="D252" s="22">
        <f>+D152-D154+D242</f>
        <v>44869.320000000007</v>
      </c>
      <c r="E252" s="13"/>
      <c r="F252" s="21">
        <f>IF(D$12=0,0,D252/D$12)</f>
        <v>0.12154935269722157</v>
      </c>
      <c r="G252" s="13"/>
      <c r="H252" s="22">
        <f>+H152-H154+H242</f>
        <v>218513.46999999927</v>
      </c>
      <c r="I252" s="13"/>
      <c r="J252" s="21">
        <f>IF(H$12=0,0,H252/H$12)</f>
        <v>0.201013392774925</v>
      </c>
      <c r="K252" s="15"/>
      <c r="L252" s="22">
        <f>+D252-H252</f>
        <v>-173644.14999999927</v>
      </c>
      <c r="M252" s="15"/>
      <c r="N252" s="21">
        <f>IF(H252=0,0,L252/H252)</f>
        <v>-0.79466107970368982</v>
      </c>
      <c r="O252" s="26"/>
      <c r="P252" s="22">
        <f>+P152-P154+P242</f>
        <v>359059.29999999958</v>
      </c>
      <c r="Q252" s="13"/>
      <c r="R252" s="21">
        <f>IF(P$12=0,0,P252/P$12)</f>
        <v>0.16366247262644529</v>
      </c>
      <c r="S252" s="13"/>
      <c r="T252" s="22">
        <f>+T152-T154+T242</f>
        <v>664350.38999999897</v>
      </c>
      <c r="U252" s="13"/>
      <c r="V252" s="21">
        <f>IF(T$12=0,0,T252/T$12)</f>
        <v>0.16039349490334651</v>
      </c>
      <c r="W252" s="15"/>
      <c r="X252" s="22">
        <f>+P252-T252</f>
        <v>-305291.08999999939</v>
      </c>
      <c r="Y252" s="15"/>
      <c r="Z252" s="21">
        <f>IF(T252=0,0,X252/T252)</f>
        <v>-0.45953324419663522</v>
      </c>
    </row>
    <row r="253" spans="1:26" x14ac:dyDescent="0.25">
      <c r="A253" s="9"/>
      <c r="B253" s="10"/>
      <c r="C253" s="9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x14ac:dyDescent="0.25">
      <c r="A254" s="51"/>
      <c r="B254" s="10" t="s">
        <v>13</v>
      </c>
      <c r="C254" s="10"/>
      <c r="D254" s="4">
        <v>98345.279999999999</v>
      </c>
      <c r="E254" s="4"/>
      <c r="F254" s="12">
        <f>IF(D$12=0,0,D254/D$12)</f>
        <v>0.26641377950071471</v>
      </c>
      <c r="G254" s="4"/>
      <c r="H254" s="4">
        <v>64010.22</v>
      </c>
      <c r="I254" s="4"/>
      <c r="J254" s="12">
        <f>IF(H$12=0,0,H254/H$12)</f>
        <v>5.8883836746857772E-2</v>
      </c>
      <c r="K254" s="4"/>
      <c r="L254" s="4">
        <f>+D254-H254</f>
        <v>34335.06</v>
      </c>
      <c r="M254" s="4"/>
      <c r="N254" s="12">
        <f>IF(H254=0,0,L254/H254)</f>
        <v>0.53639965617990371</v>
      </c>
      <c r="O254" s="10"/>
      <c r="P254" s="4">
        <v>406431.15</v>
      </c>
      <c r="Q254" s="4"/>
      <c r="R254" s="12">
        <f>IF(P$12=0,0,P254/P$12)</f>
        <v>0.18525498980644636</v>
      </c>
      <c r="S254" s="4"/>
      <c r="T254" s="4">
        <v>444906.02999999997</v>
      </c>
      <c r="U254" s="4"/>
      <c r="V254" s="12">
        <f>IF(T$12=0,0,T254/T$12)</f>
        <v>0.10741324778220306</v>
      </c>
      <c r="W254" s="4"/>
      <c r="X254" s="4">
        <f>+P254-T254</f>
        <v>-38474.879999999946</v>
      </c>
      <c r="Y254" s="4"/>
      <c r="Z254" s="12">
        <f>IF(T254=0,0,X254/T254)</f>
        <v>-8.6478666067978327E-2</v>
      </c>
    </row>
    <row r="255" spans="1:26" x14ac:dyDescent="0.25">
      <c r="A255" s="9"/>
      <c r="B255" s="10"/>
      <c r="C255" s="10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O255" s="10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ht="15.75" thickBot="1" x14ac:dyDescent="0.3">
      <c r="A256" s="10"/>
      <c r="B256" s="25" t="s">
        <v>4</v>
      </c>
      <c r="C256" s="25"/>
      <c r="D256" s="33">
        <f>+D252-D254</f>
        <v>-53475.959999999992</v>
      </c>
      <c r="E256" s="13"/>
      <c r="F256" s="32">
        <f>IF(D$12=0,0,D256/D$12)</f>
        <v>-0.14486442680349315</v>
      </c>
      <c r="G256" s="13"/>
      <c r="H256" s="33">
        <f>+H252-H254</f>
        <v>154503.24999999927</v>
      </c>
      <c r="I256" s="13"/>
      <c r="J256" s="32">
        <f>IF(H$12=0,0,H256/H$12)</f>
        <v>0.14212955602806723</v>
      </c>
      <c r="K256" s="15"/>
      <c r="L256" s="33">
        <f>D256-H256</f>
        <v>-207979.20999999926</v>
      </c>
      <c r="M256" s="15"/>
      <c r="N256" s="32">
        <f>IF(H256=0,0,L256/H256)</f>
        <v>-1.3461154377011502</v>
      </c>
      <c r="O256" s="26"/>
      <c r="P256" s="33">
        <f>+P252-P254</f>
        <v>-47371.850000000442</v>
      </c>
      <c r="Q256" s="13"/>
      <c r="R256" s="32">
        <f>IF(P$12=0,0,P256/P$12)</f>
        <v>-2.1592517180001058E-2</v>
      </c>
      <c r="S256" s="13"/>
      <c r="T256" s="33">
        <f>+T252-T254</f>
        <v>219444.359999999</v>
      </c>
      <c r="U256" s="13"/>
      <c r="V256" s="32">
        <f>IF(T$12=0,0,T256/T$12)</f>
        <v>5.2980247121143451E-2</v>
      </c>
      <c r="W256" s="15"/>
      <c r="X256" s="33">
        <f>P256-T256</f>
        <v>-266816.20999999944</v>
      </c>
      <c r="Y256" s="15"/>
      <c r="Z256" s="32">
        <f>IF(T256=0,0,X256/T256)</f>
        <v>-1.2158718045886467</v>
      </c>
    </row>
    <row r="257" spans="1:26" ht="15.75" thickTop="1" x14ac:dyDescent="0.25">
      <c r="A257" s="9"/>
      <c r="B257" s="9"/>
      <c r="C257" s="9"/>
      <c r="D257" s="3"/>
      <c r="E257" s="3"/>
      <c r="F257" s="8"/>
      <c r="G257" s="3"/>
      <c r="H257" s="3"/>
      <c r="I257" s="3"/>
      <c r="J257" s="8"/>
      <c r="K257" s="3"/>
      <c r="L257" s="3"/>
      <c r="M257" s="3"/>
      <c r="N257" s="8"/>
      <c r="P257" s="3"/>
      <c r="Q257" s="3"/>
      <c r="R257" s="8"/>
      <c r="S257" s="3"/>
      <c r="T257" s="3"/>
      <c r="U257" s="3"/>
      <c r="V257" s="8"/>
      <c r="W257" s="3"/>
      <c r="X257" s="3"/>
      <c r="Y257" s="3"/>
      <c r="Z257" s="8"/>
    </row>
    <row r="258" spans="1:26" x14ac:dyDescent="0.25">
      <c r="A258" s="9"/>
      <c r="B258" s="9"/>
      <c r="C258" s="9"/>
      <c r="D258" s="3"/>
      <c r="E258" s="3"/>
      <c r="F258" s="8"/>
      <c r="G258" s="3"/>
      <c r="H258" s="3"/>
      <c r="I258" s="3"/>
      <c r="J258" s="8"/>
      <c r="K258" s="3"/>
      <c r="L258" s="3"/>
      <c r="M258" s="3"/>
      <c r="N258" s="8"/>
      <c r="P258" s="3"/>
      <c r="Q258" s="3"/>
      <c r="R258" s="8"/>
      <c r="S258" s="3"/>
      <c r="T258" s="3"/>
      <c r="U258" s="3"/>
      <c r="V258" s="8"/>
      <c r="W258" s="3"/>
      <c r="X258" s="3"/>
      <c r="Y258" s="3"/>
      <c r="Z258" s="8"/>
    </row>
    <row r="259" spans="1:26" s="23" customFormat="1" ht="15.75" thickBot="1" x14ac:dyDescent="0.3">
      <c r="A259" s="10"/>
      <c r="B259" s="25" t="s">
        <v>5</v>
      </c>
      <c r="C259" s="25"/>
      <c r="D259" s="34">
        <f>SUM(D256:D258)</f>
        <v>-53475.959999999992</v>
      </c>
      <c r="E259" s="13"/>
      <c r="F259" s="31">
        <f>IF(D$12=0,0,D259/D$12)</f>
        <v>-0.14486442680349315</v>
      </c>
      <c r="G259" s="13"/>
      <c r="H259" s="34">
        <f>SUM(H256:H258)</f>
        <v>154503.24999999927</v>
      </c>
      <c r="I259" s="13"/>
      <c r="J259" s="31">
        <f>IF(H$12=0,0,H259/H$12)</f>
        <v>0.14212955602806723</v>
      </c>
      <c r="K259" s="15"/>
      <c r="L259" s="34">
        <f>+D259-H259</f>
        <v>-207979.20999999926</v>
      </c>
      <c r="M259" s="15"/>
      <c r="N259" s="31">
        <f>IF(H259=0,0,L259/H259)</f>
        <v>-1.3461154377011502</v>
      </c>
      <c r="O259" s="26"/>
      <c r="P259" s="34">
        <f>SUM(P256:P258)</f>
        <v>-47371.850000000442</v>
      </c>
      <c r="Q259" s="13"/>
      <c r="R259" s="31">
        <f>IF(P$12=0,0,P259/P$12)</f>
        <v>-2.1592517180001058E-2</v>
      </c>
      <c r="S259" s="13"/>
      <c r="T259" s="34">
        <f>SUM(T256:T258)</f>
        <v>219444.359999999</v>
      </c>
      <c r="U259" s="13"/>
      <c r="V259" s="31">
        <f>IF(T$12=0,0,T259/T$12)</f>
        <v>5.2980247121143451E-2</v>
      </c>
      <c r="W259" s="15"/>
      <c r="X259" s="34">
        <f>+P259-T259</f>
        <v>-266816.20999999944</v>
      </c>
      <c r="Y259" s="15"/>
      <c r="Z259" s="31">
        <f>IF(T259=0,0,X259/T259)</f>
        <v>-1.2158718045886467</v>
      </c>
    </row>
    <row r="260" spans="1:26" ht="15.75" thickTop="1" x14ac:dyDescent="0.25">
      <c r="A260" s="9"/>
      <c r="C260" s="9"/>
      <c r="D260" s="18"/>
      <c r="E260" s="18"/>
      <c r="G260" s="18"/>
      <c r="H260" s="18"/>
      <c r="I260" s="18"/>
      <c r="J260" s="42"/>
      <c r="K260" s="18"/>
      <c r="L260" s="18"/>
      <c r="M260" s="18"/>
      <c r="P260" s="18"/>
      <c r="Q260" s="18"/>
      <c r="R260" s="42"/>
      <c r="S260" s="18"/>
      <c r="T260" s="18"/>
      <c r="U260" s="18"/>
      <c r="V260" s="42"/>
      <c r="W260" s="18"/>
      <c r="X260" s="18"/>
    </row>
    <row r="261" spans="1:26" x14ac:dyDescent="0.25">
      <c r="A261" s="9"/>
      <c r="B261" s="54">
        <v>44123.564639386575</v>
      </c>
      <c r="D261" s="18"/>
      <c r="E261" s="18"/>
      <c r="G261" s="18"/>
      <c r="H261" s="18"/>
      <c r="I261" s="18"/>
      <c r="J261" s="42"/>
      <c r="K261" s="18"/>
      <c r="L261" s="18"/>
      <c r="M261" s="18"/>
      <c r="P261" s="18"/>
      <c r="Q261" s="18"/>
      <c r="R261" s="42"/>
      <c r="S261" s="18"/>
      <c r="T261" s="18"/>
      <c r="U261" s="18"/>
      <c r="V261" s="42"/>
      <c r="W261" s="18"/>
      <c r="X261" s="18"/>
    </row>
    <row r="262" spans="1:26" x14ac:dyDescent="0.25">
      <c r="A262" s="9"/>
      <c r="B262" s="59" t="s">
        <v>313</v>
      </c>
      <c r="D262" s="18"/>
      <c r="E262" s="18"/>
      <c r="G262" s="18"/>
      <c r="H262" s="18"/>
      <c r="I262" s="18"/>
      <c r="J262" s="42"/>
      <c r="K262" s="18"/>
      <c r="L262" s="18"/>
      <c r="M262" s="18"/>
      <c r="P262" s="18"/>
      <c r="Q262" s="18"/>
      <c r="R262" s="42"/>
      <c r="S262" s="18"/>
      <c r="T262" s="18"/>
      <c r="U262" s="18"/>
      <c r="V262" s="42"/>
      <c r="W262" s="18"/>
      <c r="X262" s="18"/>
    </row>
    <row r="263" spans="1:26" x14ac:dyDescent="0.25">
      <c r="A263" s="9"/>
      <c r="B263" s="58"/>
      <c r="D263" s="18"/>
      <c r="E263" s="18"/>
      <c r="G263" s="18"/>
      <c r="H263" s="18"/>
      <c r="I263" s="18"/>
      <c r="J263" s="42"/>
      <c r="K263" s="18"/>
      <c r="L263" s="18"/>
      <c r="M263" s="18"/>
      <c r="P263" s="18"/>
      <c r="Q263" s="18"/>
      <c r="R263" s="42"/>
      <c r="S263" s="18"/>
      <c r="T263" s="18"/>
      <c r="U263" s="18"/>
      <c r="V263" s="42"/>
      <c r="W263" s="18"/>
      <c r="X263" s="18"/>
    </row>
    <row r="264" spans="1:26" x14ac:dyDescent="0.25">
      <c r="D264" s="18"/>
      <c r="E264" s="18"/>
      <c r="G264" s="18"/>
      <c r="H264" s="18"/>
      <c r="I264" s="18"/>
      <c r="J264" s="42"/>
      <c r="K264" s="18"/>
      <c r="L264" s="18"/>
      <c r="M264" s="18"/>
      <c r="P264" s="18"/>
      <c r="Q264" s="18"/>
      <c r="R264" s="42"/>
      <c r="S264" s="18"/>
      <c r="T264" s="18"/>
      <c r="U264" s="18"/>
      <c r="V264" s="42"/>
      <c r="W264" s="18"/>
      <c r="X264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9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632791.41000000027</v>
      </c>
      <c r="E12" s="4"/>
      <c r="F12" s="12"/>
      <c r="G12" s="4"/>
      <c r="H12" s="4">
        <f>SUM(OSRRefH13x_0)</f>
        <v>1407384.8699999994</v>
      </c>
      <c r="I12" s="4"/>
      <c r="J12" s="12"/>
      <c r="K12" s="4"/>
      <c r="L12" s="4">
        <f t="shared" ref="L12:L118" si="0">+D12-H12</f>
        <v>-774593.45999999915</v>
      </c>
      <c r="M12" s="4"/>
      <c r="N12" s="12">
        <f t="shared" ref="N12:N118" si="1">IF(H12=0,0,L12/H12)</f>
        <v>-0.55037785080068358</v>
      </c>
      <c r="O12" s="10"/>
      <c r="P12" s="4">
        <f>SUM(OSRRefP13x_0)</f>
        <v>3157185.959999999</v>
      </c>
      <c r="Q12" s="4"/>
      <c r="R12" s="12"/>
      <c r="S12" s="4"/>
      <c r="T12" s="4">
        <f>SUM(OSRRefT13x_0)</f>
        <v>5334181.4099999992</v>
      </c>
      <c r="U12" s="4"/>
      <c r="V12" s="12"/>
      <c r="W12" s="4"/>
      <c r="X12" s="4">
        <f t="shared" ref="X12:X118" si="2">+P12-T12</f>
        <v>-2176995.4500000002</v>
      </c>
      <c r="Y12" s="4"/>
      <c r="Z12" s="12">
        <f t="shared" ref="Z12:Z118" si="3">IF(T12=0,0,X12/T12)</f>
        <v>-0.4081217496500556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-8672.74</f>
        <v>-8672.74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-8672.74</v>
      </c>
      <c r="M13" s="2"/>
      <c r="N13" s="19">
        <f t="shared" si="1"/>
        <v>0</v>
      </c>
      <c r="O13" s="11"/>
      <c r="P13" s="2">
        <f>-37800.78</f>
        <v>-37800.78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-37800.78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19"/>
      <c r="G14" s="2"/>
      <c r="H14" s="2">
        <f>--336733.45</f>
        <v>336733.45</v>
      </c>
      <c r="I14" s="2"/>
      <c r="J14" s="19"/>
      <c r="K14" s="2"/>
      <c r="L14" s="2">
        <f t="shared" si="0"/>
        <v>-226234.13</v>
      </c>
      <c r="M14" s="2"/>
      <c r="N14" s="19">
        <f t="shared" si="1"/>
        <v>-0.67184929207359712</v>
      </c>
      <c r="O14" s="11"/>
      <c r="P14" s="2">
        <f>--694696.64</f>
        <v>694696.64</v>
      </c>
      <c r="Q14" s="2"/>
      <c r="R14" s="19"/>
      <c r="S14" s="2"/>
      <c r="T14" s="2">
        <f>--1463955.42</f>
        <v>1463955.42</v>
      </c>
      <c r="U14" s="2"/>
      <c r="V14" s="19"/>
      <c r="W14" s="2"/>
      <c r="X14" s="2">
        <f t="shared" si="2"/>
        <v>-769258.77999999991</v>
      </c>
      <c r="Y14" s="2"/>
      <c r="Z14" s="19">
        <f t="shared" si="3"/>
        <v>-0.5254659872088181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19"/>
      <c r="G15" s="2"/>
      <c r="H15" s="2">
        <f>--101849.66</f>
        <v>101849.66</v>
      </c>
      <c r="I15" s="2"/>
      <c r="J15" s="19"/>
      <c r="K15" s="2"/>
      <c r="L15" s="2">
        <f t="shared" si="0"/>
        <v>-63805.920000000006</v>
      </c>
      <c r="M15" s="2"/>
      <c r="N15" s="19">
        <f t="shared" si="1"/>
        <v>-0.62647160530530988</v>
      </c>
      <c r="O15" s="11"/>
      <c r="P15" s="2">
        <f>--316655.9</f>
        <v>316655.90000000002</v>
      </c>
      <c r="Q15" s="2"/>
      <c r="R15" s="19"/>
      <c r="S15" s="2"/>
      <c r="T15" s="2">
        <f>--657310.58</f>
        <v>657310.57999999996</v>
      </c>
      <c r="U15" s="2"/>
      <c r="V15" s="19"/>
      <c r="W15" s="2"/>
      <c r="X15" s="2">
        <f t="shared" si="2"/>
        <v>-340654.67999999993</v>
      </c>
      <c r="Y15" s="2"/>
      <c r="Z15" s="19">
        <f t="shared" si="3"/>
        <v>-0.51825528200078563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19"/>
      <c r="G16" s="2"/>
      <c r="H16" s="2">
        <f>--2800.64</f>
        <v>2800.64</v>
      </c>
      <c r="I16" s="2"/>
      <c r="J16" s="19"/>
      <c r="K16" s="2"/>
      <c r="L16" s="2">
        <f t="shared" si="0"/>
        <v>-1260.8499999999999</v>
      </c>
      <c r="M16" s="2"/>
      <c r="N16" s="19">
        <f t="shared" si="1"/>
        <v>-0.45020066841864714</v>
      </c>
      <c r="O16" s="11"/>
      <c r="P16" s="2">
        <f>--10595.63</f>
        <v>10595.63</v>
      </c>
      <c r="Q16" s="2"/>
      <c r="R16" s="19"/>
      <c r="S16" s="2"/>
      <c r="T16" s="2">
        <f>--15536.69</f>
        <v>15536.69</v>
      </c>
      <c r="U16" s="2"/>
      <c r="V16" s="19"/>
      <c r="W16" s="2"/>
      <c r="X16" s="2">
        <f t="shared" si="2"/>
        <v>-4941.0600000000013</v>
      </c>
      <c r="Y16" s="2"/>
      <c r="Z16" s="19">
        <f t="shared" si="3"/>
        <v>-0.31802526793029928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19"/>
      <c r="G17" s="2"/>
      <c r="H17" s="2">
        <f>--7290.37</f>
        <v>7290.37</v>
      </c>
      <c r="I17" s="2"/>
      <c r="J17" s="19"/>
      <c r="K17" s="2"/>
      <c r="L17" s="2">
        <f t="shared" si="0"/>
        <v>-7006.15</v>
      </c>
      <c r="M17" s="2"/>
      <c r="N17" s="19">
        <f t="shared" si="1"/>
        <v>-0.96101432437585466</v>
      </c>
      <c r="O17" s="11"/>
      <c r="P17" s="2">
        <f>--2105.11</f>
        <v>2105.11</v>
      </c>
      <c r="Q17" s="2"/>
      <c r="R17" s="19"/>
      <c r="S17" s="2"/>
      <c r="T17" s="2">
        <f>--29700.44</f>
        <v>29700.44</v>
      </c>
      <c r="U17" s="2"/>
      <c r="V17" s="19"/>
      <c r="W17" s="2"/>
      <c r="X17" s="2">
        <f t="shared" si="2"/>
        <v>-27595.329999999998</v>
      </c>
      <c r="Y17" s="2"/>
      <c r="Z17" s="19">
        <f t="shared" si="3"/>
        <v>-0.92912192546642403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ref="D18:D19" si="4">0</f>
        <v>0</v>
      </c>
      <c r="E18" s="2"/>
      <c r="F18" s="19"/>
      <c r="G18" s="2"/>
      <c r="H18" s="2">
        <f>--9.6</f>
        <v>9.6</v>
      </c>
      <c r="I18" s="2"/>
      <c r="J18" s="19"/>
      <c r="K18" s="2"/>
      <c r="L18" s="2">
        <f t="shared" si="0"/>
        <v>-9.6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--29.95</f>
        <v>29.95</v>
      </c>
      <c r="I19" s="2"/>
      <c r="J19" s="19"/>
      <c r="K19" s="2"/>
      <c r="L19" s="2">
        <f t="shared" si="0"/>
        <v>-29.95</v>
      </c>
      <c r="M19" s="2"/>
      <c r="N19" s="19">
        <f t="shared" si="1"/>
        <v>-1</v>
      </c>
      <c r="O19" s="11"/>
      <c r="P19" s="2">
        <f>--39.9</f>
        <v>39.9</v>
      </c>
      <c r="Q19" s="2"/>
      <c r="R19" s="19"/>
      <c r="S19" s="2"/>
      <c r="T19" s="2">
        <f>--140.76</f>
        <v>140.76</v>
      </c>
      <c r="U19" s="2"/>
      <c r="V19" s="19"/>
      <c r="W19" s="2"/>
      <c r="X19" s="2">
        <f t="shared" si="2"/>
        <v>-100.85999999999999</v>
      </c>
      <c r="Y19" s="2"/>
      <c r="Z19" s="19">
        <f t="shared" si="3"/>
        <v>-0.71653878942881499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--97.51</f>
        <v>97.51</v>
      </c>
      <c r="E20" s="2"/>
      <c r="F20" s="19"/>
      <c r="G20" s="2"/>
      <c r="H20" s="2">
        <f>--97.44</f>
        <v>97.44</v>
      </c>
      <c r="I20" s="2"/>
      <c r="J20" s="19"/>
      <c r="K20" s="2"/>
      <c r="L20" s="2">
        <f t="shared" si="0"/>
        <v>7.000000000000739E-2</v>
      </c>
      <c r="M20" s="2"/>
      <c r="N20" s="19">
        <f t="shared" si="1"/>
        <v>7.1839080459777703E-4</v>
      </c>
      <c r="O20" s="11"/>
      <c r="P20" s="2">
        <f>--304.44</f>
        <v>304.44</v>
      </c>
      <c r="Q20" s="2"/>
      <c r="R20" s="19"/>
      <c r="S20" s="2"/>
      <c r="T20" s="2">
        <f>--523.09</f>
        <v>523.09</v>
      </c>
      <c r="U20" s="2"/>
      <c r="V20" s="19"/>
      <c r="W20" s="2"/>
      <c r="X20" s="2">
        <f t="shared" si="2"/>
        <v>-218.65000000000003</v>
      </c>
      <c r="Y20" s="2"/>
      <c r="Z20" s="19">
        <f t="shared" si="3"/>
        <v>-0.41799690301860104</v>
      </c>
    </row>
    <row r="21" spans="1:26" s="24" customFormat="1" hidden="1" outlineLevel="1" x14ac:dyDescent="0.25">
      <c r="A21" s="44"/>
      <c r="B21" s="11" t="str">
        <f>CONCATENATE("          ", "4017", " - ", "TAXABLE SALES-DORM/HOUSEWARES")</f>
        <v xml:space="preserve">          4017 - TAXABLE SALES-DORM/HOUSEWARES</v>
      </c>
      <c r="C21" s="11"/>
      <c r="D21" s="2">
        <f>0</f>
        <v>0</v>
      </c>
      <c r="E21" s="2"/>
      <c r="F21" s="19"/>
      <c r="G21" s="2"/>
      <c r="H21" s="2">
        <f>--65.39</f>
        <v>65.39</v>
      </c>
      <c r="I21" s="2"/>
      <c r="J21" s="19"/>
      <c r="K21" s="2"/>
      <c r="L21" s="2">
        <f t="shared" si="0"/>
        <v>-65.39</v>
      </c>
      <c r="M21" s="2"/>
      <c r="N21" s="19">
        <f t="shared" si="1"/>
        <v>-1</v>
      </c>
      <c r="O21" s="11"/>
      <c r="P21" s="2">
        <f>0</f>
        <v>0</v>
      </c>
      <c r="Q21" s="2"/>
      <c r="R21" s="19"/>
      <c r="S21" s="2"/>
      <c r="T21" s="2">
        <f>--222.69</f>
        <v>222.69</v>
      </c>
      <c r="U21" s="2"/>
      <c r="V21" s="19"/>
      <c r="W21" s="2"/>
      <c r="X21" s="2">
        <f t="shared" si="2"/>
        <v>-222.69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"4018", " - ", "TAXABLE SALES-STUDY GUIDES")</f>
        <v xml:space="preserve">          4018 - TAXABLE SALES-STUDY GUIDES</v>
      </c>
      <c r="C22" s="11"/>
      <c r="D22" s="2">
        <f>--48.87</f>
        <v>48.87</v>
      </c>
      <c r="E22" s="2"/>
      <c r="F22" s="19"/>
      <c r="G22" s="2"/>
      <c r="H22" s="2">
        <f>--696.02</f>
        <v>696.02</v>
      </c>
      <c r="I22" s="2"/>
      <c r="J22" s="19"/>
      <c r="K22" s="2"/>
      <c r="L22" s="2">
        <f t="shared" si="0"/>
        <v>-647.15</v>
      </c>
      <c r="M22" s="2"/>
      <c r="N22" s="19">
        <f t="shared" si="1"/>
        <v>-0.92978650038791988</v>
      </c>
      <c r="O22" s="11"/>
      <c r="P22" s="2">
        <f>--183.89</f>
        <v>183.89</v>
      </c>
      <c r="Q22" s="2"/>
      <c r="R22" s="19"/>
      <c r="S22" s="2"/>
      <c r="T22" s="2">
        <f>--2060.15</f>
        <v>2060.15</v>
      </c>
      <c r="U22" s="2"/>
      <c r="V22" s="19"/>
      <c r="W22" s="2"/>
      <c r="X22" s="2">
        <f t="shared" si="2"/>
        <v>-1876.2600000000002</v>
      </c>
      <c r="Y22" s="2"/>
      <c r="Z22" s="19">
        <f t="shared" si="3"/>
        <v>-0.91073950925903457</v>
      </c>
    </row>
    <row r="23" spans="1:26" s="24" customFormat="1" hidden="1" outlineLevel="1" x14ac:dyDescent="0.25">
      <c r="A23" s="44"/>
      <c r="B23" s="11" t="str">
        <f>CONCATENATE("          ", "4019", " - ", "TAXABLE SALES-BOOK RELATED")</f>
        <v xml:space="preserve">          4019 - TAXABLE SALES-BOOK RELATED</v>
      </c>
      <c r="C23" s="11"/>
      <c r="D23" s="2">
        <f t="shared" ref="D23:D24" si="5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6">0</f>
        <v>0</v>
      </c>
      <c r="Q23" s="2"/>
      <c r="R23" s="19"/>
      <c r="S23" s="2"/>
      <c r="T23" s="2">
        <f>--14.95</f>
        <v>14.95</v>
      </c>
      <c r="U23" s="2"/>
      <c r="V23" s="19"/>
      <c r="W23" s="2"/>
      <c r="X23" s="2">
        <f t="shared" si="2"/>
        <v>-14.95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"4025", " - ", "TAXABLE SALES-TEST FORMS")</f>
        <v xml:space="preserve">          4025 - TAXABLE SALES-TEST FORMS</v>
      </c>
      <c r="C24" s="11"/>
      <c r="D24" s="2">
        <f t="shared" si="5"/>
        <v>0</v>
      </c>
      <c r="E24" s="2"/>
      <c r="F24" s="19"/>
      <c r="G24" s="2"/>
      <c r="H24" s="2">
        <f>--11837.54</f>
        <v>11837.54</v>
      </c>
      <c r="I24" s="2"/>
      <c r="J24" s="19"/>
      <c r="K24" s="2"/>
      <c r="L24" s="2">
        <f t="shared" si="0"/>
        <v>-11837.54</v>
      </c>
      <c r="M24" s="2"/>
      <c r="N24" s="19">
        <f t="shared" si="1"/>
        <v>-1</v>
      </c>
      <c r="O24" s="11"/>
      <c r="P24" s="2">
        <f t="shared" si="6"/>
        <v>0</v>
      </c>
      <c r="Q24" s="2"/>
      <c r="R24" s="19"/>
      <c r="S24" s="2"/>
      <c r="T24" s="2">
        <f>--16296.07</f>
        <v>16296.07</v>
      </c>
      <c r="U24" s="2"/>
      <c r="V24" s="19"/>
      <c r="W24" s="2"/>
      <c r="X24" s="2">
        <f t="shared" si="2"/>
        <v>-16296.07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"4026", " - ", "TAXABLE SALES-WRITING INSTRUME")</f>
        <v xml:space="preserve">          4026 - TAXABLE SALES-WRITING INSTRUME</v>
      </c>
      <c r="C25" s="11"/>
      <c r="D25" s="2">
        <f>--21.47</f>
        <v>21.47</v>
      </c>
      <c r="E25" s="2"/>
      <c r="F25" s="19"/>
      <c r="G25" s="2"/>
      <c r="H25" s="2">
        <f>--11722.76</f>
        <v>11722.76</v>
      </c>
      <c r="I25" s="2"/>
      <c r="J25" s="19"/>
      <c r="K25" s="2"/>
      <c r="L25" s="2">
        <f t="shared" si="0"/>
        <v>-11701.29</v>
      </c>
      <c r="M25" s="2"/>
      <c r="N25" s="19">
        <f t="shared" si="1"/>
        <v>-0.99816852004135548</v>
      </c>
      <c r="O25" s="11"/>
      <c r="P25" s="2">
        <f>--258.03</f>
        <v>258.02999999999997</v>
      </c>
      <c r="Q25" s="2"/>
      <c r="R25" s="19"/>
      <c r="S25" s="2"/>
      <c r="T25" s="2">
        <f>--24499.3</f>
        <v>24499.3</v>
      </c>
      <c r="U25" s="2"/>
      <c r="V25" s="19"/>
      <c r="W25" s="2"/>
      <c r="X25" s="2">
        <f t="shared" si="2"/>
        <v>-24241.27</v>
      </c>
      <c r="Y25" s="2"/>
      <c r="Z25" s="19">
        <f t="shared" si="3"/>
        <v>-0.9894678623470875</v>
      </c>
    </row>
    <row r="26" spans="1:26" s="24" customFormat="1" hidden="1" outlineLevel="1" x14ac:dyDescent="0.25">
      <c r="A26" s="44"/>
      <c r="B26" s="11" t="str">
        <f>CONCATENATE("          ", "4027", " - ", "TAXABLE SALES-SCHOOL SUPPLIES")</f>
        <v xml:space="preserve">          4027 - TAXABLE SALES-SCHOOL SUPPLIES</v>
      </c>
      <c r="C26" s="11"/>
      <c r="D26" s="2">
        <f>--10773.55</f>
        <v>10773.55</v>
      </c>
      <c r="E26" s="2"/>
      <c r="F26" s="19"/>
      <c r="G26" s="2"/>
      <c r="H26" s="2">
        <f>--44221.34</f>
        <v>44221.34</v>
      </c>
      <c r="I26" s="2"/>
      <c r="J26" s="19"/>
      <c r="K26" s="2"/>
      <c r="L26" s="2">
        <f t="shared" si="0"/>
        <v>-33447.789999999994</v>
      </c>
      <c r="M26" s="2"/>
      <c r="N26" s="19">
        <f t="shared" si="1"/>
        <v>-0.75637214973585143</v>
      </c>
      <c r="O26" s="11"/>
      <c r="P26" s="2">
        <f>--32674.61</f>
        <v>32674.61</v>
      </c>
      <c r="Q26" s="2"/>
      <c r="R26" s="19"/>
      <c r="S26" s="2"/>
      <c r="T26" s="2">
        <f>--123320.59</f>
        <v>123320.59</v>
      </c>
      <c r="U26" s="2"/>
      <c r="V26" s="19"/>
      <c r="W26" s="2"/>
      <c r="X26" s="2">
        <f t="shared" si="2"/>
        <v>-90645.98</v>
      </c>
      <c r="Y26" s="2"/>
      <c r="Z26" s="19">
        <f t="shared" si="3"/>
        <v>-0.73504335326323045</v>
      </c>
    </row>
    <row r="27" spans="1:26" s="24" customFormat="1" hidden="1" outlineLevel="1" x14ac:dyDescent="0.25">
      <c r="A27" s="44"/>
      <c r="B27" s="11" t="str">
        <f>CONCATENATE("          ", "4028", " - ", "TAXABLE SALES-ART/TECH")</f>
        <v xml:space="preserve">          4028 - TAXABLE SALES-ART/TECH</v>
      </c>
      <c r="C27" s="11"/>
      <c r="D27" s="2">
        <f>--2807.8</f>
        <v>2807.8</v>
      </c>
      <c r="E27" s="2"/>
      <c r="F27" s="19"/>
      <c r="G27" s="2"/>
      <c r="H27" s="2">
        <f>--51812.13</f>
        <v>51812.13</v>
      </c>
      <c r="I27" s="2"/>
      <c r="J27" s="19"/>
      <c r="K27" s="2"/>
      <c r="L27" s="2">
        <f t="shared" si="0"/>
        <v>-49004.329999999994</v>
      </c>
      <c r="M27" s="2"/>
      <c r="N27" s="19">
        <f t="shared" si="1"/>
        <v>-0.94580805691640157</v>
      </c>
      <c r="O27" s="11"/>
      <c r="P27" s="2">
        <f>--12498.9</f>
        <v>12498.9</v>
      </c>
      <c r="Q27" s="2"/>
      <c r="R27" s="19"/>
      <c r="S27" s="2"/>
      <c r="T27" s="2">
        <f>--100727.68</f>
        <v>100727.67999999999</v>
      </c>
      <c r="U27" s="2"/>
      <c r="V27" s="19"/>
      <c r="W27" s="2"/>
      <c r="X27" s="2">
        <f t="shared" si="2"/>
        <v>-88228.78</v>
      </c>
      <c r="Y27" s="2"/>
      <c r="Z27" s="19">
        <f t="shared" si="3"/>
        <v>-0.87591394937320111</v>
      </c>
    </row>
    <row r="28" spans="1:26" s="24" customFormat="1" hidden="1" outlineLevel="1" x14ac:dyDescent="0.25">
      <c r="A28" s="44"/>
      <c r="B28" s="11" t="str">
        <f>CONCATENATE("          ", "4031", " - ", "TAXABLE SALES-FOOD")</f>
        <v xml:space="preserve">          4031 - TAXABLE SALES-FOOD</v>
      </c>
      <c r="C28" s="11"/>
      <c r="D28" s="2">
        <f>--685.9</f>
        <v>685.9</v>
      </c>
      <c r="E28" s="2"/>
      <c r="F28" s="19"/>
      <c r="G28" s="2"/>
      <c r="H28" s="2">
        <f>--88.48</f>
        <v>88.48</v>
      </c>
      <c r="I28" s="2"/>
      <c r="J28" s="19"/>
      <c r="K28" s="2"/>
      <c r="L28" s="2">
        <f t="shared" si="0"/>
        <v>597.41999999999996</v>
      </c>
      <c r="M28" s="2"/>
      <c r="N28" s="19">
        <f t="shared" si="1"/>
        <v>6.7520343580470152</v>
      </c>
      <c r="O28" s="11"/>
      <c r="P28" s="2">
        <f>--1238.16</f>
        <v>1238.1600000000001</v>
      </c>
      <c r="Q28" s="2"/>
      <c r="R28" s="19"/>
      <c r="S28" s="2"/>
      <c r="T28" s="2">
        <f>--120.82</f>
        <v>120.82</v>
      </c>
      <c r="U28" s="2"/>
      <c r="V28" s="19"/>
      <c r="W28" s="2"/>
      <c r="X28" s="2">
        <f t="shared" si="2"/>
        <v>1117.3400000000001</v>
      </c>
      <c r="Y28" s="2"/>
      <c r="Z28" s="19">
        <f t="shared" si="3"/>
        <v>9.2479721900347638</v>
      </c>
    </row>
    <row r="29" spans="1:26" s="24" customFormat="1" hidden="1" outlineLevel="1" x14ac:dyDescent="0.25">
      <c r="A29" s="44"/>
      <c r="B29" s="11" t="str">
        <f>CONCATENATE("          ", "4032", " - ", "TAXABLE SALES-JUICE")</f>
        <v xml:space="preserve">          4032 - TAXABLE SALES-JUICE</v>
      </c>
      <c r="C29" s="11"/>
      <c r="D29" s="2">
        <f t="shared" ref="D29:D33" si="7">0</f>
        <v>0</v>
      </c>
      <c r="E29" s="2"/>
      <c r="F29" s="19"/>
      <c r="G29" s="2"/>
      <c r="H29" s="2">
        <f>--17.54</f>
        <v>17.54</v>
      </c>
      <c r="I29" s="2"/>
      <c r="J29" s="19"/>
      <c r="K29" s="2"/>
      <c r="L29" s="2">
        <f t="shared" si="0"/>
        <v>-17.54</v>
      </c>
      <c r="M29" s="2"/>
      <c r="N29" s="19">
        <f t="shared" si="1"/>
        <v>-1</v>
      </c>
      <c r="O29" s="11"/>
      <c r="P29" s="2">
        <f t="shared" ref="P29:P30" si="8">0</f>
        <v>0</v>
      </c>
      <c r="Q29" s="2"/>
      <c r="R29" s="19"/>
      <c r="S29" s="2"/>
      <c r="T29" s="2">
        <f>--21.35</f>
        <v>21.35</v>
      </c>
      <c r="U29" s="2"/>
      <c r="V29" s="19"/>
      <c r="W29" s="2"/>
      <c r="X29" s="2">
        <f t="shared" si="2"/>
        <v>-21.35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"4033", " - ", "TAXABLE SALES-CANDY")</f>
        <v xml:space="preserve">          4033 - TAXABLE SALES-CANDY</v>
      </c>
      <c r="C30" s="11"/>
      <c r="D30" s="2">
        <f t="shared" si="7"/>
        <v>0</v>
      </c>
      <c r="E30" s="2"/>
      <c r="F30" s="19"/>
      <c r="G30" s="2"/>
      <c r="H30" s="2">
        <f>--27.97</f>
        <v>27.97</v>
      </c>
      <c r="I30" s="2"/>
      <c r="J30" s="19"/>
      <c r="K30" s="2"/>
      <c r="L30" s="2">
        <f t="shared" si="0"/>
        <v>-27.97</v>
      </c>
      <c r="M30" s="2"/>
      <c r="N30" s="19">
        <f t="shared" si="1"/>
        <v>-1</v>
      </c>
      <c r="O30" s="11"/>
      <c r="P30" s="2">
        <f t="shared" si="8"/>
        <v>0</v>
      </c>
      <c r="Q30" s="2"/>
      <c r="R30" s="19"/>
      <c r="S30" s="2"/>
      <c r="T30" s="2">
        <f>--40.97</f>
        <v>40.97</v>
      </c>
      <c r="U30" s="2"/>
      <c r="V30" s="19"/>
      <c r="W30" s="2"/>
      <c r="X30" s="2">
        <f t="shared" si="2"/>
        <v>-40.97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"4034", " - ", "TAXABLE SALES-SODA")</f>
        <v xml:space="preserve">          4034 - TAXABLE SALES-SODA</v>
      </c>
      <c r="C31" s="11"/>
      <c r="D31" s="2">
        <f t="shared" si="7"/>
        <v>0</v>
      </c>
      <c r="E31" s="2"/>
      <c r="F31" s="19"/>
      <c r="G31" s="2"/>
      <c r="H31" s="2">
        <f>--1544.01</f>
        <v>1544.01</v>
      </c>
      <c r="I31" s="2"/>
      <c r="J31" s="19"/>
      <c r="K31" s="2"/>
      <c r="L31" s="2">
        <f t="shared" si="0"/>
        <v>-1544.01</v>
      </c>
      <c r="M31" s="2"/>
      <c r="N31" s="19">
        <f t="shared" si="1"/>
        <v>-1</v>
      </c>
      <c r="O31" s="11"/>
      <c r="P31" s="2">
        <f>--6.78</f>
        <v>6.78</v>
      </c>
      <c r="Q31" s="2"/>
      <c r="R31" s="19"/>
      <c r="S31" s="2"/>
      <c r="T31" s="2">
        <f>--1859.55</f>
        <v>1859.55</v>
      </c>
      <c r="U31" s="2"/>
      <c r="V31" s="19"/>
      <c r="W31" s="2"/>
      <c r="X31" s="2">
        <f t="shared" si="2"/>
        <v>-1852.77</v>
      </c>
      <c r="Y31" s="2"/>
      <c r="Z31" s="19">
        <f t="shared" si="3"/>
        <v>-0.99635395660240378</v>
      </c>
    </row>
    <row r="32" spans="1:26" s="24" customFormat="1" hidden="1" outlineLevel="1" x14ac:dyDescent="0.25">
      <c r="A32" s="44"/>
      <c r="B32" s="11" t="str">
        <f>CONCATENATE("          ", "4035", " - ", "TAXABLE SALES-HEALTH &amp; BEAUTY")</f>
        <v xml:space="preserve">          4035 - TAXABLE SALES-HEALTH &amp; BEAUTY</v>
      </c>
      <c r="C32" s="11"/>
      <c r="D32" s="2">
        <f t="shared" si="7"/>
        <v>0</v>
      </c>
      <c r="E32" s="2"/>
      <c r="F32" s="19"/>
      <c r="G32" s="2"/>
      <c r="H32" s="2">
        <f>--339.98</f>
        <v>339.98</v>
      </c>
      <c r="I32" s="2"/>
      <c r="J32" s="19"/>
      <c r="K32" s="2"/>
      <c r="L32" s="2">
        <f t="shared" si="0"/>
        <v>-339.98</v>
      </c>
      <c r="M32" s="2"/>
      <c r="N32" s="19">
        <f t="shared" si="1"/>
        <v>-1</v>
      </c>
      <c r="O32" s="11"/>
      <c r="P32" s="2">
        <f t="shared" ref="P32:P33" si="9">0</f>
        <v>0</v>
      </c>
      <c r="Q32" s="2"/>
      <c r="R32" s="19"/>
      <c r="S32" s="2"/>
      <c r="T32" s="2">
        <f>--438.43</f>
        <v>438.43</v>
      </c>
      <c r="U32" s="2"/>
      <c r="V32" s="19"/>
      <c r="W32" s="2"/>
      <c r="X32" s="2">
        <f t="shared" si="2"/>
        <v>-438.43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"4037", " - ", "TAXABLE SALES-WATER")</f>
        <v xml:space="preserve">          4037 - TAXABLE SALES-WATER</v>
      </c>
      <c r="C33" s="11"/>
      <c r="D33" s="2">
        <f t="shared" si="7"/>
        <v>0</v>
      </c>
      <c r="E33" s="2"/>
      <c r="F33" s="19"/>
      <c r="G33" s="2"/>
      <c r="H33" s="2">
        <f>--131.98</f>
        <v>131.97999999999999</v>
      </c>
      <c r="I33" s="2"/>
      <c r="J33" s="19"/>
      <c r="K33" s="2"/>
      <c r="L33" s="2">
        <f t="shared" si="0"/>
        <v>-131.97999999999999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--174.15</f>
        <v>174.15</v>
      </c>
      <c r="U33" s="2"/>
      <c r="V33" s="19"/>
      <c r="W33" s="2"/>
      <c r="X33" s="2">
        <f t="shared" si="2"/>
        <v>-174.15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"4040", " - ", "TAXABLE SALES-LOGO CLOTHING")</f>
        <v xml:space="preserve">          4040 - TAXABLE SALES-LOGO CLOTHING</v>
      </c>
      <c r="C34" s="11"/>
      <c r="D34" s="2">
        <f>--78841.84</f>
        <v>78841.84</v>
      </c>
      <c r="E34" s="2"/>
      <c r="F34" s="19"/>
      <c r="G34" s="2"/>
      <c r="H34" s="2">
        <f>--243145.84</f>
        <v>243145.84</v>
      </c>
      <c r="I34" s="2"/>
      <c r="J34" s="19"/>
      <c r="K34" s="2"/>
      <c r="L34" s="2">
        <f t="shared" si="0"/>
        <v>-164304</v>
      </c>
      <c r="M34" s="2"/>
      <c r="N34" s="19">
        <f t="shared" si="1"/>
        <v>-0.67574259135998382</v>
      </c>
      <c r="O34" s="11"/>
      <c r="P34" s="2">
        <f>--328420.19</f>
        <v>328420.19</v>
      </c>
      <c r="Q34" s="2"/>
      <c r="R34" s="19"/>
      <c r="S34" s="2"/>
      <c r="T34" s="2">
        <f>--632899.52</f>
        <v>632899.52</v>
      </c>
      <c r="U34" s="2"/>
      <c r="V34" s="19"/>
      <c r="W34" s="2"/>
      <c r="X34" s="2">
        <f t="shared" si="2"/>
        <v>-304479.33</v>
      </c>
      <c r="Y34" s="2"/>
      <c r="Z34" s="19">
        <f t="shared" si="3"/>
        <v>-0.48108636581048442</v>
      </c>
    </row>
    <row r="35" spans="1:26" s="24" customFormat="1" hidden="1" outlineLevel="1" x14ac:dyDescent="0.25">
      <c r="A35" s="44"/>
      <c r="B35" s="11" t="str">
        <f>CONCATENATE("          ", "4041", " - ", "TAXABLE SALES-LOGO GIFTS")</f>
        <v xml:space="preserve">          4041 - TAXABLE SALES-LOGO GIFTS</v>
      </c>
      <c r="C35" s="11"/>
      <c r="D35" s="2">
        <f>--27724.06</f>
        <v>27724.06</v>
      </c>
      <c r="E35" s="2"/>
      <c r="F35" s="19"/>
      <c r="G35" s="2"/>
      <c r="H35" s="2">
        <f>--49940.2</f>
        <v>49940.2</v>
      </c>
      <c r="I35" s="2"/>
      <c r="J35" s="19"/>
      <c r="K35" s="2"/>
      <c r="L35" s="2">
        <f t="shared" si="0"/>
        <v>-22216.139999999996</v>
      </c>
      <c r="M35" s="2"/>
      <c r="N35" s="19">
        <f t="shared" si="1"/>
        <v>-0.44485484639628992</v>
      </c>
      <c r="O35" s="11"/>
      <c r="P35" s="2">
        <f>--131033.62</f>
        <v>131033.62</v>
      </c>
      <c r="Q35" s="2"/>
      <c r="R35" s="19"/>
      <c r="S35" s="2"/>
      <c r="T35" s="2">
        <f>--201632.61</f>
        <v>201632.61</v>
      </c>
      <c r="U35" s="2"/>
      <c r="V35" s="19"/>
      <c r="W35" s="2"/>
      <c r="X35" s="2">
        <f t="shared" si="2"/>
        <v>-70598.989999999991</v>
      </c>
      <c r="Y35" s="2"/>
      <c r="Z35" s="19">
        <f t="shared" si="3"/>
        <v>-0.35013676607171823</v>
      </c>
    </row>
    <row r="36" spans="1:26" s="24" customFormat="1" hidden="1" outlineLevel="1" x14ac:dyDescent="0.25">
      <c r="A36" s="44"/>
      <c r="B36" s="11" t="str">
        <f>CONCATENATE("          ", "4042", " - ", "TAXABLE SALES-EVERYDAY GIFTS")</f>
        <v xml:space="preserve">          4042 - TAXABLE SALES-EVERYDAY GIFTS</v>
      </c>
      <c r="C36" s="11"/>
      <c r="D36" s="2">
        <f>--8004.46</f>
        <v>8004.46</v>
      </c>
      <c r="E36" s="2"/>
      <c r="F36" s="19"/>
      <c r="G36" s="2"/>
      <c r="H36" s="2">
        <f>--35079.3</f>
        <v>35079.300000000003</v>
      </c>
      <c r="I36" s="2"/>
      <c r="J36" s="19"/>
      <c r="K36" s="2"/>
      <c r="L36" s="2">
        <f t="shared" si="0"/>
        <v>-27074.840000000004</v>
      </c>
      <c r="M36" s="2"/>
      <c r="N36" s="19">
        <f t="shared" si="1"/>
        <v>-0.77181813776215602</v>
      </c>
      <c r="O36" s="11"/>
      <c r="P36" s="2">
        <f>--47929.5</f>
        <v>47929.5</v>
      </c>
      <c r="Q36" s="2"/>
      <c r="R36" s="19"/>
      <c r="S36" s="2"/>
      <c r="T36" s="2">
        <f>--95118.27</f>
        <v>95118.27</v>
      </c>
      <c r="U36" s="2"/>
      <c r="V36" s="19"/>
      <c r="W36" s="2"/>
      <c r="X36" s="2">
        <f t="shared" si="2"/>
        <v>-47188.770000000004</v>
      </c>
      <c r="Y36" s="2"/>
      <c r="Z36" s="19">
        <f t="shared" si="3"/>
        <v>-0.49610626854336187</v>
      </c>
    </row>
    <row r="37" spans="1:26" s="24" customFormat="1" hidden="1" outlineLevel="1" x14ac:dyDescent="0.25">
      <c r="A37" s="44"/>
      <c r="B37" s="11" t="str">
        <f>CONCATENATE("          ", "4043", " - ", "TAXABLE SALES-CARDS")</f>
        <v xml:space="preserve">          4043 - TAXABLE SALES-CARDS</v>
      </c>
      <c r="C37" s="11"/>
      <c r="D37" s="2">
        <f>--2805.53</f>
        <v>2805.53</v>
      </c>
      <c r="E37" s="2"/>
      <c r="F37" s="19"/>
      <c r="G37" s="2"/>
      <c r="H37" s="2">
        <f>--272.36</f>
        <v>272.36</v>
      </c>
      <c r="I37" s="2"/>
      <c r="J37" s="19"/>
      <c r="K37" s="2"/>
      <c r="L37" s="2">
        <f t="shared" si="0"/>
        <v>2533.17</v>
      </c>
      <c r="M37" s="2"/>
      <c r="N37" s="19">
        <f t="shared" si="1"/>
        <v>9.3008150976648558</v>
      </c>
      <c r="O37" s="11"/>
      <c r="P37" s="2">
        <f>--9791.16</f>
        <v>9791.16</v>
      </c>
      <c r="Q37" s="2"/>
      <c r="R37" s="19"/>
      <c r="S37" s="2"/>
      <c r="T37" s="2">
        <f>--457.81</f>
        <v>457.81</v>
      </c>
      <c r="U37" s="2"/>
      <c r="V37" s="19"/>
      <c r="W37" s="2"/>
      <c r="X37" s="2">
        <f t="shared" si="2"/>
        <v>9333.35</v>
      </c>
      <c r="Y37" s="2"/>
      <c r="Z37" s="19">
        <f t="shared" si="3"/>
        <v>20.38695091850331</v>
      </c>
    </row>
    <row r="38" spans="1:26" s="24" customFormat="1" hidden="1" outlineLevel="1" x14ac:dyDescent="0.25">
      <c r="A38" s="44"/>
      <c r="B38" s="11" t="str">
        <f>CONCATENATE("          ", "4044", " - ", "TAXABLE SALES-ACCESSORIES")</f>
        <v xml:space="preserve">          4044 - TAXABLE SALES-ACCESSORIES</v>
      </c>
      <c r="C38" s="11"/>
      <c r="D38" s="2">
        <f>--2962.32</f>
        <v>2962.32</v>
      </c>
      <c r="E38" s="2"/>
      <c r="F38" s="19"/>
      <c r="G38" s="2"/>
      <c r="H38" s="2">
        <f>--6451.34</f>
        <v>6451.34</v>
      </c>
      <c r="I38" s="2"/>
      <c r="J38" s="19"/>
      <c r="K38" s="2"/>
      <c r="L38" s="2">
        <f t="shared" si="0"/>
        <v>-3489.02</v>
      </c>
      <c r="M38" s="2"/>
      <c r="N38" s="19">
        <f t="shared" si="1"/>
        <v>-0.54082097672731555</v>
      </c>
      <c r="O38" s="11"/>
      <c r="P38" s="2">
        <f>--11331.52</f>
        <v>11331.52</v>
      </c>
      <c r="Q38" s="2"/>
      <c r="R38" s="19"/>
      <c r="S38" s="2"/>
      <c r="T38" s="2">
        <f>--28228.41</f>
        <v>28228.41</v>
      </c>
      <c r="U38" s="2"/>
      <c r="V38" s="19"/>
      <c r="W38" s="2"/>
      <c r="X38" s="2">
        <f t="shared" si="2"/>
        <v>-16896.89</v>
      </c>
      <c r="Y38" s="2"/>
      <c r="Z38" s="19">
        <f t="shared" si="3"/>
        <v>-0.59857746150066549</v>
      </c>
    </row>
    <row r="39" spans="1:26" s="24" customFormat="1" hidden="1" outlineLevel="1" x14ac:dyDescent="0.25">
      <c r="A39" s="44"/>
      <c r="B39" s="11" t="str">
        <f>CONCATENATE("          ", "4045", " - ", "TAXABLE SALES-SPECIAL ORDERS")</f>
        <v xml:space="preserve">          4045 - TAXABLE SALES-SPECIAL ORDERS</v>
      </c>
      <c r="C39" s="11"/>
      <c r="D39" s="2">
        <f>--2575.36</f>
        <v>2575.36</v>
      </c>
      <c r="E39" s="2"/>
      <c r="F39" s="19"/>
      <c r="G39" s="2"/>
      <c r="H39" s="2">
        <f>--5803.07</f>
        <v>5803.07</v>
      </c>
      <c r="I39" s="2"/>
      <c r="J39" s="19"/>
      <c r="K39" s="2"/>
      <c r="L39" s="2">
        <f t="shared" si="0"/>
        <v>-3227.7099999999996</v>
      </c>
      <c r="M39" s="2"/>
      <c r="N39" s="19">
        <f t="shared" si="1"/>
        <v>-0.55620731785072375</v>
      </c>
      <c r="O39" s="11"/>
      <c r="P39" s="2">
        <f>--92006.44</f>
        <v>92006.44</v>
      </c>
      <c r="Q39" s="2"/>
      <c r="R39" s="19"/>
      <c r="S39" s="2"/>
      <c r="T39" s="2">
        <f>--31327.11</f>
        <v>31327.11</v>
      </c>
      <c r="U39" s="2"/>
      <c r="V39" s="19"/>
      <c r="W39" s="2"/>
      <c r="X39" s="2">
        <f t="shared" si="2"/>
        <v>60679.33</v>
      </c>
      <c r="Y39" s="2"/>
      <c r="Z39" s="19">
        <f t="shared" si="3"/>
        <v>1.9369590747438881</v>
      </c>
    </row>
    <row r="40" spans="1:26" s="24" customFormat="1" hidden="1" outlineLevel="1" x14ac:dyDescent="0.25">
      <c r="A40" s="44"/>
      <c r="B40" s="11" t="str">
        <f>CONCATENATE("          ", "4047", " - ", "TAXABLE SALES-MISC")</f>
        <v xml:space="preserve">          4047 - TAXABLE SALES-MISC</v>
      </c>
      <c r="C40" s="11"/>
      <c r="D40" s="2">
        <f>0</f>
        <v>0</v>
      </c>
      <c r="E40" s="2"/>
      <c r="F40" s="19"/>
      <c r="G40" s="2"/>
      <c r="H40" s="2">
        <f>--488.97</f>
        <v>488.97</v>
      </c>
      <c r="I40" s="2"/>
      <c r="J40" s="19"/>
      <c r="K40" s="2"/>
      <c r="L40" s="2">
        <f t="shared" si="0"/>
        <v>-488.97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--971.35</f>
        <v>971.35</v>
      </c>
      <c r="U40" s="2"/>
      <c r="V40" s="19"/>
      <c r="W40" s="2"/>
      <c r="X40" s="2">
        <f t="shared" si="2"/>
        <v>-971.35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>--12239.6</f>
        <v>12239.6</v>
      </c>
      <c r="E41" s="2"/>
      <c r="F41" s="19"/>
      <c r="G41" s="2"/>
      <c r="H41" s="2">
        <f>--79907.95</f>
        <v>79907.95</v>
      </c>
      <c r="I41" s="2"/>
      <c r="J41" s="19"/>
      <c r="K41" s="2"/>
      <c r="L41" s="2">
        <f t="shared" si="0"/>
        <v>-67668.349999999991</v>
      </c>
      <c r="M41" s="2"/>
      <c r="N41" s="19">
        <f t="shared" si="1"/>
        <v>-0.84682875733891305</v>
      </c>
      <c r="O41" s="11"/>
      <c r="P41" s="2">
        <f>--50102.62</f>
        <v>50102.62</v>
      </c>
      <c r="Q41" s="2"/>
      <c r="R41" s="19"/>
      <c r="S41" s="2"/>
      <c r="T41" s="2">
        <f>--189596.74</f>
        <v>189596.74</v>
      </c>
      <c r="U41" s="2"/>
      <c r="V41" s="19"/>
      <c r="W41" s="2"/>
      <c r="X41" s="2">
        <f t="shared" si="2"/>
        <v>-139494.12</v>
      </c>
      <c r="Y41" s="2"/>
      <c r="Z41" s="19">
        <f t="shared" si="3"/>
        <v>-0.73574113141396846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--198101.2</f>
        <v>198101.2</v>
      </c>
      <c r="E42" s="2"/>
      <c r="F42" s="19"/>
      <c r="G42" s="2"/>
      <c r="H42" s="2">
        <f>--225343.71</f>
        <v>225343.71</v>
      </c>
      <c r="I42" s="2"/>
      <c r="J42" s="19"/>
      <c r="K42" s="2"/>
      <c r="L42" s="2">
        <f t="shared" si="0"/>
        <v>-27242.50999999998</v>
      </c>
      <c r="M42" s="2"/>
      <c r="N42" s="19">
        <f t="shared" si="1"/>
        <v>-0.12089314585261768</v>
      </c>
      <c r="O42" s="11"/>
      <c r="P42" s="2">
        <f>--739313.21</f>
        <v>739313.21</v>
      </c>
      <c r="Q42" s="2"/>
      <c r="R42" s="19"/>
      <c r="S42" s="2"/>
      <c r="T42" s="2">
        <f>--1038916.49</f>
        <v>1038916.49</v>
      </c>
      <c r="U42" s="2"/>
      <c r="V42" s="19"/>
      <c r="W42" s="2"/>
      <c r="X42" s="2">
        <f t="shared" si="2"/>
        <v>-299603.28000000003</v>
      </c>
      <c r="Y42" s="2"/>
      <c r="Z42" s="19">
        <f t="shared" si="3"/>
        <v>-0.2883805222881774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--18947.33</f>
        <v>18947.330000000002</v>
      </c>
      <c r="E43" s="2"/>
      <c r="F43" s="19"/>
      <c r="G43" s="2"/>
      <c r="H43" s="2">
        <f>--17648.24</f>
        <v>17648.240000000002</v>
      </c>
      <c r="I43" s="2"/>
      <c r="J43" s="19"/>
      <c r="K43" s="2"/>
      <c r="L43" s="2">
        <f t="shared" si="0"/>
        <v>1299.0900000000001</v>
      </c>
      <c r="M43" s="2"/>
      <c r="N43" s="19">
        <f t="shared" si="1"/>
        <v>7.3610173025752151E-2</v>
      </c>
      <c r="O43" s="11"/>
      <c r="P43" s="2">
        <f>--68662.69</f>
        <v>68662.69</v>
      </c>
      <c r="Q43" s="2"/>
      <c r="R43" s="19"/>
      <c r="S43" s="2"/>
      <c r="T43" s="2">
        <f>--41256.01</f>
        <v>41256.01</v>
      </c>
      <c r="U43" s="2"/>
      <c r="V43" s="19"/>
      <c r="W43" s="2"/>
      <c r="X43" s="2">
        <f t="shared" si="2"/>
        <v>27406.68</v>
      </c>
      <c r="Y43" s="2"/>
      <c r="Z43" s="19">
        <f t="shared" si="3"/>
        <v>0.66430757603558843</v>
      </c>
    </row>
    <row r="44" spans="1:26" s="24" customFormat="1" hidden="1" outlineLevel="1" x14ac:dyDescent="0.25">
      <c r="A44" s="44"/>
      <c r="B44" s="11" t="str">
        <f>CONCATENATE("          ", "4084", " - ", "TAXABLE SALES-SOFTWARE LICENSE")</f>
        <v xml:space="preserve">          4084 - TAXABLE SALES-SOFTWARE LICENSE</v>
      </c>
      <c r="C44" s="11"/>
      <c r="D44" s="2">
        <f>0</f>
        <v>0</v>
      </c>
      <c r="E44" s="2"/>
      <c r="F44" s="19"/>
      <c r="G44" s="2"/>
      <c r="H44" s="2">
        <f t="shared" ref="H44:H45" si="10"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>0</f>
        <v>0</v>
      </c>
      <c r="Q44" s="2"/>
      <c r="R44" s="19"/>
      <c r="S44" s="2"/>
      <c r="T44" s="2">
        <f>--129</f>
        <v>129</v>
      </c>
      <c r="U44" s="2"/>
      <c r="V44" s="19"/>
      <c r="W44" s="2"/>
      <c r="X44" s="2">
        <f t="shared" si="2"/>
        <v>-129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"4085", " - ", "TAXABLE SALES-SOFTWARE")</f>
        <v xml:space="preserve">          4085 - TAXABLE SALES-SOFTWARE</v>
      </c>
      <c r="C45" s="11"/>
      <c r="D45" s="2">
        <f>--852.96</f>
        <v>852.96</v>
      </c>
      <c r="E45" s="2"/>
      <c r="F45" s="19"/>
      <c r="G45" s="2"/>
      <c r="H45" s="2">
        <f t="shared" si="10"/>
        <v>0</v>
      </c>
      <c r="I45" s="2"/>
      <c r="J45" s="19"/>
      <c r="K45" s="2"/>
      <c r="L45" s="2">
        <f t="shared" si="0"/>
        <v>852.96</v>
      </c>
      <c r="M45" s="2"/>
      <c r="N45" s="19">
        <f t="shared" si="1"/>
        <v>0</v>
      </c>
      <c r="O45" s="11"/>
      <c r="P45" s="2">
        <f>--981.96</f>
        <v>981.96</v>
      </c>
      <c r="Q45" s="2"/>
      <c r="R45" s="19"/>
      <c r="S45" s="2"/>
      <c r="T45" s="2">
        <f>--493.95</f>
        <v>493.95</v>
      </c>
      <c r="U45" s="2"/>
      <c r="V45" s="19"/>
      <c r="W45" s="2"/>
      <c r="X45" s="2">
        <f t="shared" si="2"/>
        <v>488.01000000000005</v>
      </c>
      <c r="Y45" s="2"/>
      <c r="Z45" s="19">
        <f t="shared" si="3"/>
        <v>0.98797449134527793</v>
      </c>
    </row>
    <row r="46" spans="1:26" s="24" customFormat="1" hidden="1" outlineLevel="1" x14ac:dyDescent="0.25">
      <c r="A46" s="44"/>
      <c r="B46" s="11" t="str">
        <f>CONCATENATE("          ", "4086", " - ", "TAXABLE SALES-COMPUTER SUPPLIE")</f>
        <v xml:space="preserve">          4086 - TAXABLE SALES-COMPUTER SUPPLIE</v>
      </c>
      <c r="C46" s="11"/>
      <c r="D46" s="2">
        <f>--713.93</f>
        <v>713.93</v>
      </c>
      <c r="E46" s="2"/>
      <c r="F46" s="19"/>
      <c r="G46" s="2"/>
      <c r="H46" s="2">
        <f>--10769.48</f>
        <v>10769.48</v>
      </c>
      <c r="I46" s="2"/>
      <c r="J46" s="19"/>
      <c r="K46" s="2"/>
      <c r="L46" s="2">
        <f t="shared" si="0"/>
        <v>-10055.549999999999</v>
      </c>
      <c r="M46" s="2"/>
      <c r="N46" s="19">
        <f t="shared" si="1"/>
        <v>-0.93370803418549453</v>
      </c>
      <c r="O46" s="11"/>
      <c r="P46" s="2">
        <f>--27981.41</f>
        <v>27981.41</v>
      </c>
      <c r="Q46" s="2"/>
      <c r="R46" s="19"/>
      <c r="S46" s="2"/>
      <c r="T46" s="2">
        <f>--20437.03</f>
        <v>20437.03</v>
      </c>
      <c r="U46" s="2"/>
      <c r="V46" s="19"/>
      <c r="W46" s="2"/>
      <c r="X46" s="2">
        <f t="shared" si="2"/>
        <v>7544.380000000001</v>
      </c>
      <c r="Y46" s="2"/>
      <c r="Z46" s="19">
        <f t="shared" si="3"/>
        <v>0.36915246491295467</v>
      </c>
    </row>
    <row r="47" spans="1:26" s="24" customFormat="1" hidden="1" outlineLevel="1" x14ac:dyDescent="0.25">
      <c r="A47" s="44"/>
      <c r="B47" s="11" t="str">
        <f>CONCATENATE("          ", "4088", " - ", "TAXABLE SALES-MUSIC")</f>
        <v xml:space="preserve">          4088 - TAXABLE SALES-MUSIC</v>
      </c>
      <c r="C47" s="11"/>
      <c r="D47" s="2">
        <f t="shared" ref="D47:D49" si="11">0</f>
        <v>0</v>
      </c>
      <c r="E47" s="2"/>
      <c r="F47" s="19"/>
      <c r="G47" s="2"/>
      <c r="H47" s="2">
        <f>--16.99</f>
        <v>16.989999999999998</v>
      </c>
      <c r="I47" s="2"/>
      <c r="J47" s="19"/>
      <c r="K47" s="2"/>
      <c r="L47" s="2">
        <f t="shared" si="0"/>
        <v>-16.989999999999998</v>
      </c>
      <c r="M47" s="2"/>
      <c r="N47" s="19">
        <f t="shared" si="1"/>
        <v>-1</v>
      </c>
      <c r="O47" s="11"/>
      <c r="P47" s="2">
        <f t="shared" ref="P47:P49" si="12">0</f>
        <v>0</v>
      </c>
      <c r="Q47" s="2"/>
      <c r="R47" s="19"/>
      <c r="S47" s="2"/>
      <c r="T47" s="2">
        <f>--535.96</f>
        <v>535.96</v>
      </c>
      <c r="U47" s="2"/>
      <c r="V47" s="19"/>
      <c r="W47" s="2"/>
      <c r="X47" s="2">
        <f t="shared" si="2"/>
        <v>-535.96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"4092", " - ", "TAXABLE SALES-GRAD MERCH")</f>
        <v xml:space="preserve">          4092 - TAXABLE SALES-GRAD MERCH</v>
      </c>
      <c r="C48" s="11"/>
      <c r="D48" s="2">
        <f t="shared" si="11"/>
        <v>0</v>
      </c>
      <c r="E48" s="2"/>
      <c r="F48" s="19"/>
      <c r="G48" s="2"/>
      <c r="H48" s="2">
        <f>--49.9</f>
        <v>49.9</v>
      </c>
      <c r="I48" s="2"/>
      <c r="J48" s="19"/>
      <c r="K48" s="2"/>
      <c r="L48" s="2">
        <f t="shared" si="0"/>
        <v>-49.9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--3872.63</f>
        <v>3872.63</v>
      </c>
      <c r="U48" s="2"/>
      <c r="V48" s="19"/>
      <c r="W48" s="2"/>
      <c r="X48" s="2">
        <f t="shared" si="2"/>
        <v>-3872.63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"4095", " - ", "TAXABLE SALES-CUSTOMER SERVICE")</f>
        <v xml:space="preserve">          4095 - TAXABLE SALES-CUSTOMER SERVICE</v>
      </c>
      <c r="C49" s="11"/>
      <c r="D49" s="2">
        <f t="shared" si="11"/>
        <v>0</v>
      </c>
      <c r="E49" s="2"/>
      <c r="F49" s="19"/>
      <c r="G49" s="2"/>
      <c r="H49" s="2">
        <f>--26.83</f>
        <v>26.83</v>
      </c>
      <c r="I49" s="2"/>
      <c r="J49" s="19"/>
      <c r="K49" s="2"/>
      <c r="L49" s="2">
        <f t="shared" si="0"/>
        <v>-26.83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--200.85</f>
        <v>200.85</v>
      </c>
      <c r="U49" s="2"/>
      <c r="V49" s="19"/>
      <c r="W49" s="2"/>
      <c r="X49" s="2">
        <f t="shared" si="2"/>
        <v>-200.85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"4100", " - ", "NON-TAXABLE SALES")</f>
        <v xml:space="preserve">          4100 - NON-TAXABLE SALES</v>
      </c>
      <c r="C50" s="11"/>
      <c r="D50" s="2">
        <f>--10945.69</f>
        <v>10945.69</v>
      </c>
      <c r="E50" s="2"/>
      <c r="F50" s="19"/>
      <c r="G50" s="2"/>
      <c r="H50" s="2">
        <f>--66153.34</f>
        <v>66153.34</v>
      </c>
      <c r="I50" s="2"/>
      <c r="J50" s="19"/>
      <c r="K50" s="2"/>
      <c r="L50" s="2">
        <f t="shared" si="0"/>
        <v>-55207.649999999994</v>
      </c>
      <c r="M50" s="2"/>
      <c r="N50" s="19">
        <f t="shared" si="1"/>
        <v>-0.83454062939225737</v>
      </c>
      <c r="O50" s="11"/>
      <c r="P50" s="2">
        <f>--164344.02</f>
        <v>164344.01999999999</v>
      </c>
      <c r="Q50" s="2"/>
      <c r="R50" s="19"/>
      <c r="S50" s="2"/>
      <c r="T50" s="2">
        <f>--331667.77</f>
        <v>331667.77</v>
      </c>
      <c r="U50" s="2"/>
      <c r="V50" s="19"/>
      <c r="W50" s="2"/>
      <c r="X50" s="2">
        <f t="shared" si="2"/>
        <v>-167323.75000000003</v>
      </c>
      <c r="Y50" s="2"/>
      <c r="Z50" s="19">
        <f t="shared" si="3"/>
        <v>-0.50449204033301165</v>
      </c>
    </row>
    <row r="51" spans="1:26" s="24" customFormat="1" hidden="1" outlineLevel="1" x14ac:dyDescent="0.25">
      <c r="A51" s="44"/>
      <c r="B51" s="11" t="str">
        <f>CONCATENATE("          ", "4101", " - ", "NON-TAXABLE SALES-NEW TEXT")</f>
        <v xml:space="preserve">          4101 - NON-TAXABLE SALES-NEW TEXT</v>
      </c>
      <c r="C51" s="11"/>
      <c r="D51" s="2">
        <f>--18824.16</f>
        <v>18824.16</v>
      </c>
      <c r="E51" s="2"/>
      <c r="F51" s="19"/>
      <c r="G51" s="2"/>
      <c r="H51" s="2">
        <f>--27999.53</f>
        <v>27999.53</v>
      </c>
      <c r="I51" s="2"/>
      <c r="J51" s="19"/>
      <c r="K51" s="2"/>
      <c r="L51" s="2">
        <f t="shared" si="0"/>
        <v>-9175.369999999999</v>
      </c>
      <c r="M51" s="2"/>
      <c r="N51" s="19">
        <f t="shared" si="1"/>
        <v>-0.32769728634730655</v>
      </c>
      <c r="O51" s="11"/>
      <c r="P51" s="2">
        <f>--70404.84</f>
        <v>70404.84</v>
      </c>
      <c r="Q51" s="2"/>
      <c r="R51" s="19"/>
      <c r="S51" s="2"/>
      <c r="T51" s="2">
        <f>--83892.55</f>
        <v>83892.55</v>
      </c>
      <c r="U51" s="2"/>
      <c r="V51" s="19"/>
      <c r="W51" s="2"/>
      <c r="X51" s="2">
        <f t="shared" si="2"/>
        <v>-13487.710000000006</v>
      </c>
      <c r="Y51" s="2"/>
      <c r="Z51" s="19">
        <f t="shared" si="3"/>
        <v>-0.16077363246200058</v>
      </c>
    </row>
    <row r="52" spans="1:26" s="24" customFormat="1" hidden="1" outlineLevel="1" x14ac:dyDescent="0.25">
      <c r="A52" s="44"/>
      <c r="B52" s="11" t="str">
        <f>CONCATENATE("          ", "4102", " - ", "NON-TAXABLE SALES-USED TEXT")</f>
        <v xml:space="preserve">          4102 - NON-TAXABLE SALES-USED TEXT</v>
      </c>
      <c r="C52" s="11"/>
      <c r="D52" s="2">
        <f>--8807.08</f>
        <v>8807.08</v>
      </c>
      <c r="E52" s="2"/>
      <c r="F52" s="19"/>
      <c r="G52" s="2"/>
      <c r="H52" s="2">
        <f>--3969.18</f>
        <v>3969.18</v>
      </c>
      <c r="I52" s="2"/>
      <c r="J52" s="19"/>
      <c r="K52" s="2"/>
      <c r="L52" s="2">
        <f t="shared" si="0"/>
        <v>4837.8999999999996</v>
      </c>
      <c r="M52" s="2"/>
      <c r="N52" s="19">
        <f t="shared" si="1"/>
        <v>1.2188663653449832</v>
      </c>
      <c r="O52" s="11"/>
      <c r="P52" s="2">
        <f>--30370.82</f>
        <v>30370.82</v>
      </c>
      <c r="Q52" s="2"/>
      <c r="R52" s="19"/>
      <c r="S52" s="2"/>
      <c r="T52" s="2">
        <f>--36443.51</f>
        <v>36443.51</v>
      </c>
      <c r="U52" s="2"/>
      <c r="V52" s="19"/>
      <c r="W52" s="2"/>
      <c r="X52" s="2">
        <f t="shared" si="2"/>
        <v>-6072.6900000000023</v>
      </c>
      <c r="Y52" s="2"/>
      <c r="Z52" s="19">
        <f t="shared" si="3"/>
        <v>-0.16663296153416621</v>
      </c>
    </row>
    <row r="53" spans="1:26" s="24" customFormat="1" hidden="1" outlineLevel="1" x14ac:dyDescent="0.25">
      <c r="A53" s="44"/>
      <c r="B53" s="11" t="str">
        <f>CONCATENATE("          ", "4103", " - ", "NON-TAXABLE SALES-RENTAL TEXT")</f>
        <v xml:space="preserve">          4103 - NON-TAXABLE SALES-RENTAL TEXT</v>
      </c>
      <c r="C53" s="11"/>
      <c r="D53" s="2">
        <f>--284.97</f>
        <v>284.97000000000003</v>
      </c>
      <c r="E53" s="2"/>
      <c r="F53" s="19"/>
      <c r="G53" s="2"/>
      <c r="H53" s="2">
        <f>-144.99</f>
        <v>-144.99</v>
      </c>
      <c r="I53" s="2"/>
      <c r="J53" s="19"/>
      <c r="K53" s="2"/>
      <c r="L53" s="2">
        <f t="shared" si="0"/>
        <v>429.96000000000004</v>
      </c>
      <c r="M53" s="2"/>
      <c r="N53" s="19">
        <f t="shared" si="1"/>
        <v>-2.9654458928201946</v>
      </c>
      <c r="O53" s="11"/>
      <c r="P53" s="2">
        <f>--284.97</f>
        <v>284.97000000000003</v>
      </c>
      <c r="Q53" s="2"/>
      <c r="R53" s="19"/>
      <c r="S53" s="2"/>
      <c r="T53" s="2">
        <f>--329.98</f>
        <v>329.98</v>
      </c>
      <c r="U53" s="2"/>
      <c r="V53" s="19"/>
      <c r="W53" s="2"/>
      <c r="X53" s="2">
        <f t="shared" si="2"/>
        <v>-45.009999999999991</v>
      </c>
      <c r="Y53" s="2"/>
      <c r="Z53" s="19">
        <f t="shared" si="3"/>
        <v>-0.13640220619431478</v>
      </c>
    </row>
    <row r="54" spans="1:26" s="24" customFormat="1" hidden="1" outlineLevel="1" x14ac:dyDescent="0.25">
      <c r="A54" s="44"/>
      <c r="B54" s="11" t="str">
        <f>CONCATENATE("          ", "4104", " - ", "NON-TAXABLE SALES-DIGITAL TEXT")</f>
        <v xml:space="preserve">          4104 - NON-TAXABLE SALES-DIGITAL TEXT</v>
      </c>
      <c r="C54" s="11"/>
      <c r="D54" s="2">
        <f>--73817.67</f>
        <v>73817.67</v>
      </c>
      <c r="E54" s="2"/>
      <c r="F54" s="19"/>
      <c r="G54" s="2"/>
      <c r="H54" s="2">
        <f>--59065.75</f>
        <v>59065.75</v>
      </c>
      <c r="I54" s="2"/>
      <c r="J54" s="19"/>
      <c r="K54" s="2"/>
      <c r="L54" s="2">
        <f t="shared" si="0"/>
        <v>14751.919999999998</v>
      </c>
      <c r="M54" s="2"/>
      <c r="N54" s="19">
        <f t="shared" si="1"/>
        <v>0.24975421458290123</v>
      </c>
      <c r="O54" s="11"/>
      <c r="P54" s="2">
        <f>--286707.85</f>
        <v>286707.84999999998</v>
      </c>
      <c r="Q54" s="2"/>
      <c r="R54" s="19"/>
      <c r="S54" s="2"/>
      <c r="T54" s="2">
        <f>--318933.82</f>
        <v>318933.82</v>
      </c>
      <c r="U54" s="2"/>
      <c r="V54" s="19"/>
      <c r="W54" s="2"/>
      <c r="X54" s="2">
        <f t="shared" si="2"/>
        <v>-32225.97000000003</v>
      </c>
      <c r="Y54" s="2"/>
      <c r="Z54" s="19">
        <f t="shared" si="3"/>
        <v>-0.10104281195390326</v>
      </c>
    </row>
    <row r="55" spans="1:26" s="24" customFormat="1" hidden="1" outlineLevel="1" x14ac:dyDescent="0.25">
      <c r="A55" s="44"/>
      <c r="B55" s="11" t="str">
        <f>CONCATENATE("          ", "4111", " - ", "NON-TAXABLE SALES-NO VALUE TEX")</f>
        <v xml:space="preserve">          4111 - NON-TAXABLE SALES-NO VALUE TEX</v>
      </c>
      <c r="C55" s="11"/>
      <c r="D55" s="2">
        <f t="shared" ref="D55:D56" si="13">0</f>
        <v>0</v>
      </c>
      <c r="E55" s="2"/>
      <c r="F55" s="19"/>
      <c r="G55" s="2"/>
      <c r="H55" s="2">
        <f>--594.06</f>
        <v>594.05999999999995</v>
      </c>
      <c r="I55" s="2"/>
      <c r="J55" s="19"/>
      <c r="K55" s="2"/>
      <c r="L55" s="2">
        <f t="shared" si="0"/>
        <v>-594.05999999999995</v>
      </c>
      <c r="M55" s="2"/>
      <c r="N55" s="19">
        <f t="shared" si="1"/>
        <v>-1</v>
      </c>
      <c r="O55" s="11"/>
      <c r="P55" s="2">
        <f t="shared" ref="P55:P56" si="14">0</f>
        <v>0</v>
      </c>
      <c r="Q55" s="2"/>
      <c r="R55" s="19"/>
      <c r="S55" s="2"/>
      <c r="T55" s="2">
        <f>--6342.17</f>
        <v>6342.17</v>
      </c>
      <c r="U55" s="2"/>
      <c r="V55" s="19"/>
      <c r="W55" s="2"/>
      <c r="X55" s="2">
        <f t="shared" si="2"/>
        <v>-6342.17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"4113", " - ", "NON-TAXABLE SALES-TRADE BOOKS")</f>
        <v xml:space="preserve">          4113 - NON-TAXABLE SALES-TRADE BOOKS</v>
      </c>
      <c r="C56" s="11"/>
      <c r="D56" s="2">
        <f t="shared" si="13"/>
        <v>0</v>
      </c>
      <c r="E56" s="2"/>
      <c r="F56" s="19"/>
      <c r="G56" s="2"/>
      <c r="H56" s="2">
        <f>0</f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 t="shared" si="14"/>
        <v>0</v>
      </c>
      <c r="Q56" s="2"/>
      <c r="R56" s="19"/>
      <c r="S56" s="2"/>
      <c r="T56" s="2">
        <f>--1146.72</f>
        <v>1146.72</v>
      </c>
      <c r="U56" s="2"/>
      <c r="V56" s="19"/>
      <c r="W56" s="2"/>
      <c r="X56" s="2">
        <f t="shared" si="2"/>
        <v>-1146.72</v>
      </c>
      <c r="Y56" s="2"/>
      <c r="Z56" s="19">
        <f t="shared" si="3"/>
        <v>-1</v>
      </c>
    </row>
    <row r="57" spans="1:26" s="24" customFormat="1" hidden="1" outlineLevel="1" x14ac:dyDescent="0.25">
      <c r="A57" s="44"/>
      <c r="B57" s="11" t="str">
        <f>CONCATENATE("          ", "4118", " - ", "NON-TAXABLE SALES-STUDY GUIDES")</f>
        <v xml:space="preserve">          4118 - NON-TAXABLE SALES-STUDY GUIDES</v>
      </c>
      <c r="C57" s="11"/>
      <c r="D57" s="2">
        <f>--6.5</f>
        <v>6.5</v>
      </c>
      <c r="E57" s="2"/>
      <c r="F57" s="19"/>
      <c r="G57" s="2"/>
      <c r="H57" s="2">
        <f>--6.95</f>
        <v>6.95</v>
      </c>
      <c r="I57" s="2"/>
      <c r="J57" s="19"/>
      <c r="K57" s="2"/>
      <c r="L57" s="2">
        <f t="shared" si="0"/>
        <v>-0.45000000000000018</v>
      </c>
      <c r="M57" s="2"/>
      <c r="N57" s="19">
        <f t="shared" si="1"/>
        <v>-6.4748201438848949E-2</v>
      </c>
      <c r="O57" s="11"/>
      <c r="P57" s="2">
        <f>--108.33</f>
        <v>108.33</v>
      </c>
      <c r="Q57" s="2"/>
      <c r="R57" s="19"/>
      <c r="S57" s="2"/>
      <c r="T57" s="2">
        <f>--20.92</f>
        <v>20.92</v>
      </c>
      <c r="U57" s="2"/>
      <c r="V57" s="19"/>
      <c r="W57" s="2"/>
      <c r="X57" s="2">
        <f t="shared" si="2"/>
        <v>87.41</v>
      </c>
      <c r="Y57" s="2"/>
      <c r="Z57" s="19">
        <f t="shared" si="3"/>
        <v>4.1782982791586996</v>
      </c>
    </row>
    <row r="58" spans="1:26" s="24" customFormat="1" hidden="1" outlineLevel="1" x14ac:dyDescent="0.25">
      <c r="A58" s="44"/>
      <c r="B58" s="11" t="str">
        <f>CONCATENATE("          ", "4125", " - ", "NON-TAXABLE SALES-TEST FORMS")</f>
        <v xml:space="preserve">          4125 - NON-TAXABLE SALES-TEST FORMS</v>
      </c>
      <c r="C58" s="11"/>
      <c r="D58" s="2">
        <f t="shared" ref="D58:D59" si="15">0</f>
        <v>0</v>
      </c>
      <c r="E58" s="2"/>
      <c r="F58" s="19"/>
      <c r="G58" s="2"/>
      <c r="H58" s="2">
        <f>--42.03</f>
        <v>42.03</v>
      </c>
      <c r="I58" s="2"/>
      <c r="J58" s="19"/>
      <c r="K58" s="2"/>
      <c r="L58" s="2">
        <f t="shared" si="0"/>
        <v>-42.03</v>
      </c>
      <c r="M58" s="2"/>
      <c r="N58" s="19">
        <f t="shared" si="1"/>
        <v>-1</v>
      </c>
      <c r="O58" s="11"/>
      <c r="P58" s="2">
        <f>0</f>
        <v>0</v>
      </c>
      <c r="Q58" s="2"/>
      <c r="R58" s="19"/>
      <c r="S58" s="2"/>
      <c r="T58" s="2">
        <f>--124.18</f>
        <v>124.18</v>
      </c>
      <c r="U58" s="2"/>
      <c r="V58" s="19"/>
      <c r="W58" s="2"/>
      <c r="X58" s="2">
        <f t="shared" si="2"/>
        <v>-124.18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"4126", " - ", "NON-TAXABLE SALES-WRITING INST")</f>
        <v xml:space="preserve">          4126 - NON-TAXABLE SALES-WRITING INST</v>
      </c>
      <c r="C59" s="11"/>
      <c r="D59" s="2">
        <f t="shared" si="15"/>
        <v>0</v>
      </c>
      <c r="E59" s="2"/>
      <c r="F59" s="19"/>
      <c r="G59" s="2"/>
      <c r="H59" s="2">
        <f>--332.14</f>
        <v>332.14</v>
      </c>
      <c r="I59" s="2"/>
      <c r="J59" s="19"/>
      <c r="K59" s="2"/>
      <c r="L59" s="2">
        <f t="shared" si="0"/>
        <v>-332.14</v>
      </c>
      <c r="M59" s="2"/>
      <c r="N59" s="19">
        <f t="shared" si="1"/>
        <v>-1</v>
      </c>
      <c r="O59" s="11"/>
      <c r="P59" s="2">
        <f>--52.68</f>
        <v>52.68</v>
      </c>
      <c r="Q59" s="2"/>
      <c r="R59" s="19"/>
      <c r="S59" s="2"/>
      <c r="T59" s="2">
        <f>--1343.26</f>
        <v>1343.26</v>
      </c>
      <c r="U59" s="2"/>
      <c r="V59" s="19"/>
      <c r="W59" s="2"/>
      <c r="X59" s="2">
        <f t="shared" si="2"/>
        <v>-1290.58</v>
      </c>
      <c r="Y59" s="2"/>
      <c r="Z59" s="19">
        <f t="shared" si="3"/>
        <v>-0.96078197817250566</v>
      </c>
    </row>
    <row r="60" spans="1:26" s="24" customFormat="1" hidden="1" outlineLevel="1" x14ac:dyDescent="0.25">
      <c r="A60" s="44"/>
      <c r="B60" s="11" t="str">
        <f>CONCATENATE("          ", "4127", " - ", "NON-TAXABLE SALES-SCHOOL SUPPL")</f>
        <v xml:space="preserve">          4127 - NON-TAXABLE SALES-SCHOOL SUPPL</v>
      </c>
      <c r="C60" s="11"/>
      <c r="D60" s="2">
        <f>--810.33</f>
        <v>810.33</v>
      </c>
      <c r="E60" s="2"/>
      <c r="F60" s="19"/>
      <c r="G60" s="2"/>
      <c r="H60" s="2">
        <f>--547.21</f>
        <v>547.21</v>
      </c>
      <c r="I60" s="2"/>
      <c r="J60" s="19"/>
      <c r="K60" s="2"/>
      <c r="L60" s="2">
        <f t="shared" si="0"/>
        <v>263.12</v>
      </c>
      <c r="M60" s="2"/>
      <c r="N60" s="19">
        <f t="shared" si="1"/>
        <v>0.48083916595091464</v>
      </c>
      <c r="O60" s="11"/>
      <c r="P60" s="2">
        <f>--2670.74</f>
        <v>2670.74</v>
      </c>
      <c r="Q60" s="2"/>
      <c r="R60" s="19"/>
      <c r="S60" s="2"/>
      <c r="T60" s="2">
        <f>--2417.49</f>
        <v>2417.4899999999998</v>
      </c>
      <c r="U60" s="2"/>
      <c r="V60" s="19"/>
      <c r="W60" s="2"/>
      <c r="X60" s="2">
        <f t="shared" si="2"/>
        <v>253.25</v>
      </c>
      <c r="Y60" s="2"/>
      <c r="Z60" s="19">
        <f t="shared" si="3"/>
        <v>0.10475741368113209</v>
      </c>
    </row>
    <row r="61" spans="1:26" s="24" customFormat="1" hidden="1" outlineLevel="1" x14ac:dyDescent="0.25">
      <c r="A61" s="44"/>
      <c r="B61" s="11" t="str">
        <f>CONCATENATE("          ", "4128", " - ", "NON-TAXABLE SALES-ART/TECH")</f>
        <v xml:space="preserve">          4128 - NON-TAXABLE SALES-ART/TECH</v>
      </c>
      <c r="C61" s="11"/>
      <c r="D61" s="2">
        <f>0</f>
        <v>0</v>
      </c>
      <c r="E61" s="2"/>
      <c r="F61" s="19"/>
      <c r="G61" s="2"/>
      <c r="H61" s="2">
        <f>--132.8</f>
        <v>132.80000000000001</v>
      </c>
      <c r="I61" s="2"/>
      <c r="J61" s="19"/>
      <c r="K61" s="2"/>
      <c r="L61" s="2">
        <f t="shared" si="0"/>
        <v>-132.80000000000001</v>
      </c>
      <c r="M61" s="2"/>
      <c r="N61" s="19">
        <f t="shared" si="1"/>
        <v>-1</v>
      </c>
      <c r="O61" s="11"/>
      <c r="P61" s="2">
        <f>0</f>
        <v>0</v>
      </c>
      <c r="Q61" s="2"/>
      <c r="R61" s="19"/>
      <c r="S61" s="2"/>
      <c r="T61" s="2">
        <f>--262.9</f>
        <v>262.89999999999998</v>
      </c>
      <c r="U61" s="2"/>
      <c r="V61" s="19"/>
      <c r="W61" s="2"/>
      <c r="X61" s="2">
        <f t="shared" si="2"/>
        <v>-262.89999999999998</v>
      </c>
      <c r="Y61" s="2"/>
      <c r="Z61" s="19">
        <f t="shared" si="3"/>
        <v>-1</v>
      </c>
    </row>
    <row r="62" spans="1:26" s="24" customFormat="1" hidden="1" outlineLevel="1" x14ac:dyDescent="0.25">
      <c r="A62" s="44"/>
      <c r="B62" s="11" t="str">
        <f>CONCATENATE("          ", "4131", " - ", "NON-TAXABLE SALES-FOOD")</f>
        <v xml:space="preserve">          4131 - NON-TAXABLE SALES-FOOD</v>
      </c>
      <c r="C62" s="11"/>
      <c r="D62" s="2">
        <f>--2168.74</f>
        <v>2168.7399999999998</v>
      </c>
      <c r="E62" s="2"/>
      <c r="F62" s="19"/>
      <c r="G62" s="2"/>
      <c r="H62" s="2">
        <f>--10548.09</f>
        <v>10548.09</v>
      </c>
      <c r="I62" s="2"/>
      <c r="J62" s="19"/>
      <c r="K62" s="2"/>
      <c r="L62" s="2">
        <f t="shared" si="0"/>
        <v>-8379.35</v>
      </c>
      <c r="M62" s="2"/>
      <c r="N62" s="19">
        <f t="shared" si="1"/>
        <v>-0.79439500421403308</v>
      </c>
      <c r="O62" s="11"/>
      <c r="P62" s="2">
        <f>--4003.96</f>
        <v>4003.96</v>
      </c>
      <c r="Q62" s="2"/>
      <c r="R62" s="19"/>
      <c r="S62" s="2"/>
      <c r="T62" s="2">
        <f>--13265.29</f>
        <v>13265.29</v>
      </c>
      <c r="U62" s="2"/>
      <c r="V62" s="19"/>
      <c r="W62" s="2"/>
      <c r="X62" s="2">
        <f t="shared" si="2"/>
        <v>-9261.3300000000017</v>
      </c>
      <c r="Y62" s="2"/>
      <c r="Z62" s="19">
        <f t="shared" si="3"/>
        <v>-0.69816264853614218</v>
      </c>
    </row>
    <row r="63" spans="1:26" s="24" customFormat="1" hidden="1" outlineLevel="1" x14ac:dyDescent="0.25">
      <c r="A63" s="44"/>
      <c r="B63" s="11" t="str">
        <f>CONCATENATE("          ", "4132", " - ", "NON-TAXABLE SALES-JUICE")</f>
        <v xml:space="preserve">          4132 - NON-TAXABLE SALES-JUICE</v>
      </c>
      <c r="C63" s="11"/>
      <c r="D63" s="2">
        <f t="shared" ref="D63:D67" si="16">0</f>
        <v>0</v>
      </c>
      <c r="E63" s="2"/>
      <c r="F63" s="19"/>
      <c r="G63" s="2"/>
      <c r="H63" s="2">
        <f>--3051.46</f>
        <v>3051.46</v>
      </c>
      <c r="I63" s="2"/>
      <c r="J63" s="19"/>
      <c r="K63" s="2"/>
      <c r="L63" s="2">
        <f t="shared" si="0"/>
        <v>-3051.46</v>
      </c>
      <c r="M63" s="2"/>
      <c r="N63" s="19">
        <f t="shared" si="1"/>
        <v>-1</v>
      </c>
      <c r="O63" s="11"/>
      <c r="P63" s="2">
        <f>--22.49</f>
        <v>22.49</v>
      </c>
      <c r="Q63" s="2"/>
      <c r="R63" s="19"/>
      <c r="S63" s="2"/>
      <c r="T63" s="2">
        <f>--3810.37</f>
        <v>3810.37</v>
      </c>
      <c r="U63" s="2"/>
      <c r="V63" s="19"/>
      <c r="W63" s="2"/>
      <c r="X63" s="2">
        <f t="shared" si="2"/>
        <v>-3787.88</v>
      </c>
      <c r="Y63" s="2"/>
      <c r="Z63" s="19">
        <f t="shared" si="3"/>
        <v>-0.99409768605148585</v>
      </c>
    </row>
    <row r="64" spans="1:26" s="24" customFormat="1" hidden="1" outlineLevel="1" x14ac:dyDescent="0.25">
      <c r="A64" s="44"/>
      <c r="B64" s="11" t="str">
        <f>CONCATENATE("          ", "4133", " - ", "NON-TAXABLE SALES-CANDY")</f>
        <v xml:space="preserve">          4133 - NON-TAXABLE SALES-CANDY</v>
      </c>
      <c r="C64" s="11"/>
      <c r="D64" s="2">
        <f t="shared" si="16"/>
        <v>0</v>
      </c>
      <c r="E64" s="2"/>
      <c r="F64" s="19"/>
      <c r="G64" s="2"/>
      <c r="H64" s="2">
        <f>--3292.63</f>
        <v>3292.63</v>
      </c>
      <c r="I64" s="2"/>
      <c r="J64" s="19"/>
      <c r="K64" s="2"/>
      <c r="L64" s="2">
        <f t="shared" si="0"/>
        <v>-3292.63</v>
      </c>
      <c r="M64" s="2"/>
      <c r="N64" s="19">
        <f t="shared" si="1"/>
        <v>-1</v>
      </c>
      <c r="O64" s="11"/>
      <c r="P64" s="2">
        <f>--80.71</f>
        <v>80.709999999999994</v>
      </c>
      <c r="Q64" s="2"/>
      <c r="R64" s="19"/>
      <c r="S64" s="2"/>
      <c r="T64" s="2">
        <f>--4664.98</f>
        <v>4664.9799999999996</v>
      </c>
      <c r="U64" s="2"/>
      <c r="V64" s="19"/>
      <c r="W64" s="2"/>
      <c r="X64" s="2">
        <f t="shared" si="2"/>
        <v>-4584.2699999999995</v>
      </c>
      <c r="Y64" s="2"/>
      <c r="Z64" s="19">
        <f t="shared" si="3"/>
        <v>-0.9826987468327838</v>
      </c>
    </row>
    <row r="65" spans="1:26" s="24" customFormat="1" hidden="1" outlineLevel="1" x14ac:dyDescent="0.25">
      <c r="A65" s="44"/>
      <c r="B65" s="11" t="str">
        <f>CONCATENATE("          ", "4134", " - ", "NON-TAXABLE SALES-SODA")</f>
        <v xml:space="preserve">          4134 - NON-TAXABLE SALES-SODA</v>
      </c>
      <c r="C65" s="11"/>
      <c r="D65" s="2">
        <f t="shared" si="16"/>
        <v>0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0</v>
      </c>
      <c r="M65" s="2"/>
      <c r="N65" s="19">
        <f t="shared" si="1"/>
        <v>0</v>
      </c>
      <c r="O65" s="11"/>
      <c r="P65" s="2">
        <f>--45.53</f>
        <v>45.53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45.53</v>
      </c>
      <c r="Y65" s="2"/>
      <c r="Z65" s="19">
        <f t="shared" si="3"/>
        <v>0</v>
      </c>
    </row>
    <row r="66" spans="1:26" s="24" customFormat="1" hidden="1" outlineLevel="1" x14ac:dyDescent="0.25">
      <c r="A66" s="44"/>
      <c r="B66" s="11" t="str">
        <f>CONCATENATE("          ", "4135", " - ", "NON-TAXABLE SALES")</f>
        <v xml:space="preserve">          4135 - NON-TAXABLE SALES</v>
      </c>
      <c r="C66" s="11"/>
      <c r="D66" s="2">
        <f t="shared" si="16"/>
        <v>0</v>
      </c>
      <c r="E66" s="2"/>
      <c r="F66" s="19"/>
      <c r="G66" s="2"/>
      <c r="H66" s="2">
        <f>--32.31</f>
        <v>32.31</v>
      </c>
      <c r="I66" s="2"/>
      <c r="J66" s="19"/>
      <c r="K66" s="2"/>
      <c r="L66" s="2">
        <f t="shared" si="0"/>
        <v>-32.31</v>
      </c>
      <c r="M66" s="2"/>
      <c r="N66" s="19">
        <f t="shared" si="1"/>
        <v>-1</v>
      </c>
      <c r="O66" s="11"/>
      <c r="P66" s="2">
        <f>0</f>
        <v>0</v>
      </c>
      <c r="Q66" s="2"/>
      <c r="R66" s="19"/>
      <c r="S66" s="2"/>
      <c r="T66" s="2">
        <f>--86.06</f>
        <v>86.06</v>
      </c>
      <c r="U66" s="2"/>
      <c r="V66" s="19"/>
      <c r="W66" s="2"/>
      <c r="X66" s="2">
        <f t="shared" si="2"/>
        <v>-86.06</v>
      </c>
      <c r="Y66" s="2"/>
      <c r="Z66" s="19">
        <f t="shared" si="3"/>
        <v>-1</v>
      </c>
    </row>
    <row r="67" spans="1:26" s="24" customFormat="1" hidden="1" outlineLevel="1" x14ac:dyDescent="0.25">
      <c r="A67" s="44"/>
      <c r="B67" s="11" t="str">
        <f>CONCATENATE("          ", "4137", " - ", "NON-TAXABLE SALES-WATER")</f>
        <v xml:space="preserve">          4137 - NON-TAXABLE SALES-WATER</v>
      </c>
      <c r="C67" s="11"/>
      <c r="D67" s="2">
        <f t="shared" si="16"/>
        <v>0</v>
      </c>
      <c r="E67" s="2"/>
      <c r="F67" s="19"/>
      <c r="G67" s="2"/>
      <c r="H67" s="2">
        <f>--1634.15</f>
        <v>1634.15</v>
      </c>
      <c r="I67" s="2"/>
      <c r="J67" s="19"/>
      <c r="K67" s="2"/>
      <c r="L67" s="2">
        <f t="shared" si="0"/>
        <v>-1634.15</v>
      </c>
      <c r="M67" s="2"/>
      <c r="N67" s="19">
        <f t="shared" si="1"/>
        <v>-1</v>
      </c>
      <c r="O67" s="11"/>
      <c r="P67" s="2">
        <f>--68.25</f>
        <v>68.25</v>
      </c>
      <c r="Q67" s="2"/>
      <c r="R67" s="19"/>
      <c r="S67" s="2"/>
      <c r="T67" s="2">
        <f>--2240.87</f>
        <v>2240.87</v>
      </c>
      <c r="U67" s="2"/>
      <c r="V67" s="19"/>
      <c r="W67" s="2"/>
      <c r="X67" s="2">
        <f t="shared" si="2"/>
        <v>-2172.62</v>
      </c>
      <c r="Y67" s="2"/>
      <c r="Z67" s="19">
        <f t="shared" si="3"/>
        <v>-0.96954307925046967</v>
      </c>
    </row>
    <row r="68" spans="1:26" s="24" customFormat="1" hidden="1" outlineLevel="1" x14ac:dyDescent="0.25">
      <c r="A68" s="44"/>
      <c r="B68" s="11" t="str">
        <f>CONCATENATE("          ", "4140", " - ", "NON-TAXABLE SALES-LOGO CLOTHIN")</f>
        <v xml:space="preserve">          4140 - NON-TAXABLE SALES-LOGO CLOTHIN</v>
      </c>
      <c r="C68" s="11"/>
      <c r="D68" s="2">
        <f>--3339.7</f>
        <v>3339.7</v>
      </c>
      <c r="E68" s="2"/>
      <c r="F68" s="19"/>
      <c r="G68" s="2"/>
      <c r="H68" s="2">
        <f>--3114.74</f>
        <v>3114.74</v>
      </c>
      <c r="I68" s="2"/>
      <c r="J68" s="19"/>
      <c r="K68" s="2"/>
      <c r="L68" s="2">
        <f t="shared" si="0"/>
        <v>224.96000000000004</v>
      </c>
      <c r="M68" s="2"/>
      <c r="N68" s="19">
        <f t="shared" si="1"/>
        <v>7.2224326910111297E-2</v>
      </c>
      <c r="O68" s="11"/>
      <c r="P68" s="2">
        <f>--17452.44</f>
        <v>17452.439999999999</v>
      </c>
      <c r="Q68" s="2"/>
      <c r="R68" s="19"/>
      <c r="S68" s="2"/>
      <c r="T68" s="2">
        <f>--8257.7</f>
        <v>8257.7000000000007</v>
      </c>
      <c r="U68" s="2"/>
      <c r="V68" s="19"/>
      <c r="W68" s="2"/>
      <c r="X68" s="2">
        <f t="shared" si="2"/>
        <v>9194.739999999998</v>
      </c>
      <c r="Y68" s="2"/>
      <c r="Z68" s="19">
        <f t="shared" si="3"/>
        <v>1.1134746963440179</v>
      </c>
    </row>
    <row r="69" spans="1:26" s="24" customFormat="1" hidden="1" outlineLevel="1" x14ac:dyDescent="0.25">
      <c r="A69" s="44"/>
      <c r="B69" s="11" t="str">
        <f>CONCATENATE("          ", "4141", " - ", "NON-TAXABLE SALES-LOGO GIFTS")</f>
        <v xml:space="preserve">          4141 - NON-TAXABLE SALES-LOGO GIFTS</v>
      </c>
      <c r="C69" s="11"/>
      <c r="D69" s="2">
        <f>--555.74</f>
        <v>555.74</v>
      </c>
      <c r="E69" s="2"/>
      <c r="F69" s="19"/>
      <c r="G69" s="2"/>
      <c r="H69" s="2">
        <f>--120.34</f>
        <v>120.34</v>
      </c>
      <c r="I69" s="2"/>
      <c r="J69" s="19"/>
      <c r="K69" s="2"/>
      <c r="L69" s="2">
        <f t="shared" si="0"/>
        <v>435.4</v>
      </c>
      <c r="M69" s="2"/>
      <c r="N69" s="19">
        <f t="shared" si="1"/>
        <v>3.6180821007146418</v>
      </c>
      <c r="O69" s="11"/>
      <c r="P69" s="2">
        <f>--2944.99</f>
        <v>2944.99</v>
      </c>
      <c r="Q69" s="2"/>
      <c r="R69" s="19"/>
      <c r="S69" s="2"/>
      <c r="T69" s="2">
        <f>--814.64</f>
        <v>814.64</v>
      </c>
      <c r="U69" s="2"/>
      <c r="V69" s="19"/>
      <c r="W69" s="2"/>
      <c r="X69" s="2">
        <f t="shared" si="2"/>
        <v>2130.35</v>
      </c>
      <c r="Y69" s="2"/>
      <c r="Z69" s="19">
        <f t="shared" si="3"/>
        <v>2.6150815083963468</v>
      </c>
    </row>
    <row r="70" spans="1:26" s="24" customFormat="1" hidden="1" outlineLevel="1" x14ac:dyDescent="0.25">
      <c r="A70" s="44"/>
      <c r="B70" s="11" t="str">
        <f>CONCATENATE("          ", "4142", " - ", "NON-TAXABLE SALES-EVERYDAY GIF")</f>
        <v xml:space="preserve">          4142 - NON-TAXABLE SALES-EVERYDAY GIF</v>
      </c>
      <c r="C70" s="11"/>
      <c r="D70" s="2">
        <f>--30.16</f>
        <v>30.16</v>
      </c>
      <c r="E70" s="2"/>
      <c r="F70" s="19"/>
      <c r="G70" s="2"/>
      <c r="H70" s="2">
        <f>--2116.4</f>
        <v>2116.4</v>
      </c>
      <c r="I70" s="2"/>
      <c r="J70" s="19"/>
      <c r="K70" s="2"/>
      <c r="L70" s="2">
        <f t="shared" si="0"/>
        <v>-2086.2400000000002</v>
      </c>
      <c r="M70" s="2"/>
      <c r="N70" s="19">
        <f t="shared" si="1"/>
        <v>-0.98574938574938586</v>
      </c>
      <c r="O70" s="11"/>
      <c r="P70" s="2">
        <f>--1009.73</f>
        <v>1009.73</v>
      </c>
      <c r="Q70" s="2"/>
      <c r="R70" s="19"/>
      <c r="S70" s="2"/>
      <c r="T70" s="2">
        <f>--3036.5</f>
        <v>3036.5</v>
      </c>
      <c r="U70" s="2"/>
      <c r="V70" s="19"/>
      <c r="W70" s="2"/>
      <c r="X70" s="2">
        <f t="shared" si="2"/>
        <v>-2026.77</v>
      </c>
      <c r="Y70" s="2"/>
      <c r="Z70" s="19">
        <f t="shared" si="3"/>
        <v>-0.66746912563807015</v>
      </c>
    </row>
    <row r="71" spans="1:26" s="24" customFormat="1" hidden="1" outlineLevel="1" x14ac:dyDescent="0.25">
      <c r="A71" s="44"/>
      <c r="B71" s="11" t="str">
        <f>CONCATENATE("          ", "4143", " - ", "NON-TAXABLE SALES-CARDS")</f>
        <v xml:space="preserve">          4143 - NON-TAXABLE SALES-CARDS</v>
      </c>
      <c r="C71" s="11"/>
      <c r="D71" s="2">
        <f>0</f>
        <v>0</v>
      </c>
      <c r="E71" s="2"/>
      <c r="F71" s="19"/>
      <c r="G71" s="2"/>
      <c r="H71" s="2">
        <f t="shared" ref="H71:H73" si="17">0</f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>--19.98</f>
        <v>19.98</v>
      </c>
      <c r="Q71" s="2"/>
      <c r="R71" s="19"/>
      <c r="S71" s="2"/>
      <c r="T71" s="2">
        <f>0</f>
        <v>0</v>
      </c>
      <c r="U71" s="2"/>
      <c r="V71" s="19"/>
      <c r="W71" s="2"/>
      <c r="X71" s="2">
        <f t="shared" si="2"/>
        <v>19.98</v>
      </c>
      <c r="Y71" s="2"/>
      <c r="Z71" s="19">
        <f t="shared" si="3"/>
        <v>0</v>
      </c>
    </row>
    <row r="72" spans="1:26" s="24" customFormat="1" hidden="1" outlineLevel="1" x14ac:dyDescent="0.25">
      <c r="A72" s="44"/>
      <c r="B72" s="11" t="str">
        <f>CONCATENATE("          ", "4144", " - ", "NON-TAXABLE SALES-ACCESSORIES")</f>
        <v xml:space="preserve">          4144 - NON-TAXABLE SALES-ACCESSORIES</v>
      </c>
      <c r="C72" s="11"/>
      <c r="D72" s="2">
        <f>--59.95</f>
        <v>59.95</v>
      </c>
      <c r="E72" s="2"/>
      <c r="F72" s="19"/>
      <c r="G72" s="2"/>
      <c r="H72" s="2">
        <f t="shared" si="17"/>
        <v>0</v>
      </c>
      <c r="I72" s="2"/>
      <c r="J72" s="19"/>
      <c r="K72" s="2"/>
      <c r="L72" s="2">
        <f t="shared" si="0"/>
        <v>59.95</v>
      </c>
      <c r="M72" s="2"/>
      <c r="N72" s="19">
        <f t="shared" si="1"/>
        <v>0</v>
      </c>
      <c r="O72" s="11"/>
      <c r="P72" s="2">
        <f>--215.75</f>
        <v>215.75</v>
      </c>
      <c r="Q72" s="2"/>
      <c r="R72" s="19"/>
      <c r="S72" s="2"/>
      <c r="T72" s="2">
        <f>--139.76</f>
        <v>139.76</v>
      </c>
      <c r="U72" s="2"/>
      <c r="V72" s="19"/>
      <c r="W72" s="2"/>
      <c r="X72" s="2">
        <f t="shared" si="2"/>
        <v>75.990000000000009</v>
      </c>
      <c r="Y72" s="2"/>
      <c r="Z72" s="19">
        <f t="shared" si="3"/>
        <v>0.54371780194619357</v>
      </c>
    </row>
    <row r="73" spans="1:26" s="24" customFormat="1" hidden="1" outlineLevel="1" x14ac:dyDescent="0.25">
      <c r="A73" s="44"/>
      <c r="B73" s="11" t="str">
        <f>CONCATENATE("          ", "4145", " - ", "NON-TAXABLE SALES-SPECIAL ORDE")</f>
        <v xml:space="preserve">          4145 - NON-TAXABLE SALES-SPECIAL ORDE</v>
      </c>
      <c r="C73" s="11"/>
      <c r="D73" s="2">
        <f>0</f>
        <v>0</v>
      </c>
      <c r="E73" s="2"/>
      <c r="F73" s="19"/>
      <c r="G73" s="2"/>
      <c r="H73" s="2">
        <f t="shared" si="17"/>
        <v>0</v>
      </c>
      <c r="I73" s="2"/>
      <c r="J73" s="19"/>
      <c r="K73" s="2"/>
      <c r="L73" s="2">
        <f t="shared" si="0"/>
        <v>0</v>
      </c>
      <c r="M73" s="2"/>
      <c r="N73" s="19">
        <f t="shared" si="1"/>
        <v>0</v>
      </c>
      <c r="O73" s="11"/>
      <c r="P73" s="2">
        <f>--35846</f>
        <v>35846</v>
      </c>
      <c r="Q73" s="2"/>
      <c r="R73" s="19"/>
      <c r="S73" s="2"/>
      <c r="T73" s="2">
        <f>--90</f>
        <v>90</v>
      </c>
      <c r="U73" s="2"/>
      <c r="V73" s="19"/>
      <c r="W73" s="2"/>
      <c r="X73" s="2">
        <f t="shared" si="2"/>
        <v>35756</v>
      </c>
      <c r="Y73" s="2"/>
      <c r="Z73" s="19">
        <f t="shared" si="3"/>
        <v>397.28888888888889</v>
      </c>
    </row>
    <row r="74" spans="1:26" s="24" customFormat="1" hidden="1" outlineLevel="1" x14ac:dyDescent="0.25">
      <c r="A74" s="44"/>
      <c r="B74" s="11" t="str">
        <f>CONCATENATE("          ", "4146", " - ", "NON-TAXABLE SALES-COIN OP MACH")</f>
        <v xml:space="preserve">          4146 - NON-TAXABLE SALES-COIN OP MACH</v>
      </c>
      <c r="C74" s="11"/>
      <c r="D74" s="2">
        <f>--49.7</f>
        <v>49.7</v>
      </c>
      <c r="E74" s="2"/>
      <c r="F74" s="19"/>
      <c r="G74" s="2"/>
      <c r="H74" s="2">
        <f>--34744.75</f>
        <v>34744.75</v>
      </c>
      <c r="I74" s="2"/>
      <c r="J74" s="19"/>
      <c r="K74" s="2"/>
      <c r="L74" s="2">
        <f t="shared" si="0"/>
        <v>-34695.050000000003</v>
      </c>
      <c r="M74" s="2"/>
      <c r="N74" s="19">
        <f t="shared" si="1"/>
        <v>-0.99856956806424002</v>
      </c>
      <c r="O74" s="11"/>
      <c r="P74" s="2">
        <f>--65.2</f>
        <v>65.2</v>
      </c>
      <c r="Q74" s="2"/>
      <c r="R74" s="19"/>
      <c r="S74" s="2"/>
      <c r="T74" s="2">
        <f>--50093.5</f>
        <v>50093.5</v>
      </c>
      <c r="U74" s="2"/>
      <c r="V74" s="19"/>
      <c r="W74" s="2"/>
      <c r="X74" s="2">
        <f t="shared" si="2"/>
        <v>-50028.3</v>
      </c>
      <c r="Y74" s="2"/>
      <c r="Z74" s="19">
        <f t="shared" si="3"/>
        <v>-0.99869843392855362</v>
      </c>
    </row>
    <row r="75" spans="1:26" s="24" customFormat="1" hidden="1" outlineLevel="1" x14ac:dyDescent="0.25">
      <c r="A75" s="44"/>
      <c r="B75" s="11" t="str">
        <f>CONCATENATE("          ", "4147", " - ", "NON-TAXABLE SALES-MISC")</f>
        <v xml:space="preserve">          4147 - NON-TAXABLE SALES-MISC</v>
      </c>
      <c r="C75" s="11"/>
      <c r="D75" s="2">
        <f>--24</f>
        <v>24</v>
      </c>
      <c r="E75" s="2"/>
      <c r="F75" s="19"/>
      <c r="G75" s="2"/>
      <c r="H75" s="2">
        <f>--344.5</f>
        <v>344.5</v>
      </c>
      <c r="I75" s="2"/>
      <c r="J75" s="19"/>
      <c r="K75" s="2"/>
      <c r="L75" s="2">
        <f t="shared" si="0"/>
        <v>-320.5</v>
      </c>
      <c r="M75" s="2"/>
      <c r="N75" s="19">
        <f t="shared" si="1"/>
        <v>-0.93033381712626995</v>
      </c>
      <c r="O75" s="11"/>
      <c r="P75" s="2">
        <f>--48</f>
        <v>48</v>
      </c>
      <c r="Q75" s="2"/>
      <c r="R75" s="19"/>
      <c r="S75" s="2"/>
      <c r="T75" s="2">
        <f>--414.9</f>
        <v>414.9</v>
      </c>
      <c r="U75" s="2"/>
      <c r="V75" s="19"/>
      <c r="W75" s="2"/>
      <c r="X75" s="2">
        <f t="shared" si="2"/>
        <v>-366.9</v>
      </c>
      <c r="Y75" s="2"/>
      <c r="Z75" s="19">
        <f t="shared" si="3"/>
        <v>-0.88430947216196676</v>
      </c>
    </row>
    <row r="76" spans="1:26" s="24" customFormat="1" hidden="1" outlineLevel="1" x14ac:dyDescent="0.25">
      <c r="A76" s="44"/>
      <c r="B76" s="11" t="str">
        <f>CONCATENATE("          ", "4181", " - ", "NON-TAXABLE SALES-ELECTRONICS")</f>
        <v xml:space="preserve">          4181 - NON-TAXABLE SALES-ELECTRONICS</v>
      </c>
      <c r="C76" s="11"/>
      <c r="D76" s="2">
        <f>--669.89</f>
        <v>669.89</v>
      </c>
      <c r="E76" s="2"/>
      <c r="F76" s="19"/>
      <c r="G76" s="2"/>
      <c r="H76" s="2">
        <f>--63.96</f>
        <v>63.96</v>
      </c>
      <c r="I76" s="2"/>
      <c r="J76" s="19"/>
      <c r="K76" s="2"/>
      <c r="L76" s="2">
        <f t="shared" si="0"/>
        <v>605.92999999999995</v>
      </c>
      <c r="M76" s="2"/>
      <c r="N76" s="19">
        <f t="shared" si="1"/>
        <v>9.4735772357723569</v>
      </c>
      <c r="O76" s="11"/>
      <c r="P76" s="2">
        <f>--3309.16</f>
        <v>3309.16</v>
      </c>
      <c r="Q76" s="2"/>
      <c r="R76" s="19"/>
      <c r="S76" s="2"/>
      <c r="T76" s="2">
        <f>--1454.52</f>
        <v>1454.52</v>
      </c>
      <c r="U76" s="2"/>
      <c r="V76" s="19"/>
      <c r="W76" s="2"/>
      <c r="X76" s="2">
        <f t="shared" si="2"/>
        <v>1854.6399999999999</v>
      </c>
      <c r="Y76" s="2"/>
      <c r="Z76" s="19">
        <f t="shared" si="3"/>
        <v>1.2750873140279955</v>
      </c>
    </row>
    <row r="77" spans="1:26" s="24" customFormat="1" hidden="1" outlineLevel="1" x14ac:dyDescent="0.25">
      <c r="A77" s="44"/>
      <c r="B77" s="11" t="str">
        <f>CONCATENATE("          ", "4182", " - ", "NON-TAXABLE SALES-COMPUTER HAR")</f>
        <v xml:space="preserve">          4182 - NON-TAXABLE SALES-COMPUTER HAR</v>
      </c>
      <c r="C77" s="11"/>
      <c r="D77" s="2">
        <f>--38657</f>
        <v>38657</v>
      </c>
      <c r="E77" s="2"/>
      <c r="F77" s="19"/>
      <c r="G77" s="2"/>
      <c r="H77" s="2">
        <f>--15231</f>
        <v>15231</v>
      </c>
      <c r="I77" s="2"/>
      <c r="J77" s="19"/>
      <c r="K77" s="2"/>
      <c r="L77" s="2">
        <f t="shared" si="0"/>
        <v>23426</v>
      </c>
      <c r="M77" s="2"/>
      <c r="N77" s="19">
        <f t="shared" si="1"/>
        <v>1.5380474033221718</v>
      </c>
      <c r="O77" s="11"/>
      <c r="P77" s="2">
        <f>--120724.38</f>
        <v>120724.38</v>
      </c>
      <c r="Q77" s="2"/>
      <c r="R77" s="19"/>
      <c r="S77" s="2"/>
      <c r="T77" s="2">
        <f>--45802</f>
        <v>45802</v>
      </c>
      <c r="U77" s="2"/>
      <c r="V77" s="19"/>
      <c r="W77" s="2"/>
      <c r="X77" s="2">
        <f t="shared" si="2"/>
        <v>74922.38</v>
      </c>
      <c r="Y77" s="2"/>
      <c r="Z77" s="19">
        <f t="shared" si="3"/>
        <v>1.6357883935199338</v>
      </c>
    </row>
    <row r="78" spans="1:26" s="24" customFormat="1" hidden="1" outlineLevel="1" x14ac:dyDescent="0.25">
      <c r="A78" s="44"/>
      <c r="B78" s="11" t="str">
        <f>CONCATENATE("          ", "4183", " - ", "NON-TAXABLE SALES-COMPUTER EQU")</f>
        <v xml:space="preserve">          4183 - NON-TAXABLE SALES-COMPUTER EQU</v>
      </c>
      <c r="C78" s="11"/>
      <c r="D78" s="2">
        <f>--1946.8</f>
        <v>1946.8</v>
      </c>
      <c r="E78" s="2"/>
      <c r="F78" s="19"/>
      <c r="G78" s="2"/>
      <c r="H78" s="2">
        <f>--864.82</f>
        <v>864.82</v>
      </c>
      <c r="I78" s="2"/>
      <c r="J78" s="19"/>
      <c r="K78" s="2"/>
      <c r="L78" s="2">
        <f t="shared" si="0"/>
        <v>1081.98</v>
      </c>
      <c r="M78" s="2"/>
      <c r="N78" s="19">
        <f t="shared" si="1"/>
        <v>1.2511042760343192</v>
      </c>
      <c r="O78" s="11"/>
      <c r="P78" s="2">
        <f>--5066.48</f>
        <v>5066.4799999999996</v>
      </c>
      <c r="Q78" s="2"/>
      <c r="R78" s="19"/>
      <c r="S78" s="2"/>
      <c r="T78" s="2">
        <f>--2021.11</f>
        <v>2021.11</v>
      </c>
      <c r="U78" s="2"/>
      <c r="V78" s="19"/>
      <c r="W78" s="2"/>
      <c r="X78" s="2">
        <f t="shared" si="2"/>
        <v>3045.37</v>
      </c>
      <c r="Y78" s="2"/>
      <c r="Z78" s="19">
        <f t="shared" si="3"/>
        <v>1.5067809273122195</v>
      </c>
    </row>
    <row r="79" spans="1:26" s="24" customFormat="1" hidden="1" outlineLevel="1" x14ac:dyDescent="0.25">
      <c r="A79" s="44"/>
      <c r="B79" s="11" t="str">
        <f>CONCATENATE("          ", "4184", " - ", "NON-TAXABLE SALES-SOFTWARE LIC")</f>
        <v xml:space="preserve">          4184 - NON-TAXABLE SALES-SOFTWARE LIC</v>
      </c>
      <c r="C79" s="11"/>
      <c r="D79" s="2">
        <f>0</f>
        <v>0</v>
      </c>
      <c r="E79" s="2"/>
      <c r="F79" s="19"/>
      <c r="G79" s="2"/>
      <c r="H79" s="2">
        <f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>0</f>
        <v>0</v>
      </c>
      <c r="Q79" s="2"/>
      <c r="R79" s="19"/>
      <c r="S79" s="2"/>
      <c r="T79" s="2">
        <f>--1522</f>
        <v>1522</v>
      </c>
      <c r="U79" s="2"/>
      <c r="V79" s="19"/>
      <c r="W79" s="2"/>
      <c r="X79" s="2">
        <f t="shared" si="2"/>
        <v>-1522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"4185", " - ", "NON-TAXABLE SALES-SOFTWARE")</f>
        <v xml:space="preserve">          4185 - NON-TAXABLE SALES-SOFTWARE</v>
      </c>
      <c r="C80" s="11"/>
      <c r="D80" s="2">
        <f>--8427.6</f>
        <v>8427.6</v>
      </c>
      <c r="E80" s="2"/>
      <c r="F80" s="19"/>
      <c r="G80" s="2"/>
      <c r="H80" s="2">
        <f>--2555.94</f>
        <v>2555.94</v>
      </c>
      <c r="I80" s="2"/>
      <c r="J80" s="19"/>
      <c r="K80" s="2"/>
      <c r="L80" s="2">
        <f t="shared" si="0"/>
        <v>5871.66</v>
      </c>
      <c r="M80" s="2"/>
      <c r="N80" s="19">
        <f t="shared" si="1"/>
        <v>2.2972604990727481</v>
      </c>
      <c r="O80" s="11"/>
      <c r="P80" s="2">
        <f>--19226.09</f>
        <v>19226.09</v>
      </c>
      <c r="Q80" s="2"/>
      <c r="R80" s="19"/>
      <c r="S80" s="2"/>
      <c r="T80" s="2">
        <f>--7077.94</f>
        <v>7077.94</v>
      </c>
      <c r="U80" s="2"/>
      <c r="V80" s="19"/>
      <c r="W80" s="2"/>
      <c r="X80" s="2">
        <f t="shared" si="2"/>
        <v>12148.150000000001</v>
      </c>
      <c r="Y80" s="2"/>
      <c r="Z80" s="19">
        <f t="shared" si="3"/>
        <v>1.7163397824790831</v>
      </c>
    </row>
    <row r="81" spans="1:26" s="24" customFormat="1" hidden="1" outlineLevel="1" x14ac:dyDescent="0.25">
      <c r="A81" s="44"/>
      <c r="B81" s="11" t="str">
        <f>CONCATENATE("          ", "4186", " - ", "NON-TAXABLE SALES-COMPUTER SUP")</f>
        <v xml:space="preserve">          4186 - NON-TAXABLE SALES-COMPUTER SUP</v>
      </c>
      <c r="C81" s="11"/>
      <c r="D81" s="2">
        <f>--460.89</f>
        <v>460.89</v>
      </c>
      <c r="E81" s="2"/>
      <c r="F81" s="19"/>
      <c r="G81" s="2"/>
      <c r="H81" s="2">
        <f>--450.88</f>
        <v>450.88</v>
      </c>
      <c r="I81" s="2"/>
      <c r="J81" s="19"/>
      <c r="K81" s="2"/>
      <c r="L81" s="2">
        <f t="shared" si="0"/>
        <v>10.009999999999991</v>
      </c>
      <c r="M81" s="2"/>
      <c r="N81" s="19">
        <f t="shared" si="1"/>
        <v>2.2201029098651504E-2</v>
      </c>
      <c r="O81" s="11"/>
      <c r="P81" s="2">
        <f>--873.79</f>
        <v>873.79</v>
      </c>
      <c r="Q81" s="2"/>
      <c r="R81" s="19"/>
      <c r="S81" s="2"/>
      <c r="T81" s="2">
        <f>--725.78</f>
        <v>725.78</v>
      </c>
      <c r="U81" s="2"/>
      <c r="V81" s="19"/>
      <c r="W81" s="2"/>
      <c r="X81" s="2">
        <f t="shared" si="2"/>
        <v>148.01</v>
      </c>
      <c r="Y81" s="2"/>
      <c r="Z81" s="19">
        <f t="shared" si="3"/>
        <v>0.20393232108903525</v>
      </c>
    </row>
    <row r="82" spans="1:26" s="24" customFormat="1" hidden="1" outlineLevel="1" x14ac:dyDescent="0.25">
      <c r="A82" s="44"/>
      <c r="B82" s="11" t="str">
        <f>CONCATENATE("          ", "4188", " - ", "NON-TAXABLE SALES-MUSIC")</f>
        <v xml:space="preserve">          4188 - NON-TAXABLE SALES-MUSIC</v>
      </c>
      <c r="C82" s="11"/>
      <c r="D82" s="2">
        <f>0</f>
        <v>0</v>
      </c>
      <c r="E82" s="2"/>
      <c r="F82" s="19"/>
      <c r="G82" s="2"/>
      <c r="H82" s="2">
        <f>--119.98</f>
        <v>119.98</v>
      </c>
      <c r="I82" s="2"/>
      <c r="J82" s="19"/>
      <c r="K82" s="2"/>
      <c r="L82" s="2">
        <f t="shared" si="0"/>
        <v>-119.98</v>
      </c>
      <c r="M82" s="2"/>
      <c r="N82" s="19">
        <f t="shared" si="1"/>
        <v>-1</v>
      </c>
      <c r="O82" s="11"/>
      <c r="P82" s="2">
        <f>0</f>
        <v>0</v>
      </c>
      <c r="Q82" s="2"/>
      <c r="R82" s="19"/>
      <c r="S82" s="2"/>
      <c r="T82" s="2">
        <f>--219.96</f>
        <v>219.96</v>
      </c>
      <c r="U82" s="2"/>
      <c r="V82" s="19"/>
      <c r="W82" s="2"/>
      <c r="X82" s="2">
        <f t="shared" si="2"/>
        <v>-219.96</v>
      </c>
      <c r="Y82" s="2"/>
      <c r="Z82" s="19">
        <f t="shared" si="3"/>
        <v>-1</v>
      </c>
    </row>
    <row r="83" spans="1:26" s="24" customFormat="1" hidden="1" outlineLevel="1" x14ac:dyDescent="0.25">
      <c r="A83" s="44"/>
      <c r="B83" s="11" t="str">
        <f>CONCATENATE("          ", "4201", " - ", "SALES RETURN TAXABLE-NEW TEXT")</f>
        <v xml:space="preserve">          4201 - SALES RETURN TAXABLE-NEW TEXT</v>
      </c>
      <c r="C83" s="11"/>
      <c r="D83" s="2">
        <f>-13393.2</f>
        <v>-13393.2</v>
      </c>
      <c r="E83" s="2"/>
      <c r="F83" s="19"/>
      <c r="G83" s="2"/>
      <c r="H83" s="2">
        <f>-14069.34</f>
        <v>-14069.34</v>
      </c>
      <c r="I83" s="2"/>
      <c r="J83" s="19"/>
      <c r="K83" s="2"/>
      <c r="L83" s="2">
        <f t="shared" si="0"/>
        <v>676.13999999999942</v>
      </c>
      <c r="M83" s="2"/>
      <c r="N83" s="19">
        <f t="shared" si="1"/>
        <v>-4.8057691405566955E-2</v>
      </c>
      <c r="O83" s="11"/>
      <c r="P83" s="2">
        <f>-32248.99</f>
        <v>-32248.99</v>
      </c>
      <c r="Q83" s="2"/>
      <c r="R83" s="19"/>
      <c r="S83" s="2"/>
      <c r="T83" s="2">
        <f>-73239.75</f>
        <v>-73239.75</v>
      </c>
      <c r="U83" s="2"/>
      <c r="V83" s="19"/>
      <c r="W83" s="2"/>
      <c r="X83" s="2">
        <f t="shared" si="2"/>
        <v>40990.759999999995</v>
      </c>
      <c r="Y83" s="2"/>
      <c r="Z83" s="19">
        <f t="shared" si="3"/>
        <v>-0.55967913598831232</v>
      </c>
    </row>
    <row r="84" spans="1:26" s="24" customFormat="1" hidden="1" outlineLevel="1" x14ac:dyDescent="0.25">
      <c r="A84" s="44"/>
      <c r="B84" s="11" t="str">
        <f>CONCATENATE("          ", "4202", " - ", "SALES RETURN TAXABLE-USED TEXT")</f>
        <v xml:space="preserve">          4202 - SALES RETURN TAXABLE-USED TEXT</v>
      </c>
      <c r="C84" s="11"/>
      <c r="D84" s="2">
        <f>-1345.2</f>
        <v>-1345.2</v>
      </c>
      <c r="E84" s="2"/>
      <c r="F84" s="19"/>
      <c r="G84" s="2"/>
      <c r="H84" s="2">
        <f>-2096.65</f>
        <v>-2096.65</v>
      </c>
      <c r="I84" s="2"/>
      <c r="J84" s="19"/>
      <c r="K84" s="2"/>
      <c r="L84" s="2">
        <f t="shared" si="0"/>
        <v>751.45</v>
      </c>
      <c r="M84" s="2"/>
      <c r="N84" s="19">
        <f t="shared" si="1"/>
        <v>-0.35840507476212052</v>
      </c>
      <c r="O84" s="11"/>
      <c r="P84" s="2">
        <f>-10392.95</f>
        <v>-10392.950000000001</v>
      </c>
      <c r="Q84" s="2"/>
      <c r="R84" s="19"/>
      <c r="S84" s="2"/>
      <c r="T84" s="2">
        <f>-23351.1</f>
        <v>-23351.1</v>
      </c>
      <c r="U84" s="2"/>
      <c r="V84" s="19"/>
      <c r="W84" s="2"/>
      <c r="X84" s="2">
        <f t="shared" si="2"/>
        <v>12958.149999999998</v>
      </c>
      <c r="Y84" s="2"/>
      <c r="Z84" s="19">
        <f t="shared" si="3"/>
        <v>-0.55492674863282665</v>
      </c>
    </row>
    <row r="85" spans="1:26" s="24" customFormat="1" hidden="1" outlineLevel="1" x14ac:dyDescent="0.25">
      <c r="A85" s="44"/>
      <c r="B85" s="11" t="str">
        <f>CONCATENATE("          ", "4203", " - ", "SALES RETURN TAXABLE-RENTAL TE")</f>
        <v xml:space="preserve">          4203 - SALES RETURN TAXABLE-RENTAL TE</v>
      </c>
      <c r="C85" s="11"/>
      <c r="D85" s="2">
        <f>0</f>
        <v>0</v>
      </c>
      <c r="E85" s="2"/>
      <c r="F85" s="19"/>
      <c r="G85" s="2"/>
      <c r="H85" s="2">
        <f>-144.99</f>
        <v>-144.99</v>
      </c>
      <c r="I85" s="2"/>
      <c r="J85" s="19"/>
      <c r="K85" s="2"/>
      <c r="L85" s="2">
        <f t="shared" si="0"/>
        <v>144.99</v>
      </c>
      <c r="M85" s="2"/>
      <c r="N85" s="19">
        <f t="shared" si="1"/>
        <v>-1</v>
      </c>
      <c r="O85" s="11"/>
      <c r="P85" s="2">
        <f>0</f>
        <v>0</v>
      </c>
      <c r="Q85" s="2"/>
      <c r="R85" s="19"/>
      <c r="S85" s="2"/>
      <c r="T85" s="2">
        <f>-144.99</f>
        <v>-144.99</v>
      </c>
      <c r="U85" s="2"/>
      <c r="V85" s="19"/>
      <c r="W85" s="2"/>
      <c r="X85" s="2">
        <f t="shared" si="2"/>
        <v>144.99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"4204", " - ", "SALES RETURN TAXABLE-DIGITAL T")</f>
        <v xml:space="preserve">          4204 - SALES RETURN TAXABLE-DIGITAL T</v>
      </c>
      <c r="C86" s="11"/>
      <c r="D86" s="2">
        <f>-105.87</f>
        <v>-105.87</v>
      </c>
      <c r="E86" s="2"/>
      <c r="F86" s="19"/>
      <c r="G86" s="2"/>
      <c r="H86" s="2">
        <f>-4208.35</f>
        <v>-4208.3500000000004</v>
      </c>
      <c r="I86" s="2"/>
      <c r="J86" s="19"/>
      <c r="K86" s="2"/>
      <c r="L86" s="2">
        <f t="shared" si="0"/>
        <v>4102.4800000000005</v>
      </c>
      <c r="M86" s="2"/>
      <c r="N86" s="19">
        <f t="shared" si="1"/>
        <v>-0.97484287190941821</v>
      </c>
      <c r="O86" s="11"/>
      <c r="P86" s="2">
        <f>-1246.95</f>
        <v>-1246.95</v>
      </c>
      <c r="Q86" s="2"/>
      <c r="R86" s="19"/>
      <c r="S86" s="2"/>
      <c r="T86" s="2">
        <f>-11056.72</f>
        <v>-11056.72</v>
      </c>
      <c r="U86" s="2"/>
      <c r="V86" s="19"/>
      <c r="W86" s="2"/>
      <c r="X86" s="2">
        <f t="shared" si="2"/>
        <v>9809.7699999999986</v>
      </c>
      <c r="Y86" s="2"/>
      <c r="Z86" s="19">
        <f t="shared" si="3"/>
        <v>-0.88722243124543254</v>
      </c>
    </row>
    <row r="87" spans="1:26" s="24" customFormat="1" hidden="1" outlineLevel="1" x14ac:dyDescent="0.25">
      <c r="A87" s="44"/>
      <c r="B87" s="11" t="str">
        <f>CONCATENATE("          ", "4218", " - ", "SALES RETURN TAXABLE-STUDY GUI")</f>
        <v xml:space="preserve">          4218 - SALES RETURN TAXABLE-STUDY GUI</v>
      </c>
      <c r="C87" s="11"/>
      <c r="D87" s="2">
        <f t="shared" ref="D87:D88" si="18">0</f>
        <v>0</v>
      </c>
      <c r="E87" s="2"/>
      <c r="F87" s="19"/>
      <c r="G87" s="2"/>
      <c r="H87" s="2">
        <f>-5.95</f>
        <v>-5.95</v>
      </c>
      <c r="I87" s="2"/>
      <c r="J87" s="19"/>
      <c r="K87" s="2"/>
      <c r="L87" s="2">
        <f t="shared" si="0"/>
        <v>5.95</v>
      </c>
      <c r="M87" s="2"/>
      <c r="N87" s="19">
        <f t="shared" si="1"/>
        <v>-1</v>
      </c>
      <c r="O87" s="11"/>
      <c r="P87" s="2">
        <f t="shared" ref="P87:P88" si="19">0</f>
        <v>0</v>
      </c>
      <c r="Q87" s="2"/>
      <c r="R87" s="19"/>
      <c r="S87" s="2"/>
      <c r="T87" s="2">
        <f>-32.75</f>
        <v>-32.75</v>
      </c>
      <c r="U87" s="2"/>
      <c r="V87" s="19"/>
      <c r="W87" s="2"/>
      <c r="X87" s="2">
        <f t="shared" si="2"/>
        <v>32.75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"4225", " - ", "SALES RETURN TAXABLE-TEST FORM")</f>
        <v xml:space="preserve">          4225 - SALES RETURN TAXABLE-TEST FORM</v>
      </c>
      <c r="C88" s="11"/>
      <c r="D88" s="2">
        <f t="shared" si="18"/>
        <v>0</v>
      </c>
      <c r="E88" s="2"/>
      <c r="F88" s="19"/>
      <c r="G88" s="2"/>
      <c r="H88" s="2">
        <f>-20.41</f>
        <v>-20.41</v>
      </c>
      <c r="I88" s="2"/>
      <c r="J88" s="19"/>
      <c r="K88" s="2"/>
      <c r="L88" s="2">
        <f t="shared" si="0"/>
        <v>20.41</v>
      </c>
      <c r="M88" s="2"/>
      <c r="N88" s="19">
        <f t="shared" si="1"/>
        <v>-1</v>
      </c>
      <c r="O88" s="11"/>
      <c r="P88" s="2">
        <f t="shared" si="19"/>
        <v>0</v>
      </c>
      <c r="Q88" s="2"/>
      <c r="R88" s="19"/>
      <c r="S88" s="2"/>
      <c r="T88" s="2">
        <f>-33.1</f>
        <v>-33.1</v>
      </c>
      <c r="U88" s="2"/>
      <c r="V88" s="19"/>
      <c r="W88" s="2"/>
      <c r="X88" s="2">
        <f t="shared" si="2"/>
        <v>33.1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"4226", " - ", "SALES RETURN TAXABLE-WRITING I")</f>
        <v xml:space="preserve">          4226 - SALES RETURN TAXABLE-WRITING I</v>
      </c>
      <c r="C89" s="11"/>
      <c r="D89" s="2">
        <f>-22.49</f>
        <v>-22.49</v>
      </c>
      <c r="E89" s="2"/>
      <c r="F89" s="19"/>
      <c r="G89" s="2"/>
      <c r="H89" s="2">
        <f>-184.86</f>
        <v>-184.86</v>
      </c>
      <c r="I89" s="2"/>
      <c r="J89" s="19"/>
      <c r="K89" s="2"/>
      <c r="L89" s="2">
        <f t="shared" si="0"/>
        <v>162.37</v>
      </c>
      <c r="M89" s="2"/>
      <c r="N89" s="19">
        <f t="shared" si="1"/>
        <v>-0.8783403656821378</v>
      </c>
      <c r="O89" s="11"/>
      <c r="P89" s="2">
        <f>-28.87</f>
        <v>-28.87</v>
      </c>
      <c r="Q89" s="2"/>
      <c r="R89" s="19"/>
      <c r="S89" s="2"/>
      <c r="T89" s="2">
        <f>-309.07</f>
        <v>-309.07</v>
      </c>
      <c r="U89" s="2"/>
      <c r="V89" s="19"/>
      <c r="W89" s="2"/>
      <c r="X89" s="2">
        <f t="shared" si="2"/>
        <v>280.2</v>
      </c>
      <c r="Y89" s="2"/>
      <c r="Z89" s="19">
        <f t="shared" si="3"/>
        <v>-0.90659073996182094</v>
      </c>
    </row>
    <row r="90" spans="1:26" s="24" customFormat="1" hidden="1" outlineLevel="1" x14ac:dyDescent="0.25">
      <c r="A90" s="44"/>
      <c r="B90" s="11" t="str">
        <f>CONCATENATE("          ", "4227", " - ", "SALES RETURN TAXABLE-SCHOOL SU")</f>
        <v xml:space="preserve">          4227 - SALES RETURN TAXABLE-SCHOOL SU</v>
      </c>
      <c r="C90" s="11"/>
      <c r="D90" s="2">
        <f>-152.29</f>
        <v>-152.29</v>
      </c>
      <c r="E90" s="2"/>
      <c r="F90" s="19"/>
      <c r="G90" s="2"/>
      <c r="H90" s="2">
        <f>-2805.04</f>
        <v>-2805.04</v>
      </c>
      <c r="I90" s="2"/>
      <c r="J90" s="19"/>
      <c r="K90" s="2"/>
      <c r="L90" s="2">
        <f t="shared" si="0"/>
        <v>2652.75</v>
      </c>
      <c r="M90" s="2"/>
      <c r="N90" s="19">
        <f t="shared" si="1"/>
        <v>-0.94570843909534263</v>
      </c>
      <c r="O90" s="11"/>
      <c r="P90" s="2">
        <f>-568.67</f>
        <v>-568.66999999999996</v>
      </c>
      <c r="Q90" s="2"/>
      <c r="R90" s="19"/>
      <c r="S90" s="2"/>
      <c r="T90" s="2">
        <f>-4501.63</f>
        <v>-4501.63</v>
      </c>
      <c r="U90" s="2"/>
      <c r="V90" s="19"/>
      <c r="W90" s="2"/>
      <c r="X90" s="2">
        <f t="shared" si="2"/>
        <v>3932.96</v>
      </c>
      <c r="Y90" s="2"/>
      <c r="Z90" s="19">
        <f t="shared" si="3"/>
        <v>-0.87367464673907003</v>
      </c>
    </row>
    <row r="91" spans="1:26" s="24" customFormat="1" hidden="1" outlineLevel="1" x14ac:dyDescent="0.25">
      <c r="A91" s="44"/>
      <c r="B91" s="11" t="str">
        <f>CONCATENATE("          ", "4228", " - ", "SALES RETURN TAXABLE-ART/TECH")</f>
        <v xml:space="preserve">          4228 - SALES RETURN TAXABLE-ART/TECH</v>
      </c>
      <c r="C91" s="11"/>
      <c r="D91" s="2">
        <f>-57.76</f>
        <v>-57.76</v>
      </c>
      <c r="E91" s="2"/>
      <c r="F91" s="19"/>
      <c r="G91" s="2"/>
      <c r="H91" s="2">
        <f>-1058.54</f>
        <v>-1058.54</v>
      </c>
      <c r="I91" s="2"/>
      <c r="J91" s="19"/>
      <c r="K91" s="2"/>
      <c r="L91" s="2">
        <f t="shared" si="0"/>
        <v>1000.78</v>
      </c>
      <c r="M91" s="2"/>
      <c r="N91" s="19">
        <f t="shared" si="1"/>
        <v>-0.94543427740094843</v>
      </c>
      <c r="O91" s="11"/>
      <c r="P91" s="2">
        <f>-222.2</f>
        <v>-222.2</v>
      </c>
      <c r="Q91" s="2"/>
      <c r="R91" s="19"/>
      <c r="S91" s="2"/>
      <c r="T91" s="2">
        <f>-1927.27</f>
        <v>-1927.27</v>
      </c>
      <c r="U91" s="2"/>
      <c r="V91" s="19"/>
      <c r="W91" s="2"/>
      <c r="X91" s="2">
        <f t="shared" si="2"/>
        <v>1705.07</v>
      </c>
      <c r="Y91" s="2"/>
      <c r="Z91" s="19">
        <f t="shared" si="3"/>
        <v>-0.88470738401988303</v>
      </c>
    </row>
    <row r="92" spans="1:26" s="24" customFormat="1" hidden="1" outlineLevel="1" x14ac:dyDescent="0.25">
      <c r="A92" s="44"/>
      <c r="B92" s="11" t="str">
        <f>CONCATENATE("          ", "4240", " - ", "SALES RETURN TAXABLE-LOGO CLOT")</f>
        <v xml:space="preserve">          4240 - SALES RETURN TAXABLE-LOGO CLOT</v>
      </c>
      <c r="C92" s="11"/>
      <c r="D92" s="2">
        <f>-3453.14</f>
        <v>-3453.14</v>
      </c>
      <c r="E92" s="2"/>
      <c r="F92" s="19"/>
      <c r="G92" s="2"/>
      <c r="H92" s="2">
        <f>-9538.49</f>
        <v>-9538.49</v>
      </c>
      <c r="I92" s="2"/>
      <c r="J92" s="19"/>
      <c r="K92" s="2"/>
      <c r="L92" s="2">
        <f t="shared" si="0"/>
        <v>6085.35</v>
      </c>
      <c r="M92" s="2"/>
      <c r="N92" s="19">
        <f t="shared" si="1"/>
        <v>-0.63797833829044226</v>
      </c>
      <c r="O92" s="11"/>
      <c r="P92" s="2">
        <f>-11609.96</f>
        <v>-11609.96</v>
      </c>
      <c r="Q92" s="2"/>
      <c r="R92" s="19"/>
      <c r="S92" s="2"/>
      <c r="T92" s="2">
        <f>-20792.98</f>
        <v>-20792.98</v>
      </c>
      <c r="U92" s="2"/>
      <c r="V92" s="19"/>
      <c r="W92" s="2"/>
      <c r="X92" s="2">
        <f t="shared" si="2"/>
        <v>9183.02</v>
      </c>
      <c r="Y92" s="2"/>
      <c r="Z92" s="19">
        <f t="shared" si="3"/>
        <v>-0.4416403997887749</v>
      </c>
    </row>
    <row r="93" spans="1:26" s="24" customFormat="1" hidden="1" outlineLevel="1" x14ac:dyDescent="0.25">
      <c r="A93" s="44"/>
      <c r="B93" s="11" t="str">
        <f>CONCATENATE("          ", "4241", " - ", "SALES RETURN TAXABLE-LOGO GIFT")</f>
        <v xml:space="preserve">          4241 - SALES RETURN TAXABLE-LOGO GIFT</v>
      </c>
      <c r="C93" s="11"/>
      <c r="D93" s="2">
        <f>-988.92</f>
        <v>-988.92</v>
      </c>
      <c r="E93" s="2"/>
      <c r="F93" s="19"/>
      <c r="G93" s="2"/>
      <c r="H93" s="2">
        <f>-700.87</f>
        <v>-700.87</v>
      </c>
      <c r="I93" s="2"/>
      <c r="J93" s="19"/>
      <c r="K93" s="2"/>
      <c r="L93" s="2">
        <f t="shared" si="0"/>
        <v>-288.04999999999995</v>
      </c>
      <c r="M93" s="2"/>
      <c r="N93" s="19">
        <f t="shared" si="1"/>
        <v>0.41098919913821386</v>
      </c>
      <c r="O93" s="11"/>
      <c r="P93" s="2">
        <f>-2317.11</f>
        <v>-2317.11</v>
      </c>
      <c r="Q93" s="2"/>
      <c r="R93" s="19"/>
      <c r="S93" s="2"/>
      <c r="T93" s="2">
        <f>-2390.88</f>
        <v>-2390.88</v>
      </c>
      <c r="U93" s="2"/>
      <c r="V93" s="19"/>
      <c r="W93" s="2"/>
      <c r="X93" s="2">
        <f t="shared" si="2"/>
        <v>73.769999999999982</v>
      </c>
      <c r="Y93" s="2"/>
      <c r="Z93" s="19">
        <f t="shared" si="3"/>
        <v>-3.0854748042561726E-2</v>
      </c>
    </row>
    <row r="94" spans="1:26" s="24" customFormat="1" hidden="1" outlineLevel="1" x14ac:dyDescent="0.25">
      <c r="A94" s="44"/>
      <c r="B94" s="11" t="str">
        <f>CONCATENATE("          ", "4242", " - ", "SALES RETURN TAXABLE-EVERYDAY")</f>
        <v xml:space="preserve">          4242 - SALES RETURN TAXABLE-EVERYDAY</v>
      </c>
      <c r="C94" s="11"/>
      <c r="D94" s="2">
        <f>-405.07</f>
        <v>-405.07</v>
      </c>
      <c r="E94" s="2"/>
      <c r="F94" s="19"/>
      <c r="G94" s="2"/>
      <c r="H94" s="2">
        <f>-169.66</f>
        <v>-169.66</v>
      </c>
      <c r="I94" s="2"/>
      <c r="J94" s="19"/>
      <c r="K94" s="2"/>
      <c r="L94" s="2">
        <f t="shared" si="0"/>
        <v>-235.41</v>
      </c>
      <c r="M94" s="2"/>
      <c r="N94" s="19">
        <f t="shared" si="1"/>
        <v>1.3875397854532594</v>
      </c>
      <c r="O94" s="11"/>
      <c r="P94" s="2">
        <f>-1054.56</f>
        <v>-1054.56</v>
      </c>
      <c r="Q94" s="2"/>
      <c r="R94" s="19"/>
      <c r="S94" s="2"/>
      <c r="T94" s="2">
        <f>-994.47</f>
        <v>-994.47</v>
      </c>
      <c r="U94" s="2"/>
      <c r="V94" s="19"/>
      <c r="W94" s="2"/>
      <c r="X94" s="2">
        <f t="shared" si="2"/>
        <v>-60.089999999999918</v>
      </c>
      <c r="Y94" s="2"/>
      <c r="Z94" s="19">
        <f t="shared" si="3"/>
        <v>6.0424145524751796E-2</v>
      </c>
    </row>
    <row r="95" spans="1:26" s="24" customFormat="1" hidden="1" outlineLevel="1" x14ac:dyDescent="0.25">
      <c r="A95" s="44"/>
      <c r="B95" s="11" t="str">
        <f>CONCATENATE("          ", "4243", " - ", "SALES RETURN TAXABLE-CARDS")</f>
        <v xml:space="preserve">          4243 - SALES RETURN TAXABLE-CARDS</v>
      </c>
      <c r="C95" s="11"/>
      <c r="D95" s="2">
        <f>-59.94</f>
        <v>-59.94</v>
      </c>
      <c r="E95" s="2"/>
      <c r="F95" s="19"/>
      <c r="G95" s="2"/>
      <c r="H95" s="2">
        <f>-4.5</f>
        <v>-4.5</v>
      </c>
      <c r="I95" s="2"/>
      <c r="J95" s="19"/>
      <c r="K95" s="2"/>
      <c r="L95" s="2">
        <f t="shared" si="0"/>
        <v>-55.44</v>
      </c>
      <c r="M95" s="2"/>
      <c r="N95" s="19">
        <f t="shared" si="1"/>
        <v>12.32</v>
      </c>
      <c r="O95" s="11"/>
      <c r="P95" s="2">
        <f>-153.37</f>
        <v>-153.37</v>
      </c>
      <c r="Q95" s="2"/>
      <c r="R95" s="19"/>
      <c r="S95" s="2"/>
      <c r="T95" s="2">
        <f>-4.5</f>
        <v>-4.5</v>
      </c>
      <c r="U95" s="2"/>
      <c r="V95" s="19"/>
      <c r="W95" s="2"/>
      <c r="X95" s="2">
        <f t="shared" si="2"/>
        <v>-148.87</v>
      </c>
      <c r="Y95" s="2"/>
      <c r="Z95" s="19">
        <f t="shared" si="3"/>
        <v>33.082222222222221</v>
      </c>
    </row>
    <row r="96" spans="1:26" s="24" customFormat="1" hidden="1" outlineLevel="1" x14ac:dyDescent="0.25">
      <c r="A96" s="44"/>
      <c r="B96" s="11" t="str">
        <f>CONCATENATE("          ", "4244", " - ", "SALES RETURN TAXABLE-ACCESSORI")</f>
        <v xml:space="preserve">          4244 - SALES RETURN TAXABLE-ACCESSORI</v>
      </c>
      <c r="C96" s="11"/>
      <c r="D96" s="2">
        <f>-60</f>
        <v>-60</v>
      </c>
      <c r="E96" s="2"/>
      <c r="F96" s="19"/>
      <c r="G96" s="2"/>
      <c r="H96" s="2">
        <f>-704.04</f>
        <v>-704.04</v>
      </c>
      <c r="I96" s="2"/>
      <c r="J96" s="19"/>
      <c r="K96" s="2"/>
      <c r="L96" s="2">
        <f t="shared" si="0"/>
        <v>644.04</v>
      </c>
      <c r="M96" s="2"/>
      <c r="N96" s="19">
        <f t="shared" si="1"/>
        <v>-0.91477756945628086</v>
      </c>
      <c r="O96" s="11"/>
      <c r="P96" s="2">
        <f>-410.99</f>
        <v>-410.99</v>
      </c>
      <c r="Q96" s="2"/>
      <c r="R96" s="19"/>
      <c r="S96" s="2"/>
      <c r="T96" s="2">
        <f>-1254.51</f>
        <v>-1254.51</v>
      </c>
      <c r="U96" s="2"/>
      <c r="V96" s="19"/>
      <c r="W96" s="2"/>
      <c r="X96" s="2">
        <f t="shared" si="2"/>
        <v>843.52</v>
      </c>
      <c r="Y96" s="2"/>
      <c r="Z96" s="19">
        <f t="shared" si="3"/>
        <v>-0.67239001681931587</v>
      </c>
    </row>
    <row r="97" spans="1:26" s="24" customFormat="1" hidden="1" outlineLevel="1" x14ac:dyDescent="0.25">
      <c r="A97" s="44"/>
      <c r="B97" s="11" t="str">
        <f>CONCATENATE("          ", "4245", " - ", "SALES RETURN TAXABLE-SPECIAL O")</f>
        <v xml:space="preserve">          4245 - SALES RETURN TAXABLE-SPECIAL O</v>
      </c>
      <c r="C97" s="11"/>
      <c r="D97" s="2">
        <f>-3.99</f>
        <v>-3.99</v>
      </c>
      <c r="E97" s="2"/>
      <c r="F97" s="19"/>
      <c r="G97" s="2"/>
      <c r="H97" s="2">
        <f>-71.98</f>
        <v>-71.98</v>
      </c>
      <c r="I97" s="2"/>
      <c r="J97" s="19"/>
      <c r="K97" s="2"/>
      <c r="L97" s="2">
        <f t="shared" si="0"/>
        <v>67.990000000000009</v>
      </c>
      <c r="M97" s="2"/>
      <c r="N97" s="19">
        <f t="shared" si="1"/>
        <v>-0.94456793553764939</v>
      </c>
      <c r="O97" s="11"/>
      <c r="P97" s="2">
        <f>-1182.95</f>
        <v>-1182.95</v>
      </c>
      <c r="Q97" s="2"/>
      <c r="R97" s="19"/>
      <c r="S97" s="2"/>
      <c r="T97" s="2">
        <f>-91.96</f>
        <v>-91.96</v>
      </c>
      <c r="U97" s="2"/>
      <c r="V97" s="19"/>
      <c r="W97" s="2"/>
      <c r="X97" s="2">
        <f t="shared" si="2"/>
        <v>-1090.99</v>
      </c>
      <c r="Y97" s="2"/>
      <c r="Z97" s="19">
        <f t="shared" si="3"/>
        <v>11.863745106568073</v>
      </c>
    </row>
    <row r="98" spans="1:26" s="24" customFormat="1" hidden="1" outlineLevel="1" x14ac:dyDescent="0.25">
      <c r="A98" s="44"/>
      <c r="B98" s="11" t="str">
        <f>CONCATENATE("          ", "4281", " - ", "SALES RETURN TAXABLE-ELECTRONI")</f>
        <v xml:space="preserve">          4281 - SALES RETURN TAXABLE-ELECTRONI</v>
      </c>
      <c r="C98" s="11"/>
      <c r="D98" s="2">
        <f>-557.94</f>
        <v>-557.94000000000005</v>
      </c>
      <c r="E98" s="2"/>
      <c r="F98" s="19"/>
      <c r="G98" s="2"/>
      <c r="H98" s="2">
        <f>-1064.71</f>
        <v>-1064.71</v>
      </c>
      <c r="I98" s="2"/>
      <c r="J98" s="19"/>
      <c r="K98" s="2"/>
      <c r="L98" s="2">
        <f t="shared" si="0"/>
        <v>506.77</v>
      </c>
      <c r="M98" s="2"/>
      <c r="N98" s="19">
        <f t="shared" si="1"/>
        <v>-0.47596998243653199</v>
      </c>
      <c r="O98" s="11"/>
      <c r="P98" s="2">
        <f>-14274.16</f>
        <v>-14274.16</v>
      </c>
      <c r="Q98" s="2"/>
      <c r="R98" s="19"/>
      <c r="S98" s="2"/>
      <c r="T98" s="2">
        <f>-3299.46</f>
        <v>-3299.46</v>
      </c>
      <c r="U98" s="2"/>
      <c r="V98" s="19"/>
      <c r="W98" s="2"/>
      <c r="X98" s="2">
        <f t="shared" si="2"/>
        <v>-10974.7</v>
      </c>
      <c r="Y98" s="2"/>
      <c r="Z98" s="19">
        <f t="shared" si="3"/>
        <v>3.3262109557321504</v>
      </c>
    </row>
    <row r="99" spans="1:26" s="24" customFormat="1" hidden="1" outlineLevel="1" x14ac:dyDescent="0.25">
      <c r="A99" s="44"/>
      <c r="B99" s="11" t="str">
        <f>CONCATENATE("          ", "4282", " - ", "SALES RETURN TAXABLE-COMPUTER")</f>
        <v xml:space="preserve">          4282 - SALES RETURN TAXABLE-COMPUTER</v>
      </c>
      <c r="C99" s="11"/>
      <c r="D99" s="2">
        <f>-14636</f>
        <v>-14636</v>
      </c>
      <c r="E99" s="2"/>
      <c r="F99" s="19"/>
      <c r="G99" s="2"/>
      <c r="H99" s="2">
        <f>-27457.13</f>
        <v>-27457.13</v>
      </c>
      <c r="I99" s="2"/>
      <c r="J99" s="19"/>
      <c r="K99" s="2"/>
      <c r="L99" s="2">
        <f t="shared" si="0"/>
        <v>12821.130000000001</v>
      </c>
      <c r="M99" s="2"/>
      <c r="N99" s="19">
        <f t="shared" si="1"/>
        <v>-0.46695084300507739</v>
      </c>
      <c r="O99" s="11"/>
      <c r="P99" s="2">
        <f>-48285</f>
        <v>-48285</v>
      </c>
      <c r="Q99" s="2"/>
      <c r="R99" s="19"/>
      <c r="S99" s="2"/>
      <c r="T99" s="2">
        <f>-147646.85</f>
        <v>-147646.85</v>
      </c>
      <c r="U99" s="2"/>
      <c r="V99" s="19"/>
      <c r="W99" s="2"/>
      <c r="X99" s="2">
        <f t="shared" si="2"/>
        <v>99361.85</v>
      </c>
      <c r="Y99" s="2"/>
      <c r="Z99" s="19">
        <f t="shared" si="3"/>
        <v>-0.67296965698895705</v>
      </c>
    </row>
    <row r="100" spans="1:26" s="24" customFormat="1" hidden="1" outlineLevel="1" x14ac:dyDescent="0.25">
      <c r="A100" s="44"/>
      <c r="B100" s="11" t="str">
        <f>CONCATENATE("          ", "4283", " - ", "SALES RETURN TAXABLE-COMPUTER")</f>
        <v xml:space="preserve">          4283 - SALES RETURN TAXABLE-COMPUTER</v>
      </c>
      <c r="C100" s="11"/>
      <c r="D100" s="2">
        <f>-483.9</f>
        <v>-483.9</v>
      </c>
      <c r="E100" s="2"/>
      <c r="F100" s="19"/>
      <c r="G100" s="2"/>
      <c r="H100" s="2">
        <f>-553.79</f>
        <v>-553.79</v>
      </c>
      <c r="I100" s="2"/>
      <c r="J100" s="19"/>
      <c r="K100" s="2"/>
      <c r="L100" s="2">
        <f t="shared" si="0"/>
        <v>69.889999999999986</v>
      </c>
      <c r="M100" s="2"/>
      <c r="N100" s="19">
        <f t="shared" si="1"/>
        <v>-0.12620307336716083</v>
      </c>
      <c r="O100" s="11"/>
      <c r="P100" s="2">
        <f>-2002.73</f>
        <v>-2002.73</v>
      </c>
      <c r="Q100" s="2"/>
      <c r="R100" s="19"/>
      <c r="S100" s="2"/>
      <c r="T100" s="2">
        <f>-1284.48</f>
        <v>-1284.48</v>
      </c>
      <c r="U100" s="2"/>
      <c r="V100" s="19"/>
      <c r="W100" s="2"/>
      <c r="X100" s="2">
        <f t="shared" si="2"/>
        <v>-718.25</v>
      </c>
      <c r="Y100" s="2"/>
      <c r="Z100" s="19">
        <f t="shared" si="3"/>
        <v>0.55917569755854513</v>
      </c>
    </row>
    <row r="101" spans="1:26" s="24" customFormat="1" hidden="1" outlineLevel="1" x14ac:dyDescent="0.25">
      <c r="A101" s="44"/>
      <c r="B101" s="11" t="str">
        <f>CONCATENATE("          ", "4284", " - ", "SALES RETURN TAXABLE-SOFTWARE")</f>
        <v xml:space="preserve">          4284 - SALES RETURN TAXABLE-SOFTWARE</v>
      </c>
      <c r="C101" s="11"/>
      <c r="D101" s="2">
        <f>0</f>
        <v>0</v>
      </c>
      <c r="E101" s="2"/>
      <c r="F101" s="19"/>
      <c r="G101" s="2"/>
      <c r="H101" s="2">
        <f t="shared" ref="H101:H102" si="20">0</f>
        <v>0</v>
      </c>
      <c r="I101" s="2"/>
      <c r="J101" s="19"/>
      <c r="K101" s="2"/>
      <c r="L101" s="2">
        <f t="shared" si="0"/>
        <v>0</v>
      </c>
      <c r="M101" s="2"/>
      <c r="N101" s="19">
        <f t="shared" si="1"/>
        <v>0</v>
      </c>
      <c r="O101" s="11"/>
      <c r="P101" s="2">
        <f>0</f>
        <v>0</v>
      </c>
      <c r="Q101" s="2"/>
      <c r="R101" s="19"/>
      <c r="S101" s="2"/>
      <c r="T101" s="2">
        <f>-129</f>
        <v>-129</v>
      </c>
      <c r="U101" s="2"/>
      <c r="V101" s="19"/>
      <c r="W101" s="2"/>
      <c r="X101" s="2">
        <f t="shared" si="2"/>
        <v>129</v>
      </c>
      <c r="Y101" s="2"/>
      <c r="Z101" s="19">
        <f t="shared" si="3"/>
        <v>-1</v>
      </c>
    </row>
    <row r="102" spans="1:26" s="24" customFormat="1" hidden="1" outlineLevel="1" x14ac:dyDescent="0.25">
      <c r="A102" s="44"/>
      <c r="B102" s="11" t="str">
        <f>CONCATENATE("          ", "4285", " - ", "SALES RETURN TAXABLE-SOFTWARE")</f>
        <v xml:space="preserve">          4285 - SALES RETURN TAXABLE-SOFTWARE</v>
      </c>
      <c r="C102" s="11"/>
      <c r="D102" s="2">
        <f>-552.98</f>
        <v>-552.98</v>
      </c>
      <c r="E102" s="2"/>
      <c r="F102" s="19"/>
      <c r="G102" s="2"/>
      <c r="H102" s="2">
        <f t="shared" si="20"/>
        <v>0</v>
      </c>
      <c r="I102" s="2"/>
      <c r="J102" s="19"/>
      <c r="K102" s="2"/>
      <c r="L102" s="2">
        <f t="shared" si="0"/>
        <v>-552.98</v>
      </c>
      <c r="M102" s="2"/>
      <c r="N102" s="19">
        <f t="shared" si="1"/>
        <v>0</v>
      </c>
      <c r="O102" s="11"/>
      <c r="P102" s="2">
        <f>-552.98</f>
        <v>-552.98</v>
      </c>
      <c r="Q102" s="2"/>
      <c r="R102" s="19"/>
      <c r="S102" s="2"/>
      <c r="T102" s="2">
        <f>-406.99</f>
        <v>-406.99</v>
      </c>
      <c r="U102" s="2"/>
      <c r="V102" s="19"/>
      <c r="W102" s="2"/>
      <c r="X102" s="2">
        <f t="shared" si="2"/>
        <v>-145.99</v>
      </c>
      <c r="Y102" s="2"/>
      <c r="Z102" s="19">
        <f t="shared" si="3"/>
        <v>0.35870660212781641</v>
      </c>
    </row>
    <row r="103" spans="1:26" s="24" customFormat="1" hidden="1" outlineLevel="1" x14ac:dyDescent="0.25">
      <c r="A103" s="44"/>
      <c r="B103" s="11" t="str">
        <f>CONCATENATE("          ", "4286", " - ", "SALES RETURN TAXABLE-COMPUTER")</f>
        <v xml:space="preserve">          4286 - SALES RETURN TAXABLE-COMPUTER</v>
      </c>
      <c r="C103" s="11"/>
      <c r="D103" s="2">
        <f>-258.44</f>
        <v>-258.44</v>
      </c>
      <c r="E103" s="2"/>
      <c r="F103" s="19"/>
      <c r="G103" s="2"/>
      <c r="H103" s="2">
        <f>-962.59</f>
        <v>-962.59</v>
      </c>
      <c r="I103" s="2"/>
      <c r="J103" s="19"/>
      <c r="K103" s="2"/>
      <c r="L103" s="2">
        <f t="shared" si="0"/>
        <v>704.15000000000009</v>
      </c>
      <c r="M103" s="2"/>
      <c r="N103" s="19">
        <f t="shared" si="1"/>
        <v>-0.73151601408699451</v>
      </c>
      <c r="O103" s="11"/>
      <c r="P103" s="2">
        <f>-412.4</f>
        <v>-412.4</v>
      </c>
      <c r="Q103" s="2"/>
      <c r="R103" s="19"/>
      <c r="S103" s="2"/>
      <c r="T103" s="2">
        <f>-2143.74</f>
        <v>-2143.7399999999998</v>
      </c>
      <c r="U103" s="2"/>
      <c r="V103" s="19"/>
      <c r="W103" s="2"/>
      <c r="X103" s="2">
        <f t="shared" si="2"/>
        <v>1731.3399999999997</v>
      </c>
      <c r="Y103" s="2"/>
      <c r="Z103" s="19">
        <f t="shared" si="3"/>
        <v>-0.80762592478565487</v>
      </c>
    </row>
    <row r="104" spans="1:26" s="24" customFormat="1" hidden="1" outlineLevel="1" x14ac:dyDescent="0.25">
      <c r="A104" s="44"/>
      <c r="B104" s="11" t="str">
        <f>CONCATENATE("          ", "4292", " - ", "SALES RETURN TAXABLE-GRAD MERC")</f>
        <v xml:space="preserve">          4292 - SALES RETURN TAXABLE-GRAD MERC</v>
      </c>
      <c r="C104" s="11"/>
      <c r="D104" s="2">
        <f t="shared" ref="D104:D105" si="21">0</f>
        <v>0</v>
      </c>
      <c r="E104" s="2"/>
      <c r="F104" s="19"/>
      <c r="G104" s="2"/>
      <c r="H104" s="2">
        <f t="shared" ref="H104:H105" si="22">0</f>
        <v>0</v>
      </c>
      <c r="I104" s="2"/>
      <c r="J104" s="19"/>
      <c r="K104" s="2"/>
      <c r="L104" s="2">
        <f t="shared" si="0"/>
        <v>0</v>
      </c>
      <c r="M104" s="2"/>
      <c r="N104" s="19">
        <f t="shared" si="1"/>
        <v>0</v>
      </c>
      <c r="O104" s="11"/>
      <c r="P104" s="2">
        <f t="shared" ref="P104:P105" si="23">0</f>
        <v>0</v>
      </c>
      <c r="Q104" s="2"/>
      <c r="R104" s="19"/>
      <c r="S104" s="2"/>
      <c r="T104" s="2">
        <f>-369.15</f>
        <v>-369.15</v>
      </c>
      <c r="U104" s="2"/>
      <c r="V104" s="19"/>
      <c r="W104" s="2"/>
      <c r="X104" s="2">
        <f t="shared" si="2"/>
        <v>369.15</v>
      </c>
      <c r="Y104" s="2"/>
      <c r="Z104" s="19">
        <f t="shared" si="3"/>
        <v>-1</v>
      </c>
    </row>
    <row r="105" spans="1:26" s="24" customFormat="1" hidden="1" outlineLevel="1" x14ac:dyDescent="0.25">
      <c r="A105" s="44"/>
      <c r="B105" s="11" t="str">
        <f>CONCATENATE("          ", "4295", " - ", "SALES RETURN TAXABLE-CUSTOMER")</f>
        <v xml:space="preserve">          4295 - SALES RETURN TAXABLE-CUSTOMER</v>
      </c>
      <c r="C105" s="11"/>
      <c r="D105" s="2">
        <f t="shared" si="21"/>
        <v>0</v>
      </c>
      <c r="E105" s="2"/>
      <c r="F105" s="19"/>
      <c r="G105" s="2"/>
      <c r="H105" s="2">
        <f t="shared" si="22"/>
        <v>0</v>
      </c>
      <c r="I105" s="2"/>
      <c r="J105" s="19"/>
      <c r="K105" s="2"/>
      <c r="L105" s="2">
        <f t="shared" si="0"/>
        <v>0</v>
      </c>
      <c r="M105" s="2"/>
      <c r="N105" s="19">
        <f t="shared" si="1"/>
        <v>0</v>
      </c>
      <c r="O105" s="11"/>
      <c r="P105" s="2">
        <f t="shared" si="23"/>
        <v>0</v>
      </c>
      <c r="Q105" s="2"/>
      <c r="R105" s="19"/>
      <c r="S105" s="2"/>
      <c r="T105" s="2">
        <f>--0.99</f>
        <v>0.99</v>
      </c>
      <c r="U105" s="2"/>
      <c r="V105" s="19"/>
      <c r="W105" s="2"/>
      <c r="X105" s="2">
        <f t="shared" si="2"/>
        <v>-0.99</v>
      </c>
      <c r="Y105" s="2"/>
      <c r="Z105" s="19">
        <f t="shared" si="3"/>
        <v>-1</v>
      </c>
    </row>
    <row r="106" spans="1:26" s="24" customFormat="1" hidden="1" outlineLevel="1" x14ac:dyDescent="0.25">
      <c r="A106" s="44"/>
      <c r="B106" s="11" t="str">
        <f>CONCATENATE("          ", "4301", " - ", "SALES RETURN NON TAXABLE-NEW T")</f>
        <v xml:space="preserve">          4301 - SALES RETURN NON TAXABLE-NEW T</v>
      </c>
      <c r="C106" s="11"/>
      <c r="D106" s="2">
        <f>-1820.43</f>
        <v>-1820.43</v>
      </c>
      <c r="E106" s="2"/>
      <c r="F106" s="19"/>
      <c r="G106" s="2"/>
      <c r="H106" s="2">
        <f>-3805.44</f>
        <v>-3805.44</v>
      </c>
      <c r="I106" s="2"/>
      <c r="J106" s="19"/>
      <c r="K106" s="2"/>
      <c r="L106" s="2">
        <f t="shared" si="0"/>
        <v>1985.01</v>
      </c>
      <c r="M106" s="2"/>
      <c r="N106" s="19">
        <f t="shared" si="1"/>
        <v>-0.52162430625630674</v>
      </c>
      <c r="O106" s="11"/>
      <c r="P106" s="2">
        <f>-1840.68</f>
        <v>-1840.68</v>
      </c>
      <c r="Q106" s="2"/>
      <c r="R106" s="19"/>
      <c r="S106" s="2"/>
      <c r="T106" s="2">
        <f>-6725.22</f>
        <v>-6725.22</v>
      </c>
      <c r="U106" s="2"/>
      <c r="V106" s="19"/>
      <c r="W106" s="2"/>
      <c r="X106" s="2">
        <f t="shared" si="2"/>
        <v>4884.54</v>
      </c>
      <c r="Y106" s="2"/>
      <c r="Z106" s="19">
        <f t="shared" si="3"/>
        <v>-0.72630189049577554</v>
      </c>
    </row>
    <row r="107" spans="1:26" s="24" customFormat="1" hidden="1" outlineLevel="1" x14ac:dyDescent="0.25">
      <c r="A107" s="44"/>
      <c r="B107" s="11" t="str">
        <f>CONCATENATE("          ", "4302", " - ", "SALES RETURN NON TAXABLE-TEXT")</f>
        <v xml:space="preserve">          4302 - SALES RETURN NON TAXABLE-TEXT</v>
      </c>
      <c r="C107" s="11"/>
      <c r="D107" s="2">
        <f>-737.24</f>
        <v>-737.24</v>
      </c>
      <c r="E107" s="2"/>
      <c r="F107" s="19"/>
      <c r="G107" s="2"/>
      <c r="H107" s="2">
        <f>-398.45</f>
        <v>-398.45</v>
      </c>
      <c r="I107" s="2"/>
      <c r="J107" s="19"/>
      <c r="K107" s="2"/>
      <c r="L107" s="2">
        <f t="shared" si="0"/>
        <v>-338.79</v>
      </c>
      <c r="M107" s="2"/>
      <c r="N107" s="19">
        <f t="shared" si="1"/>
        <v>0.85026979545739745</v>
      </c>
      <c r="O107" s="11"/>
      <c r="P107" s="2">
        <f>-1147.08</f>
        <v>-1147.08</v>
      </c>
      <c r="Q107" s="2"/>
      <c r="R107" s="19"/>
      <c r="S107" s="2"/>
      <c r="T107" s="2">
        <f>-648.7</f>
        <v>-648.70000000000005</v>
      </c>
      <c r="U107" s="2"/>
      <c r="V107" s="19"/>
      <c r="W107" s="2"/>
      <c r="X107" s="2">
        <f t="shared" si="2"/>
        <v>-498.37999999999988</v>
      </c>
      <c r="Y107" s="2"/>
      <c r="Z107" s="19">
        <f t="shared" si="3"/>
        <v>0.76827501156158451</v>
      </c>
    </row>
    <row r="108" spans="1:26" s="24" customFormat="1" hidden="1" outlineLevel="1" x14ac:dyDescent="0.25">
      <c r="A108" s="44"/>
      <c r="B108" s="11" t="str">
        <f>CONCATENATE("          ", "4303", " - ", "SALES RETURN NON-TAXABLE-RENTA")</f>
        <v xml:space="preserve">          4303 - SALES RETURN NON-TAXABLE-RENTA</v>
      </c>
      <c r="C108" s="11"/>
      <c r="D108" s="2">
        <f>0</f>
        <v>0</v>
      </c>
      <c r="E108" s="2"/>
      <c r="F108" s="19"/>
      <c r="G108" s="2"/>
      <c r="H108" s="2">
        <f>-184.99</f>
        <v>-184.99</v>
      </c>
      <c r="I108" s="2"/>
      <c r="J108" s="19"/>
      <c r="K108" s="2"/>
      <c r="L108" s="2">
        <f t="shared" si="0"/>
        <v>184.99</v>
      </c>
      <c r="M108" s="2"/>
      <c r="N108" s="19">
        <f t="shared" si="1"/>
        <v>-1</v>
      </c>
      <c r="O108" s="11"/>
      <c r="P108" s="2">
        <f>0</f>
        <v>0</v>
      </c>
      <c r="Q108" s="2"/>
      <c r="R108" s="19"/>
      <c r="S108" s="2"/>
      <c r="T108" s="2">
        <f>-184.99</f>
        <v>-184.99</v>
      </c>
      <c r="U108" s="2"/>
      <c r="V108" s="19"/>
      <c r="W108" s="2"/>
      <c r="X108" s="2">
        <f t="shared" si="2"/>
        <v>184.99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"4304", " - ", "SALES RETURN NON TAXABLE-DIGIT")</f>
        <v xml:space="preserve">          4304 - SALES RETURN NON TAXABLE-DIGIT</v>
      </c>
      <c r="C109" s="11"/>
      <c r="D109" s="2">
        <f>-7456.63</f>
        <v>-7456.63</v>
      </c>
      <c r="E109" s="2"/>
      <c r="F109" s="19"/>
      <c r="G109" s="2"/>
      <c r="H109" s="2">
        <f>-4048.76</f>
        <v>-4048.76</v>
      </c>
      <c r="I109" s="2"/>
      <c r="J109" s="19"/>
      <c r="K109" s="2"/>
      <c r="L109" s="2">
        <f t="shared" si="0"/>
        <v>-3407.87</v>
      </c>
      <c r="M109" s="2"/>
      <c r="N109" s="19">
        <f t="shared" si="1"/>
        <v>0.84170709056600035</v>
      </c>
      <c r="O109" s="11"/>
      <c r="P109" s="2">
        <f>-13409.36</f>
        <v>-13409.36</v>
      </c>
      <c r="Q109" s="2"/>
      <c r="R109" s="19"/>
      <c r="S109" s="2"/>
      <c r="T109" s="2">
        <f>-12515.31</f>
        <v>-12515.31</v>
      </c>
      <c r="U109" s="2"/>
      <c r="V109" s="19"/>
      <c r="W109" s="2"/>
      <c r="X109" s="2">
        <f t="shared" si="2"/>
        <v>-894.05000000000109</v>
      </c>
      <c r="Y109" s="2"/>
      <c r="Z109" s="19">
        <f t="shared" si="3"/>
        <v>7.1436504569203724E-2</v>
      </c>
    </row>
    <row r="110" spans="1:26" s="24" customFormat="1" hidden="1" outlineLevel="1" x14ac:dyDescent="0.25">
      <c r="A110" s="44"/>
      <c r="B110" s="11" t="str">
        <f>CONCATENATE("          ", "4311", " - ", "SALES RETURN NON TAXABLE-NO VA")</f>
        <v xml:space="preserve">          4311 - SALES RETURN NON TAXABLE-NO VA</v>
      </c>
      <c r="C110" s="11"/>
      <c r="D110" s="2">
        <f t="shared" ref="D110:D111" si="24">0</f>
        <v>0</v>
      </c>
      <c r="E110" s="2"/>
      <c r="F110" s="19"/>
      <c r="G110" s="2"/>
      <c r="H110" s="2">
        <f>-276.9</f>
        <v>-276.89999999999998</v>
      </c>
      <c r="I110" s="2"/>
      <c r="J110" s="19"/>
      <c r="K110" s="2"/>
      <c r="L110" s="2">
        <f t="shared" si="0"/>
        <v>276.89999999999998</v>
      </c>
      <c r="M110" s="2"/>
      <c r="N110" s="19">
        <f t="shared" si="1"/>
        <v>-1</v>
      </c>
      <c r="O110" s="11"/>
      <c r="P110" s="2">
        <f t="shared" ref="P110:P111" si="25">0</f>
        <v>0</v>
      </c>
      <c r="Q110" s="2"/>
      <c r="R110" s="19"/>
      <c r="S110" s="2"/>
      <c r="T110" s="2">
        <f>-387.94</f>
        <v>-387.94</v>
      </c>
      <c r="U110" s="2"/>
      <c r="V110" s="19"/>
      <c r="W110" s="2"/>
      <c r="X110" s="2">
        <f t="shared" si="2"/>
        <v>387.94</v>
      </c>
      <c r="Y110" s="2"/>
      <c r="Z110" s="19">
        <f t="shared" si="3"/>
        <v>-1</v>
      </c>
    </row>
    <row r="111" spans="1:26" s="24" customFormat="1" hidden="1" outlineLevel="1" x14ac:dyDescent="0.25">
      <c r="A111" s="44"/>
      <c r="B111" s="11" t="str">
        <f>CONCATENATE("          ", "4327", " - ", "SALES RETURN NON TAXABLE-SCHOO")</f>
        <v xml:space="preserve">          4327 - SALES RETURN NON TAXABLE-SCHOO</v>
      </c>
      <c r="C111" s="11"/>
      <c r="D111" s="2">
        <f t="shared" si="24"/>
        <v>0</v>
      </c>
      <c r="E111" s="2"/>
      <c r="F111" s="19"/>
      <c r="G111" s="2"/>
      <c r="H111" s="2">
        <f>-8.29</f>
        <v>-8.2899999999999991</v>
      </c>
      <c r="I111" s="2"/>
      <c r="J111" s="19"/>
      <c r="K111" s="2"/>
      <c r="L111" s="2">
        <f t="shared" si="0"/>
        <v>8.2899999999999991</v>
      </c>
      <c r="M111" s="2"/>
      <c r="N111" s="19">
        <f t="shared" si="1"/>
        <v>-1</v>
      </c>
      <c r="O111" s="11"/>
      <c r="P111" s="2">
        <f t="shared" si="25"/>
        <v>0</v>
      </c>
      <c r="Q111" s="2"/>
      <c r="R111" s="19"/>
      <c r="S111" s="2"/>
      <c r="T111" s="2">
        <f>-21.87</f>
        <v>-21.87</v>
      </c>
      <c r="U111" s="2"/>
      <c r="V111" s="19"/>
      <c r="W111" s="2"/>
      <c r="X111" s="2">
        <f t="shared" si="2"/>
        <v>21.87</v>
      </c>
      <c r="Y111" s="2"/>
      <c r="Z111" s="19">
        <f t="shared" si="3"/>
        <v>-1</v>
      </c>
    </row>
    <row r="112" spans="1:26" s="24" customFormat="1" hidden="1" outlineLevel="1" x14ac:dyDescent="0.25">
      <c r="A112" s="44"/>
      <c r="B112" s="11" t="str">
        <f>CONCATENATE("          ", "4340", " - ", "SALES RETURN NON TAXABLE-LOGO")</f>
        <v xml:space="preserve">          4340 - SALES RETURN NON TAXABLE-LOGO</v>
      </c>
      <c r="C112" s="11"/>
      <c r="D112" s="2">
        <f>-36.9</f>
        <v>-36.9</v>
      </c>
      <c r="E112" s="2"/>
      <c r="F112" s="19"/>
      <c r="G112" s="2"/>
      <c r="H112" s="2">
        <f>-24.95</f>
        <v>-24.95</v>
      </c>
      <c r="I112" s="2"/>
      <c r="J112" s="19"/>
      <c r="K112" s="2"/>
      <c r="L112" s="2">
        <f t="shared" si="0"/>
        <v>-11.95</v>
      </c>
      <c r="M112" s="2"/>
      <c r="N112" s="19">
        <f t="shared" si="1"/>
        <v>0.47895791583166331</v>
      </c>
      <c r="O112" s="11"/>
      <c r="P112" s="2">
        <f>-541.04</f>
        <v>-541.04</v>
      </c>
      <c r="Q112" s="2"/>
      <c r="R112" s="19"/>
      <c r="S112" s="2"/>
      <c r="T112" s="2">
        <f>-293.45</f>
        <v>-293.45</v>
      </c>
      <c r="U112" s="2"/>
      <c r="V112" s="19"/>
      <c r="W112" s="2"/>
      <c r="X112" s="2">
        <f t="shared" si="2"/>
        <v>-247.58999999999997</v>
      </c>
      <c r="Y112" s="2"/>
      <c r="Z112" s="19">
        <f t="shared" si="3"/>
        <v>0.84372124723121478</v>
      </c>
    </row>
    <row r="113" spans="1:26" s="24" customFormat="1" hidden="1" outlineLevel="1" x14ac:dyDescent="0.25">
      <c r="A113" s="44"/>
      <c r="B113" s="11" t="str">
        <f>CONCATENATE("          ", "4341", " - ", "SALES RETURN NON TAXABLE-LOGO")</f>
        <v xml:space="preserve">          4341 - SALES RETURN NON TAXABLE-LOGO</v>
      </c>
      <c r="C113" s="11"/>
      <c r="D113" s="2">
        <f>-129.95</f>
        <v>-129.94999999999999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-129.94999999999999</v>
      </c>
      <c r="M113" s="2"/>
      <c r="N113" s="19">
        <f t="shared" si="1"/>
        <v>0</v>
      </c>
      <c r="O113" s="11"/>
      <c r="P113" s="2">
        <f>-146.9</f>
        <v>-146.9</v>
      </c>
      <c r="Q113" s="2"/>
      <c r="R113" s="19"/>
      <c r="S113" s="2"/>
      <c r="T113" s="2">
        <f>-3.95</f>
        <v>-3.95</v>
      </c>
      <c r="U113" s="2"/>
      <c r="V113" s="19"/>
      <c r="W113" s="2"/>
      <c r="X113" s="2">
        <f t="shared" si="2"/>
        <v>-142.95000000000002</v>
      </c>
      <c r="Y113" s="2"/>
      <c r="Z113" s="19">
        <f t="shared" si="3"/>
        <v>36.189873417721522</v>
      </c>
    </row>
    <row r="114" spans="1:26" s="24" customFormat="1" hidden="1" outlineLevel="1" x14ac:dyDescent="0.25">
      <c r="A114" s="44"/>
      <c r="B114" s="11" t="str">
        <f>CONCATENATE("          ", "4342", " - ", "SALES RETURN NON TAXABLE-EVERY")</f>
        <v xml:space="preserve">          4342 - SALES RETURN NON TAXABLE-EVERY</v>
      </c>
      <c r="C114" s="11"/>
      <c r="D114" s="2">
        <f>-24.95</f>
        <v>-24.95</v>
      </c>
      <c r="E114" s="2"/>
      <c r="F114" s="19"/>
      <c r="G114" s="2"/>
      <c r="H114" s="2">
        <f>-10</f>
        <v>-10</v>
      </c>
      <c r="I114" s="2"/>
      <c r="J114" s="19"/>
      <c r="K114" s="2"/>
      <c r="L114" s="2">
        <f t="shared" si="0"/>
        <v>-14.95</v>
      </c>
      <c r="M114" s="2"/>
      <c r="N114" s="19">
        <f t="shared" si="1"/>
        <v>1.4949999999999999</v>
      </c>
      <c r="O114" s="11"/>
      <c r="P114" s="2">
        <f>-118.7</f>
        <v>-118.7</v>
      </c>
      <c r="Q114" s="2"/>
      <c r="R114" s="19"/>
      <c r="S114" s="2"/>
      <c r="T114" s="2">
        <f>-10</f>
        <v>-10</v>
      </c>
      <c r="U114" s="2"/>
      <c r="V114" s="19"/>
      <c r="W114" s="2"/>
      <c r="X114" s="2">
        <f t="shared" si="2"/>
        <v>-108.7</v>
      </c>
      <c r="Y114" s="2"/>
      <c r="Z114" s="19">
        <f t="shared" si="3"/>
        <v>10.870000000000001</v>
      </c>
    </row>
    <row r="115" spans="1:26" s="24" customFormat="1" hidden="1" outlineLevel="1" x14ac:dyDescent="0.25">
      <c r="A115" s="44"/>
      <c r="B115" s="11" t="str">
        <f>CONCATENATE("          ", "4346", " - ", "SALES RETURN NON TAXABLE-COIN-")</f>
        <v xml:space="preserve">          4346 - SALES RETURN NON TAXABLE-COIN-</v>
      </c>
      <c r="C115" s="11"/>
      <c r="D115" s="2">
        <f>0</f>
        <v>0</v>
      </c>
      <c r="E115" s="2"/>
      <c r="F115" s="19"/>
      <c r="G115" s="2"/>
      <c r="H115" s="2">
        <f>0</f>
        <v>0</v>
      </c>
      <c r="I115" s="2"/>
      <c r="J115" s="19"/>
      <c r="K115" s="2"/>
      <c r="L115" s="2">
        <f t="shared" si="0"/>
        <v>0</v>
      </c>
      <c r="M115" s="2"/>
      <c r="N115" s="19">
        <f t="shared" si="1"/>
        <v>0</v>
      </c>
      <c r="O115" s="11"/>
      <c r="P115" s="2">
        <f>0</f>
        <v>0</v>
      </c>
      <c r="Q115" s="2"/>
      <c r="R115" s="19"/>
      <c r="S115" s="2"/>
      <c r="T115" s="2">
        <f>-8.15</f>
        <v>-8.15</v>
      </c>
      <c r="U115" s="2"/>
      <c r="V115" s="19"/>
      <c r="W115" s="2"/>
      <c r="X115" s="2">
        <f t="shared" si="2"/>
        <v>8.15</v>
      </c>
      <c r="Y115" s="2"/>
      <c r="Z115" s="19">
        <f t="shared" si="3"/>
        <v>-1</v>
      </c>
    </row>
    <row r="116" spans="1:26" s="24" customFormat="1" hidden="1" outlineLevel="1" x14ac:dyDescent="0.25">
      <c r="A116" s="44"/>
      <c r="B116" s="11" t="str">
        <f>CONCATENATE("          ", "4381", " - ", "SALES RETURN NON TAXABLE-ELECT")</f>
        <v xml:space="preserve">          4381 - SALES RETURN NON TAXABLE-ELECT</v>
      </c>
      <c r="C116" s="11"/>
      <c r="D116" s="2">
        <f>-249.95</f>
        <v>-249.95</v>
      </c>
      <c r="E116" s="2"/>
      <c r="F116" s="19"/>
      <c r="G116" s="2"/>
      <c r="H116" s="2">
        <f>-1279.84</f>
        <v>-1279.8399999999999</v>
      </c>
      <c r="I116" s="2"/>
      <c r="J116" s="19"/>
      <c r="K116" s="2"/>
      <c r="L116" s="2">
        <f t="shared" si="0"/>
        <v>1029.8899999999999</v>
      </c>
      <c r="M116" s="2"/>
      <c r="N116" s="19">
        <f t="shared" si="1"/>
        <v>-0.80470215026878356</v>
      </c>
      <c r="O116" s="11"/>
      <c r="P116" s="2">
        <f>-5624.15</f>
        <v>-5624.15</v>
      </c>
      <c r="Q116" s="2"/>
      <c r="R116" s="19"/>
      <c r="S116" s="2"/>
      <c r="T116" s="2">
        <f>-1279.84</f>
        <v>-1279.8399999999999</v>
      </c>
      <c r="U116" s="2"/>
      <c r="V116" s="19"/>
      <c r="W116" s="2"/>
      <c r="X116" s="2">
        <f t="shared" si="2"/>
        <v>-4344.3099999999995</v>
      </c>
      <c r="Y116" s="2"/>
      <c r="Z116" s="19">
        <f t="shared" si="3"/>
        <v>3.3944164895611948</v>
      </c>
    </row>
    <row r="117" spans="1:26" s="24" customFormat="1" hidden="1" outlineLevel="1" x14ac:dyDescent="0.25">
      <c r="A117" s="44"/>
      <c r="B117" s="11" t="str">
        <f>CONCATENATE("          ", "4383", " - ", "SALES RETURN NON TAXABLE-COMPU")</f>
        <v xml:space="preserve">          4383 - SALES RETURN NON TAXABLE-COMPU</v>
      </c>
      <c r="C117" s="11"/>
      <c r="D117" s="2">
        <f t="shared" ref="D117:D118" si="26">0</f>
        <v>0</v>
      </c>
      <c r="E117" s="2"/>
      <c r="F117" s="19"/>
      <c r="G117" s="2"/>
      <c r="H117" s="2">
        <f t="shared" ref="H117:H118" si="27">0</f>
        <v>0</v>
      </c>
      <c r="I117" s="2"/>
      <c r="J117" s="19"/>
      <c r="K117" s="2"/>
      <c r="L117" s="2">
        <f t="shared" si="0"/>
        <v>0</v>
      </c>
      <c r="M117" s="2"/>
      <c r="N117" s="19">
        <f t="shared" si="1"/>
        <v>0</v>
      </c>
      <c r="O117" s="11"/>
      <c r="P117" s="2">
        <f t="shared" ref="P117:P118" si="28">0</f>
        <v>0</v>
      </c>
      <c r="Q117" s="2"/>
      <c r="R117" s="19"/>
      <c r="S117" s="2"/>
      <c r="T117" s="2">
        <f>-24.99</f>
        <v>-24.99</v>
      </c>
      <c r="U117" s="2"/>
      <c r="V117" s="19"/>
      <c r="W117" s="2"/>
      <c r="X117" s="2">
        <f t="shared" si="2"/>
        <v>24.99</v>
      </c>
      <c r="Y117" s="2"/>
      <c r="Z117" s="19">
        <f t="shared" si="3"/>
        <v>-1</v>
      </c>
    </row>
    <row r="118" spans="1:26" s="24" customFormat="1" hidden="1" outlineLevel="1" x14ac:dyDescent="0.25">
      <c r="A118" s="44"/>
      <c r="B118" s="11" t="str">
        <f>CONCATENATE("          ", "4386", " - ", "SALES RETURN NON TAXABLE-COMPU")</f>
        <v xml:space="preserve">          4386 - SALES RETURN NON TAXABLE-COMPU</v>
      </c>
      <c r="C118" s="11"/>
      <c r="D118" s="2">
        <f t="shared" si="26"/>
        <v>0</v>
      </c>
      <c r="E118" s="2"/>
      <c r="F118" s="19"/>
      <c r="G118" s="2"/>
      <c r="H118" s="2">
        <f t="shared" si="27"/>
        <v>0</v>
      </c>
      <c r="I118" s="2"/>
      <c r="J118" s="19"/>
      <c r="K118" s="2"/>
      <c r="L118" s="2">
        <f t="shared" si="0"/>
        <v>0</v>
      </c>
      <c r="M118" s="2"/>
      <c r="N118" s="19">
        <f t="shared" si="1"/>
        <v>0</v>
      </c>
      <c r="O118" s="11"/>
      <c r="P118" s="2">
        <f t="shared" si="28"/>
        <v>0</v>
      </c>
      <c r="Q118" s="2"/>
      <c r="R118" s="19"/>
      <c r="S118" s="2"/>
      <c r="T118" s="2">
        <f>-19.99</f>
        <v>-19.989999999999998</v>
      </c>
      <c r="U118" s="2"/>
      <c r="V118" s="19"/>
      <c r="W118" s="2"/>
      <c r="X118" s="2">
        <f t="shared" si="2"/>
        <v>19.989999999999998</v>
      </c>
      <c r="Y118" s="2"/>
      <c r="Z118" s="19">
        <f t="shared" si="3"/>
        <v>-1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collapsed="1" x14ac:dyDescent="0.25">
      <c r="A120" s="10"/>
      <c r="B120" s="26" t="s">
        <v>8</v>
      </c>
      <c r="C120" s="10"/>
      <c r="D120" s="4">
        <f>SUM(OSRRefD16x_0)</f>
        <v>493273.1</v>
      </c>
      <c r="E120" s="4"/>
      <c r="F120" s="12">
        <f t="shared" ref="F120:F174" si="29">IF(D$12=0,0,D120/D$12)</f>
        <v>0.7795192731835594</v>
      </c>
      <c r="G120" s="4"/>
      <c r="H120" s="4">
        <f>SUM(OSRRefH16x_0)</f>
        <v>916667.44000000018</v>
      </c>
      <c r="I120" s="4"/>
      <c r="J120" s="12">
        <f t="shared" ref="J120:J174" si="30">IF(H$12=0,0,H120/H$12)</f>
        <v>0.65132676891716235</v>
      </c>
      <c r="K120" s="4"/>
      <c r="L120" s="4">
        <f t="shared" ref="L120:L174" si="31">+D120-H120</f>
        <v>-423394.3400000002</v>
      </c>
      <c r="M120" s="4"/>
      <c r="N120" s="12">
        <f t="shared" ref="N120:N174" si="32">IF(H120=0,0,L120/H120)</f>
        <v>-0.46188434488302554</v>
      </c>
      <c r="O120" s="10"/>
      <c r="P120" s="4">
        <f>SUM(OSRRefP16x_0)</f>
        <v>2378511.4299999997</v>
      </c>
      <c r="Q120" s="4"/>
      <c r="R120" s="12">
        <f t="shared" ref="R120:R174" si="33">IF(P$12=0,0,P120/P$12)</f>
        <v>0.75336437578735482</v>
      </c>
      <c r="S120" s="4"/>
      <c r="T120" s="4">
        <f>SUM(OSRRefT16x_0)</f>
        <v>3678262.7699999996</v>
      </c>
      <c r="U120" s="4"/>
      <c r="V120" s="12">
        <f t="shared" ref="V120:V174" si="34">IF(T$12=0,0,T120/T$12)</f>
        <v>0.68956461868813723</v>
      </c>
      <c r="W120" s="4"/>
      <c r="X120" s="4">
        <f t="shared" ref="X120:X174" si="35">+P120-T120</f>
        <v>-1299751.3399999999</v>
      </c>
      <c r="Y120" s="4"/>
      <c r="Z120" s="12">
        <f t="shared" ref="Z120:Z174" si="36">IF(T120=0,0,X120/T120)</f>
        <v>-0.35336011081122409</v>
      </c>
    </row>
    <row r="121" spans="1:26" s="24" customFormat="1" hidden="1" outlineLevel="1" x14ac:dyDescent="0.25">
      <c r="A121" s="44"/>
      <c r="B121" s="11" t="str">
        <f>CONCATENATE("          ", "5001", " - ", "PURCHASES @ COST-NEW TEXT")</f>
        <v xml:space="preserve">          5001 - PURCHASES @ COST-NEW TEXT</v>
      </c>
      <c r="C121" s="11"/>
      <c r="D121" s="2">
        <v>602088.99</v>
      </c>
      <c r="E121" s="2"/>
      <c r="F121" s="19">
        <f t="shared" si="29"/>
        <v>0.95148097854236002</v>
      </c>
      <c r="G121" s="2"/>
      <c r="H121" s="2">
        <v>104892.25</v>
      </c>
      <c r="I121" s="2"/>
      <c r="J121" s="19">
        <f t="shared" si="30"/>
        <v>7.4529897425996944E-2</v>
      </c>
      <c r="K121" s="2"/>
      <c r="L121" s="2">
        <f t="shared" si="31"/>
        <v>497196.74</v>
      </c>
      <c r="M121" s="2"/>
      <c r="N121" s="19">
        <f t="shared" si="32"/>
        <v>4.7400712636062243</v>
      </c>
      <c r="O121" s="11"/>
      <c r="P121" s="2">
        <v>1293421.76</v>
      </c>
      <c r="Q121" s="2"/>
      <c r="R121" s="19">
        <f t="shared" si="33"/>
        <v>0.40967550736225888</v>
      </c>
      <c r="S121" s="2"/>
      <c r="T121" s="2">
        <v>1932650.95</v>
      </c>
      <c r="U121" s="2"/>
      <c r="V121" s="19">
        <f t="shared" si="34"/>
        <v>0.36231443992078255</v>
      </c>
      <c r="W121" s="2"/>
      <c r="X121" s="2">
        <f t="shared" si="35"/>
        <v>-639229.18999999994</v>
      </c>
      <c r="Y121" s="2"/>
      <c r="Z121" s="19">
        <f t="shared" si="36"/>
        <v>-0.33075252931730892</v>
      </c>
    </row>
    <row r="122" spans="1:26" s="24" customFormat="1" hidden="1" outlineLevel="1" x14ac:dyDescent="0.25">
      <c r="A122" s="44"/>
      <c r="B122" s="11" t="str">
        <f>CONCATENATE("          ", "5002", " - ", "PURCHASES @ COST-USED TEXT")</f>
        <v xml:space="preserve">          5002 - PURCHASES @ COST-USED TEXT</v>
      </c>
      <c r="C122" s="11"/>
      <c r="D122" s="2">
        <v>108363.86</v>
      </c>
      <c r="E122" s="2"/>
      <c r="F122" s="19">
        <f t="shared" si="29"/>
        <v>0.17124736253926071</v>
      </c>
      <c r="G122" s="2"/>
      <c r="H122" s="2">
        <v>18830.57</v>
      </c>
      <c r="I122" s="2"/>
      <c r="J122" s="19">
        <f t="shared" si="30"/>
        <v>1.3379829783163726E-2</v>
      </c>
      <c r="K122" s="2"/>
      <c r="L122" s="2">
        <f t="shared" si="31"/>
        <v>89533.290000000008</v>
      </c>
      <c r="M122" s="2"/>
      <c r="N122" s="19">
        <f t="shared" si="32"/>
        <v>4.7546776332314957</v>
      </c>
      <c r="O122" s="11"/>
      <c r="P122" s="2">
        <v>296731.38</v>
      </c>
      <c r="Q122" s="2"/>
      <c r="R122" s="19">
        <f t="shared" si="33"/>
        <v>9.3986031788890922E-2</v>
      </c>
      <c r="S122" s="2"/>
      <c r="T122" s="2">
        <v>353811.24</v>
      </c>
      <c r="U122" s="2"/>
      <c r="V122" s="19">
        <f t="shared" si="34"/>
        <v>6.6329060225943842E-2</v>
      </c>
      <c r="W122" s="2"/>
      <c r="X122" s="2">
        <f t="shared" si="35"/>
        <v>-57079.859999999986</v>
      </c>
      <c r="Y122" s="2"/>
      <c r="Z122" s="19">
        <f t="shared" si="36"/>
        <v>-0.16132856604555579</v>
      </c>
    </row>
    <row r="123" spans="1:26" s="24" customFormat="1" hidden="1" outlineLevel="1" x14ac:dyDescent="0.25">
      <c r="A123" s="44"/>
      <c r="B123" s="11" t="str">
        <f>CONCATENATE("          ", "5003", " - ", "PURCHASES @ COST-RENTAL TEXT")</f>
        <v xml:space="preserve">          5003 - PURCHASES @ COST-RENTAL TEXT</v>
      </c>
      <c r="C123" s="11"/>
      <c r="D123" s="2">
        <v>781.74</v>
      </c>
      <c r="E123" s="2"/>
      <c r="F123" s="19">
        <f t="shared" si="29"/>
        <v>1.2353833943479094E-3</v>
      </c>
      <c r="G123" s="2"/>
      <c r="H123" s="2"/>
      <c r="I123" s="2"/>
      <c r="J123" s="19">
        <f t="shared" si="30"/>
        <v>0</v>
      </c>
      <c r="K123" s="2"/>
      <c r="L123" s="2">
        <f t="shared" si="31"/>
        <v>781.74</v>
      </c>
      <c r="M123" s="2"/>
      <c r="N123" s="19">
        <f t="shared" si="32"/>
        <v>0</v>
      </c>
      <c r="O123" s="11"/>
      <c r="P123" s="2">
        <v>-11086.1</v>
      </c>
      <c r="Q123" s="2"/>
      <c r="R123" s="19">
        <f t="shared" si="33"/>
        <v>-3.5113864499764858E-3</v>
      </c>
      <c r="S123" s="2"/>
      <c r="T123" s="2">
        <v>-78.400000000000006</v>
      </c>
      <c r="U123" s="2"/>
      <c r="V123" s="19">
        <f t="shared" si="34"/>
        <v>-1.4697662860326307E-5</v>
      </c>
      <c r="W123" s="2"/>
      <c r="X123" s="2">
        <f t="shared" si="35"/>
        <v>-11007.7</v>
      </c>
      <c r="Y123" s="2"/>
      <c r="Z123" s="19">
        <f t="shared" si="36"/>
        <v>140.40433673469389</v>
      </c>
    </row>
    <row r="124" spans="1:26" s="24" customFormat="1" hidden="1" outlineLevel="1" x14ac:dyDescent="0.25">
      <c r="A124" s="44"/>
      <c r="B124" s="11" t="str">
        <f>CONCATENATE("          ", "5004", " - ", "PURCHASES @ COST-DIGITAL TEXT")</f>
        <v xml:space="preserve">          5004 - PURCHASES @ COST-DIGITAL TEXT</v>
      </c>
      <c r="C124" s="11"/>
      <c r="D124" s="2">
        <v>60186.1</v>
      </c>
      <c r="E124" s="2"/>
      <c r="F124" s="19">
        <f t="shared" si="29"/>
        <v>9.5112068604091785E-2</v>
      </c>
      <c r="G124" s="2"/>
      <c r="H124" s="2">
        <v>50761.9</v>
      </c>
      <c r="I124" s="2"/>
      <c r="J124" s="19">
        <f t="shared" si="30"/>
        <v>3.6068243365441337E-2</v>
      </c>
      <c r="K124" s="2"/>
      <c r="L124" s="2">
        <f t="shared" si="31"/>
        <v>9424.1999999999971</v>
      </c>
      <c r="M124" s="2"/>
      <c r="N124" s="19">
        <f t="shared" si="32"/>
        <v>0.18565498927345109</v>
      </c>
      <c r="O124" s="11"/>
      <c r="P124" s="2">
        <v>182616.07</v>
      </c>
      <c r="Q124" s="2"/>
      <c r="R124" s="19">
        <f t="shared" si="33"/>
        <v>5.7841404438527297E-2</v>
      </c>
      <c r="S124" s="2"/>
      <c r="T124" s="2">
        <v>353728.39</v>
      </c>
      <c r="U124" s="2"/>
      <c r="V124" s="19">
        <f t="shared" si="34"/>
        <v>6.6313528320740042E-2</v>
      </c>
      <c r="W124" s="2"/>
      <c r="X124" s="2">
        <f t="shared" si="35"/>
        <v>-171112.32000000001</v>
      </c>
      <c r="Y124" s="2"/>
      <c r="Z124" s="19">
        <f t="shared" si="36"/>
        <v>-0.48373928934570393</v>
      </c>
    </row>
    <row r="125" spans="1:26" s="24" customFormat="1" hidden="1" outlineLevel="1" x14ac:dyDescent="0.25">
      <c r="A125" s="44"/>
      <c r="B125" s="11" t="str">
        <f>CONCATENATE("          ", "5011", " - ", "PURCHASES @ COST-NO VALUE TEXT")</f>
        <v xml:space="preserve">          5011 - PURCHASES @ COST-NO VALUE TEXT</v>
      </c>
      <c r="C125" s="11"/>
      <c r="D125" s="2"/>
      <c r="E125" s="2"/>
      <c r="F125" s="19">
        <f t="shared" si="29"/>
        <v>0</v>
      </c>
      <c r="G125" s="2"/>
      <c r="H125" s="2">
        <v>2928</v>
      </c>
      <c r="I125" s="2"/>
      <c r="J125" s="19">
        <f t="shared" si="30"/>
        <v>2.0804543678233527E-3</v>
      </c>
      <c r="K125" s="2"/>
      <c r="L125" s="2">
        <f t="shared" si="31"/>
        <v>-2928</v>
      </c>
      <c r="M125" s="2"/>
      <c r="N125" s="19">
        <f t="shared" si="32"/>
        <v>-1</v>
      </c>
      <c r="O125" s="11"/>
      <c r="P125" s="2"/>
      <c r="Q125" s="2"/>
      <c r="R125" s="19">
        <f t="shared" si="33"/>
        <v>0</v>
      </c>
      <c r="S125" s="2"/>
      <c r="T125" s="2">
        <v>3585</v>
      </c>
      <c r="U125" s="2"/>
      <c r="V125" s="19">
        <f t="shared" si="34"/>
        <v>6.720806295187476E-4</v>
      </c>
      <c r="W125" s="2"/>
      <c r="X125" s="2">
        <f t="shared" si="35"/>
        <v>-3585</v>
      </c>
      <c r="Y125" s="2"/>
      <c r="Z125" s="19">
        <f t="shared" si="36"/>
        <v>-1</v>
      </c>
    </row>
    <row r="126" spans="1:26" s="24" customFormat="1" hidden="1" outlineLevel="1" x14ac:dyDescent="0.25">
      <c r="A126" s="44"/>
      <c r="B126" s="11" t="str">
        <f>CONCATENATE("          ", "5013", " - ", "PURCHASES @ COST-TRADE BOOKS")</f>
        <v xml:space="preserve">          5013 - PURCHASES @ COST-TRADE BOOKS</v>
      </c>
      <c r="C126" s="11"/>
      <c r="D126" s="2">
        <v>-9.36</v>
      </c>
      <c r="E126" s="2"/>
      <c r="F126" s="19">
        <f t="shared" si="29"/>
        <v>-1.4791604076926385E-5</v>
      </c>
      <c r="G126" s="2"/>
      <c r="H126" s="2">
        <v>269.89</v>
      </c>
      <c r="I126" s="2"/>
      <c r="J126" s="19">
        <f t="shared" si="30"/>
        <v>1.9176701821442779E-4</v>
      </c>
      <c r="K126" s="2"/>
      <c r="L126" s="2">
        <f t="shared" si="31"/>
        <v>-279.25</v>
      </c>
      <c r="M126" s="2"/>
      <c r="N126" s="19">
        <f t="shared" si="32"/>
        <v>-1.034680795879803</v>
      </c>
      <c r="O126" s="11"/>
      <c r="P126" s="2">
        <v>99.18</v>
      </c>
      <c r="Q126" s="2"/>
      <c r="R126" s="19">
        <f t="shared" si="33"/>
        <v>3.1414050758036447E-5</v>
      </c>
      <c r="S126" s="2"/>
      <c r="T126" s="2">
        <v>474.79</v>
      </c>
      <c r="U126" s="2"/>
      <c r="V126" s="19">
        <f t="shared" si="34"/>
        <v>8.9008971294060303E-5</v>
      </c>
      <c r="W126" s="2"/>
      <c r="X126" s="2">
        <f t="shared" si="35"/>
        <v>-375.61</v>
      </c>
      <c r="Y126" s="2"/>
      <c r="Z126" s="19">
        <f t="shared" si="36"/>
        <v>-0.79110764759156682</v>
      </c>
    </row>
    <row r="127" spans="1:26" s="24" customFormat="1" hidden="1" outlineLevel="1" x14ac:dyDescent="0.25">
      <c r="A127" s="44"/>
      <c r="B127" s="11" t="str">
        <f>CONCATENATE("          ", "5014", " - ", "PURCHASES @ COST-REMAINDERS")</f>
        <v xml:space="preserve">          5014 - PURCHASES @ COST-REMAINDERS</v>
      </c>
      <c r="C127" s="11"/>
      <c r="D127" s="2"/>
      <c r="E127" s="2"/>
      <c r="F127" s="19">
        <f t="shared" si="29"/>
        <v>0</v>
      </c>
      <c r="G127" s="2"/>
      <c r="H127" s="2">
        <v>55.65</v>
      </c>
      <c r="I127" s="2"/>
      <c r="J127" s="19">
        <f t="shared" si="30"/>
        <v>3.9541422667134412E-5</v>
      </c>
      <c r="K127" s="2"/>
      <c r="L127" s="2">
        <f t="shared" si="31"/>
        <v>-55.65</v>
      </c>
      <c r="M127" s="2"/>
      <c r="N127" s="19">
        <f t="shared" si="32"/>
        <v>-1</v>
      </c>
      <c r="O127" s="11"/>
      <c r="P127" s="2">
        <v>-12.51</v>
      </c>
      <c r="Q127" s="2"/>
      <c r="R127" s="19">
        <f t="shared" si="33"/>
        <v>-3.962389342438354E-6</v>
      </c>
      <c r="S127" s="2"/>
      <c r="T127" s="2">
        <v>289.97000000000003</v>
      </c>
      <c r="U127" s="2"/>
      <c r="V127" s="19">
        <f t="shared" si="34"/>
        <v>5.4360730862357391E-5</v>
      </c>
      <c r="W127" s="2"/>
      <c r="X127" s="2">
        <f t="shared" si="35"/>
        <v>-302.48</v>
      </c>
      <c r="Y127" s="2"/>
      <c r="Z127" s="19">
        <f t="shared" si="36"/>
        <v>-1.0431423940407627</v>
      </c>
    </row>
    <row r="128" spans="1:26" s="24" customFormat="1" hidden="1" outlineLevel="1" x14ac:dyDescent="0.25">
      <c r="A128" s="44"/>
      <c r="B128" s="11" t="str">
        <f>CONCATENATE("          ", "5017", " - ", "PURCHASES @ COST-DORM/HOUSEWAR")</f>
        <v xml:space="preserve">          5017 - PURCHASES @ COST-DORM/HOUSEWAR</v>
      </c>
      <c r="C128" s="11"/>
      <c r="D128" s="2"/>
      <c r="E128" s="2"/>
      <c r="F128" s="19">
        <f t="shared" si="29"/>
        <v>0</v>
      </c>
      <c r="G128" s="2"/>
      <c r="H128" s="2">
        <v>-139.86000000000001</v>
      </c>
      <c r="I128" s="2"/>
      <c r="J128" s="19">
        <f t="shared" si="30"/>
        <v>-9.9375801872873674E-5</v>
      </c>
      <c r="K128" s="2"/>
      <c r="L128" s="2">
        <f t="shared" si="31"/>
        <v>139.86000000000001</v>
      </c>
      <c r="M128" s="2"/>
      <c r="N128" s="19">
        <f t="shared" si="32"/>
        <v>-1</v>
      </c>
      <c r="O128" s="11"/>
      <c r="P128" s="2"/>
      <c r="Q128" s="2"/>
      <c r="R128" s="19">
        <f t="shared" si="33"/>
        <v>0</v>
      </c>
      <c r="S128" s="2"/>
      <c r="T128" s="2">
        <v>0</v>
      </c>
      <c r="U128" s="2"/>
      <c r="V128" s="19">
        <f t="shared" si="34"/>
        <v>0</v>
      </c>
      <c r="W128" s="2"/>
      <c r="X128" s="2">
        <f t="shared" si="35"/>
        <v>0</v>
      </c>
      <c r="Y128" s="2"/>
      <c r="Z128" s="19">
        <f t="shared" si="36"/>
        <v>0</v>
      </c>
    </row>
    <row r="129" spans="1:26" s="24" customFormat="1" hidden="1" outlineLevel="1" x14ac:dyDescent="0.25">
      <c r="A129" s="44"/>
      <c r="B129" s="11" t="str">
        <f>CONCATENATE("          ", "5018", " - ", "PURCHASES @ COST-STUDY GUIDES")</f>
        <v xml:space="preserve">          5018 - PURCHASES @ COST-STUDY GUIDES</v>
      </c>
      <c r="C129" s="11"/>
      <c r="D129" s="2"/>
      <c r="E129" s="2"/>
      <c r="F129" s="19">
        <f t="shared" si="29"/>
        <v>0</v>
      </c>
      <c r="G129" s="2"/>
      <c r="H129" s="2"/>
      <c r="I129" s="2"/>
      <c r="J129" s="19">
        <f t="shared" si="30"/>
        <v>0</v>
      </c>
      <c r="K129" s="2"/>
      <c r="L129" s="2">
        <f t="shared" si="31"/>
        <v>0</v>
      </c>
      <c r="M129" s="2"/>
      <c r="N129" s="19">
        <f t="shared" si="32"/>
        <v>0</v>
      </c>
      <c r="O129" s="11"/>
      <c r="P129" s="2"/>
      <c r="Q129" s="2"/>
      <c r="R129" s="19">
        <f t="shared" si="33"/>
        <v>0</v>
      </c>
      <c r="S129" s="2"/>
      <c r="T129" s="2">
        <v>503.93</v>
      </c>
      <c r="U129" s="2"/>
      <c r="V129" s="19">
        <f t="shared" si="34"/>
        <v>9.4471852617400968E-5</v>
      </c>
      <c r="W129" s="2"/>
      <c r="X129" s="2">
        <f t="shared" si="35"/>
        <v>-503.93</v>
      </c>
      <c r="Y129" s="2"/>
      <c r="Z129" s="19">
        <f t="shared" si="36"/>
        <v>-1</v>
      </c>
    </row>
    <row r="130" spans="1:26" s="24" customFormat="1" hidden="1" outlineLevel="1" x14ac:dyDescent="0.25">
      <c r="A130" s="44"/>
      <c r="B130" s="11" t="str">
        <f>CONCATENATE("          ", "5025", " - ", "PURCHASES @ COST-TEST FORMS")</f>
        <v xml:space="preserve">          5025 - PURCHASES @ COST-TEST FORMS</v>
      </c>
      <c r="C130" s="11"/>
      <c r="D130" s="2"/>
      <c r="E130" s="2"/>
      <c r="F130" s="19">
        <f t="shared" si="29"/>
        <v>0</v>
      </c>
      <c r="G130" s="2"/>
      <c r="H130" s="2">
        <v>1495.25</v>
      </c>
      <c r="I130" s="2"/>
      <c r="J130" s="19">
        <f t="shared" si="30"/>
        <v>1.0624314868469494E-3</v>
      </c>
      <c r="K130" s="2"/>
      <c r="L130" s="2">
        <f t="shared" si="31"/>
        <v>-1495.25</v>
      </c>
      <c r="M130" s="2"/>
      <c r="N130" s="19">
        <f t="shared" si="32"/>
        <v>-1</v>
      </c>
      <c r="O130" s="11"/>
      <c r="P130" s="2"/>
      <c r="Q130" s="2"/>
      <c r="R130" s="19">
        <f t="shared" si="33"/>
        <v>0</v>
      </c>
      <c r="S130" s="2"/>
      <c r="T130" s="2">
        <v>3252.39</v>
      </c>
      <c r="U130" s="2"/>
      <c r="V130" s="19">
        <f t="shared" si="34"/>
        <v>6.0972616977419231E-4</v>
      </c>
      <c r="W130" s="2"/>
      <c r="X130" s="2">
        <f t="shared" si="35"/>
        <v>-3252.39</v>
      </c>
      <c r="Y130" s="2"/>
      <c r="Z130" s="19">
        <f t="shared" si="36"/>
        <v>-1</v>
      </c>
    </row>
    <row r="131" spans="1:26" s="24" customFormat="1" hidden="1" outlineLevel="1" x14ac:dyDescent="0.25">
      <c r="A131" s="44"/>
      <c r="B131" s="11" t="str">
        <f>CONCATENATE("          ", "5026", " - ", "PURCHASES @ COST-WRITING INSTR")</f>
        <v xml:space="preserve">          5026 - PURCHASES @ COST-WRITING INSTR</v>
      </c>
      <c r="C131" s="11"/>
      <c r="D131" s="2"/>
      <c r="E131" s="2"/>
      <c r="F131" s="19">
        <f t="shared" si="29"/>
        <v>0</v>
      </c>
      <c r="G131" s="2"/>
      <c r="H131" s="2">
        <v>2250.85</v>
      </c>
      <c r="I131" s="2"/>
      <c r="J131" s="19">
        <f t="shared" si="30"/>
        <v>1.5993137683795058E-3</v>
      </c>
      <c r="K131" s="2"/>
      <c r="L131" s="2">
        <f t="shared" si="31"/>
        <v>-2250.85</v>
      </c>
      <c r="M131" s="2"/>
      <c r="N131" s="19">
        <f t="shared" si="32"/>
        <v>-1</v>
      </c>
      <c r="O131" s="11"/>
      <c r="P131" s="2"/>
      <c r="Q131" s="2"/>
      <c r="R131" s="19">
        <f t="shared" si="33"/>
        <v>0</v>
      </c>
      <c r="S131" s="2"/>
      <c r="T131" s="2">
        <v>14787.38</v>
      </c>
      <c r="U131" s="2"/>
      <c r="V131" s="19">
        <f t="shared" si="34"/>
        <v>2.7721929314736228E-3</v>
      </c>
      <c r="W131" s="2"/>
      <c r="X131" s="2">
        <f t="shared" si="35"/>
        <v>-14787.38</v>
      </c>
      <c r="Y131" s="2"/>
      <c r="Z131" s="19">
        <f t="shared" si="36"/>
        <v>-1</v>
      </c>
    </row>
    <row r="132" spans="1:26" s="24" customFormat="1" hidden="1" outlineLevel="1" x14ac:dyDescent="0.25">
      <c r="A132" s="44"/>
      <c r="B132" s="11" t="str">
        <f>CONCATENATE("          ", "5027", " - ", "PURCHASES @ COST-SCHOOL SUPPLI")</f>
        <v xml:space="preserve">          5027 - PURCHASES @ COST-SCHOOL SUPPLI</v>
      </c>
      <c r="C132" s="11"/>
      <c r="D132" s="2"/>
      <c r="E132" s="2"/>
      <c r="F132" s="19">
        <f t="shared" si="29"/>
        <v>0</v>
      </c>
      <c r="G132" s="2"/>
      <c r="H132" s="2">
        <v>12655.95</v>
      </c>
      <c r="I132" s="2"/>
      <c r="J132" s="19">
        <f t="shared" si="30"/>
        <v>8.9925295274774462E-3</v>
      </c>
      <c r="K132" s="2"/>
      <c r="L132" s="2">
        <f t="shared" si="31"/>
        <v>-12655.95</v>
      </c>
      <c r="M132" s="2"/>
      <c r="N132" s="19">
        <f t="shared" si="32"/>
        <v>-1</v>
      </c>
      <c r="O132" s="11"/>
      <c r="P132" s="2">
        <v>8503.4</v>
      </c>
      <c r="Q132" s="2"/>
      <c r="R132" s="19">
        <f t="shared" si="33"/>
        <v>2.6933478444836371E-3</v>
      </c>
      <c r="S132" s="2"/>
      <c r="T132" s="2">
        <v>62182.680000000008</v>
      </c>
      <c r="U132" s="2"/>
      <c r="V132" s="19">
        <f t="shared" si="34"/>
        <v>1.1657398806014739E-2</v>
      </c>
      <c r="W132" s="2"/>
      <c r="X132" s="2">
        <f t="shared" si="35"/>
        <v>-53679.280000000006</v>
      </c>
      <c r="Y132" s="2"/>
      <c r="Z132" s="19">
        <f t="shared" si="36"/>
        <v>-0.86325131049353288</v>
      </c>
    </row>
    <row r="133" spans="1:26" s="24" customFormat="1" hidden="1" outlineLevel="1" x14ac:dyDescent="0.25">
      <c r="A133" s="44"/>
      <c r="B133" s="11" t="str">
        <f>CONCATENATE("          ", "5028", " - ", "PURCHASES @ COST-ART/TECH")</f>
        <v xml:space="preserve">          5028 - PURCHASES @ COST-ART/TECH</v>
      </c>
      <c r="C133" s="11"/>
      <c r="D133" s="2">
        <v>-83.4</v>
      </c>
      <c r="E133" s="2"/>
      <c r="F133" s="19">
        <f t="shared" si="29"/>
        <v>-1.3179698504440818E-4</v>
      </c>
      <c r="G133" s="2"/>
      <c r="H133" s="2">
        <v>14830.009999999998</v>
      </c>
      <c r="I133" s="2"/>
      <c r="J133" s="19">
        <f t="shared" si="30"/>
        <v>1.0537281106340161E-2</v>
      </c>
      <c r="K133" s="2"/>
      <c r="L133" s="2">
        <f t="shared" si="31"/>
        <v>-14913.409999999998</v>
      </c>
      <c r="M133" s="2"/>
      <c r="N133" s="19">
        <f t="shared" si="32"/>
        <v>-1.0056237318788053</v>
      </c>
      <c r="O133" s="11"/>
      <c r="P133" s="2">
        <v>-83.4</v>
      </c>
      <c r="Q133" s="2"/>
      <c r="R133" s="19">
        <f t="shared" si="33"/>
        <v>-2.6415928949589029E-5</v>
      </c>
      <c r="S133" s="2"/>
      <c r="T133" s="2">
        <v>70844.78</v>
      </c>
      <c r="U133" s="2"/>
      <c r="V133" s="19">
        <f t="shared" si="34"/>
        <v>1.3281284334872294E-2</v>
      </c>
      <c r="W133" s="2"/>
      <c r="X133" s="2">
        <f t="shared" si="35"/>
        <v>-70928.179999999993</v>
      </c>
      <c r="Y133" s="2"/>
      <c r="Z133" s="19">
        <f t="shared" si="36"/>
        <v>-1.0011772215257073</v>
      </c>
    </row>
    <row r="134" spans="1:26" s="24" customFormat="1" hidden="1" outlineLevel="1" x14ac:dyDescent="0.25">
      <c r="A134" s="44"/>
      <c r="B134" s="11" t="str">
        <f>CONCATENATE("          ", "5031", " - ", "PURCHASES @ COST-FOOD")</f>
        <v xml:space="preserve">          5031 - PURCHASES @ COST-FOOD</v>
      </c>
      <c r="C134" s="11"/>
      <c r="D134" s="2">
        <v>4065.92</v>
      </c>
      <c r="E134" s="2"/>
      <c r="F134" s="19">
        <f t="shared" si="29"/>
        <v>6.4253716718436467E-3</v>
      </c>
      <c r="G134" s="2"/>
      <c r="H134" s="2">
        <v>5471.01</v>
      </c>
      <c r="I134" s="2"/>
      <c r="J134" s="19">
        <f t="shared" si="30"/>
        <v>3.8873588288610792E-3</v>
      </c>
      <c r="K134" s="2"/>
      <c r="L134" s="2">
        <f t="shared" si="31"/>
        <v>-1405.0900000000001</v>
      </c>
      <c r="M134" s="2"/>
      <c r="N134" s="19">
        <f t="shared" si="32"/>
        <v>-0.25682460825332071</v>
      </c>
      <c r="O134" s="11"/>
      <c r="P134" s="2">
        <v>4065.92</v>
      </c>
      <c r="Q134" s="2"/>
      <c r="R134" s="19">
        <f t="shared" si="33"/>
        <v>1.2878303817111874E-3</v>
      </c>
      <c r="S134" s="2"/>
      <c r="T134" s="2">
        <v>8150.05</v>
      </c>
      <c r="U134" s="2"/>
      <c r="V134" s="19">
        <f t="shared" si="34"/>
        <v>1.5278914183010513E-3</v>
      </c>
      <c r="W134" s="2"/>
      <c r="X134" s="2">
        <f t="shared" si="35"/>
        <v>-4084.13</v>
      </c>
      <c r="Y134" s="2"/>
      <c r="Z134" s="19">
        <f t="shared" si="36"/>
        <v>-0.50111717106030029</v>
      </c>
    </row>
    <row r="135" spans="1:26" s="24" customFormat="1" hidden="1" outlineLevel="1" x14ac:dyDescent="0.25">
      <c r="A135" s="44"/>
      <c r="B135" s="11" t="str">
        <f>CONCATENATE("          ", "5032", " - ", "PURCHASES @ COST-JUICE")</f>
        <v xml:space="preserve">          5032 - PURCHASES @ COST-JUICE</v>
      </c>
      <c r="C135" s="11"/>
      <c r="D135" s="2"/>
      <c r="E135" s="2"/>
      <c r="F135" s="19">
        <f t="shared" si="29"/>
        <v>0</v>
      </c>
      <c r="G135" s="2"/>
      <c r="H135" s="2">
        <v>477.55</v>
      </c>
      <c r="I135" s="2"/>
      <c r="J135" s="19">
        <f t="shared" si="30"/>
        <v>3.3931727573567009E-4</v>
      </c>
      <c r="K135" s="2"/>
      <c r="L135" s="2">
        <f t="shared" si="31"/>
        <v>-477.55</v>
      </c>
      <c r="M135" s="2"/>
      <c r="N135" s="19">
        <f t="shared" si="32"/>
        <v>-1</v>
      </c>
      <c r="O135" s="11"/>
      <c r="P135" s="2"/>
      <c r="Q135" s="2"/>
      <c r="R135" s="19">
        <f t="shared" si="33"/>
        <v>0</v>
      </c>
      <c r="S135" s="2"/>
      <c r="T135" s="2">
        <v>819.15</v>
      </c>
      <c r="U135" s="2"/>
      <c r="V135" s="19">
        <f t="shared" si="34"/>
        <v>1.5356620576576906E-4</v>
      </c>
      <c r="W135" s="2"/>
      <c r="X135" s="2">
        <f t="shared" si="35"/>
        <v>-819.15</v>
      </c>
      <c r="Y135" s="2"/>
      <c r="Z135" s="19">
        <f t="shared" si="36"/>
        <v>-1</v>
      </c>
    </row>
    <row r="136" spans="1:26" s="24" customFormat="1" hidden="1" outlineLevel="1" x14ac:dyDescent="0.25">
      <c r="A136" s="44"/>
      <c r="B136" s="11" t="str">
        <f>CONCATENATE("          ", "5033", " - ", "PURCHASES @ COST-CANDY")</f>
        <v xml:space="preserve">          5033 - PURCHASES @ COST-CANDY</v>
      </c>
      <c r="C136" s="11"/>
      <c r="D136" s="2"/>
      <c r="E136" s="2"/>
      <c r="F136" s="19">
        <f t="shared" si="29"/>
        <v>0</v>
      </c>
      <c r="G136" s="2"/>
      <c r="H136" s="2">
        <v>1366.65</v>
      </c>
      <c r="I136" s="2"/>
      <c r="J136" s="19">
        <f t="shared" si="30"/>
        <v>9.710563394077134E-4</v>
      </c>
      <c r="K136" s="2"/>
      <c r="L136" s="2">
        <f t="shared" si="31"/>
        <v>-1366.65</v>
      </c>
      <c r="M136" s="2"/>
      <c r="N136" s="19">
        <f t="shared" si="32"/>
        <v>-1</v>
      </c>
      <c r="O136" s="11"/>
      <c r="P136" s="2"/>
      <c r="Q136" s="2"/>
      <c r="R136" s="19">
        <f t="shared" si="33"/>
        <v>0</v>
      </c>
      <c r="S136" s="2"/>
      <c r="T136" s="2">
        <v>2353.11</v>
      </c>
      <c r="U136" s="2"/>
      <c r="V136" s="19">
        <f t="shared" si="34"/>
        <v>4.4113797772018414E-4</v>
      </c>
      <c r="W136" s="2"/>
      <c r="X136" s="2">
        <f t="shared" si="35"/>
        <v>-2353.11</v>
      </c>
      <c r="Y136" s="2"/>
      <c r="Z136" s="19">
        <f t="shared" si="36"/>
        <v>-1</v>
      </c>
    </row>
    <row r="137" spans="1:26" s="24" customFormat="1" hidden="1" outlineLevel="1" x14ac:dyDescent="0.25">
      <c r="A137" s="44"/>
      <c r="B137" s="11" t="str">
        <f>CONCATENATE("          ", "5034", " - ", "PURCHASES @ COST-SODA")</f>
        <v xml:space="preserve">          5034 - PURCHASES @ COST-SODA</v>
      </c>
      <c r="C137" s="11"/>
      <c r="D137" s="2"/>
      <c r="E137" s="2"/>
      <c r="F137" s="19">
        <f t="shared" si="29"/>
        <v>0</v>
      </c>
      <c r="G137" s="2"/>
      <c r="H137" s="2">
        <v>330.04</v>
      </c>
      <c r="I137" s="2"/>
      <c r="J137" s="19">
        <f t="shared" si="30"/>
        <v>2.3450586050424157E-4</v>
      </c>
      <c r="K137" s="2"/>
      <c r="L137" s="2">
        <f t="shared" si="31"/>
        <v>-330.04</v>
      </c>
      <c r="M137" s="2"/>
      <c r="N137" s="19">
        <f t="shared" si="32"/>
        <v>-1</v>
      </c>
      <c r="O137" s="11"/>
      <c r="P137" s="2"/>
      <c r="Q137" s="2"/>
      <c r="R137" s="19">
        <f t="shared" si="33"/>
        <v>0</v>
      </c>
      <c r="S137" s="2"/>
      <c r="T137" s="2">
        <v>618.54</v>
      </c>
      <c r="U137" s="2"/>
      <c r="V137" s="19">
        <f t="shared" si="34"/>
        <v>1.1595781104115093E-4</v>
      </c>
      <c r="W137" s="2"/>
      <c r="X137" s="2">
        <f t="shared" si="35"/>
        <v>-618.54</v>
      </c>
      <c r="Y137" s="2"/>
      <c r="Z137" s="19">
        <f t="shared" si="36"/>
        <v>-1</v>
      </c>
    </row>
    <row r="138" spans="1:26" s="24" customFormat="1" hidden="1" outlineLevel="1" x14ac:dyDescent="0.25">
      <c r="A138" s="44"/>
      <c r="B138" s="11" t="str">
        <f>CONCATENATE("          ", "5035", " - ", "PURCHASES @ COST-HEALTH &amp; BEAU")</f>
        <v xml:space="preserve">          5035 - PURCHASES @ COST-HEALTH &amp; BEAU</v>
      </c>
      <c r="C138" s="11"/>
      <c r="D138" s="2"/>
      <c r="E138" s="2"/>
      <c r="F138" s="19">
        <f t="shared" si="29"/>
        <v>0</v>
      </c>
      <c r="G138" s="2"/>
      <c r="H138" s="2">
        <v>210.83</v>
      </c>
      <c r="I138" s="2"/>
      <c r="J138" s="19">
        <f t="shared" si="30"/>
        <v>1.4980266201099638E-4</v>
      </c>
      <c r="K138" s="2"/>
      <c r="L138" s="2">
        <f t="shared" si="31"/>
        <v>-210.83</v>
      </c>
      <c r="M138" s="2"/>
      <c r="N138" s="19">
        <f t="shared" si="32"/>
        <v>-1</v>
      </c>
      <c r="O138" s="11"/>
      <c r="P138" s="2"/>
      <c r="Q138" s="2"/>
      <c r="R138" s="19">
        <f t="shared" si="33"/>
        <v>0</v>
      </c>
      <c r="S138" s="2"/>
      <c r="T138" s="2">
        <v>287.56</v>
      </c>
      <c r="U138" s="2"/>
      <c r="V138" s="19">
        <f t="shared" si="34"/>
        <v>5.3908927705553992E-5</v>
      </c>
      <c r="W138" s="2"/>
      <c r="X138" s="2">
        <f t="shared" si="35"/>
        <v>-287.56</v>
      </c>
      <c r="Y138" s="2"/>
      <c r="Z138" s="19">
        <f t="shared" si="36"/>
        <v>-1</v>
      </c>
    </row>
    <row r="139" spans="1:26" s="24" customFormat="1" hidden="1" outlineLevel="1" x14ac:dyDescent="0.25">
      <c r="A139" s="44"/>
      <c r="B139" s="11" t="str">
        <f>CONCATENATE("          ", "5037", " - ", "PURCHASES @ COST-WATER")</f>
        <v xml:space="preserve">          5037 - PURCHASES @ COST-WATER</v>
      </c>
      <c r="C139" s="11"/>
      <c r="D139" s="2"/>
      <c r="E139" s="2"/>
      <c r="F139" s="19">
        <f t="shared" si="29"/>
        <v>0</v>
      </c>
      <c r="G139" s="2"/>
      <c r="H139" s="2">
        <v>896.64</v>
      </c>
      <c r="I139" s="2"/>
      <c r="J139" s="19">
        <f t="shared" si="30"/>
        <v>6.3709651788426593E-4</v>
      </c>
      <c r="K139" s="2"/>
      <c r="L139" s="2">
        <f t="shared" si="31"/>
        <v>-896.64</v>
      </c>
      <c r="M139" s="2"/>
      <c r="N139" s="19">
        <f t="shared" si="32"/>
        <v>-1</v>
      </c>
      <c r="O139" s="11"/>
      <c r="P139" s="2"/>
      <c r="Q139" s="2"/>
      <c r="R139" s="19">
        <f t="shared" si="33"/>
        <v>0</v>
      </c>
      <c r="S139" s="2"/>
      <c r="T139" s="2">
        <v>1392.58</v>
      </c>
      <c r="U139" s="2"/>
      <c r="V139" s="19">
        <f t="shared" si="34"/>
        <v>2.6106723655654603E-4</v>
      </c>
      <c r="W139" s="2"/>
      <c r="X139" s="2">
        <f t="shared" si="35"/>
        <v>-1392.58</v>
      </c>
      <c r="Y139" s="2"/>
      <c r="Z139" s="19">
        <f t="shared" si="36"/>
        <v>-1</v>
      </c>
    </row>
    <row r="140" spans="1:26" s="24" customFormat="1" hidden="1" outlineLevel="1" x14ac:dyDescent="0.25">
      <c r="A140" s="44"/>
      <c r="B140" s="11" t="str">
        <f>CONCATENATE("          ", "5040", " - ", "PURCHASES @ COST-LOGO CLOTHING")</f>
        <v xml:space="preserve">          5040 - PURCHASES @ COST-LOGO CLOTHING</v>
      </c>
      <c r="C140" s="11"/>
      <c r="D140" s="2">
        <v>4398.1499999999996</v>
      </c>
      <c r="E140" s="2"/>
      <c r="F140" s="19">
        <f t="shared" si="29"/>
        <v>6.9503946015954891E-3</v>
      </c>
      <c r="G140" s="2"/>
      <c r="H140" s="2">
        <v>150282.89000000001</v>
      </c>
      <c r="I140" s="2"/>
      <c r="J140" s="19">
        <f t="shared" si="30"/>
        <v>0.10678165809754661</v>
      </c>
      <c r="K140" s="2"/>
      <c r="L140" s="2">
        <f t="shared" si="31"/>
        <v>-145884.74000000002</v>
      </c>
      <c r="M140" s="2"/>
      <c r="N140" s="19">
        <f t="shared" si="32"/>
        <v>-0.97073419336026878</v>
      </c>
      <c r="O140" s="11"/>
      <c r="P140" s="2">
        <v>13750.05</v>
      </c>
      <c r="Q140" s="2"/>
      <c r="R140" s="19">
        <f t="shared" si="33"/>
        <v>4.3551599982409664E-3</v>
      </c>
      <c r="S140" s="2"/>
      <c r="T140" s="2">
        <v>335851.86000000004</v>
      </c>
      <c r="U140" s="2"/>
      <c r="V140" s="19">
        <f t="shared" si="34"/>
        <v>6.2962211853233557E-2</v>
      </c>
      <c r="W140" s="2"/>
      <c r="X140" s="2">
        <f t="shared" si="35"/>
        <v>-322101.81000000006</v>
      </c>
      <c r="Y140" s="2"/>
      <c r="Z140" s="19">
        <f t="shared" si="36"/>
        <v>-0.95905918162847159</v>
      </c>
    </row>
    <row r="141" spans="1:26" s="24" customFormat="1" hidden="1" outlineLevel="1" x14ac:dyDescent="0.25">
      <c r="A141" s="44"/>
      <c r="B141" s="11" t="str">
        <f>CONCATENATE("          ", "5041", " - ", "PURCHASES @ COST-LOGO GIFTS")</f>
        <v xml:space="preserve">          5041 - PURCHASES @ COST-LOGO GIFTS</v>
      </c>
      <c r="C141" s="11"/>
      <c r="D141" s="2">
        <v>868</v>
      </c>
      <c r="E141" s="2"/>
      <c r="F141" s="19">
        <f t="shared" si="29"/>
        <v>1.3717000361936006E-3</v>
      </c>
      <c r="G141" s="2"/>
      <c r="H141" s="2">
        <v>14167.32</v>
      </c>
      <c r="I141" s="2"/>
      <c r="J141" s="19">
        <f t="shared" si="30"/>
        <v>1.0066414881950526E-2</v>
      </c>
      <c r="K141" s="2"/>
      <c r="L141" s="2">
        <f t="shared" si="31"/>
        <v>-13299.32</v>
      </c>
      <c r="M141" s="2"/>
      <c r="N141" s="19">
        <f t="shared" si="32"/>
        <v>-0.93873223728976263</v>
      </c>
      <c r="O141" s="11"/>
      <c r="P141" s="2">
        <v>1997.54</v>
      </c>
      <c r="Q141" s="2"/>
      <c r="R141" s="19">
        <f t="shared" si="33"/>
        <v>6.3269633949594804E-4</v>
      </c>
      <c r="S141" s="2"/>
      <c r="T141" s="2">
        <v>42696.480000000003</v>
      </c>
      <c r="U141" s="2"/>
      <c r="V141" s="19">
        <f t="shared" si="34"/>
        <v>8.0043171985033808E-3</v>
      </c>
      <c r="W141" s="2"/>
      <c r="X141" s="2">
        <f t="shared" si="35"/>
        <v>-40698.94</v>
      </c>
      <c r="Y141" s="2"/>
      <c r="Z141" s="19">
        <f t="shared" si="36"/>
        <v>-0.95321534702626542</v>
      </c>
    </row>
    <row r="142" spans="1:26" s="24" customFormat="1" hidden="1" outlineLevel="1" x14ac:dyDescent="0.25">
      <c r="A142" s="44"/>
      <c r="B142" s="11" t="str">
        <f>CONCATENATE("          ", "5042", " - ", "PURCHASES @ COST-EVERYDAY GIFT")</f>
        <v xml:space="preserve">          5042 - PURCHASES @ COST-EVERYDAY GIFT</v>
      </c>
      <c r="C142" s="11"/>
      <c r="D142" s="2">
        <v>522</v>
      </c>
      <c r="E142" s="2"/>
      <c r="F142" s="19">
        <f t="shared" si="29"/>
        <v>8.2491638121320226E-4</v>
      </c>
      <c r="G142" s="2"/>
      <c r="H142" s="2">
        <v>11559.46</v>
      </c>
      <c r="I142" s="2"/>
      <c r="J142" s="19">
        <f t="shared" si="30"/>
        <v>8.2134320514615188E-3</v>
      </c>
      <c r="K142" s="2"/>
      <c r="L142" s="2">
        <f t="shared" si="31"/>
        <v>-11037.46</v>
      </c>
      <c r="M142" s="2"/>
      <c r="N142" s="19">
        <f t="shared" si="32"/>
        <v>-0.95484218120915687</v>
      </c>
      <c r="O142" s="11"/>
      <c r="P142" s="2">
        <v>1491.15</v>
      </c>
      <c r="Q142" s="2"/>
      <c r="R142" s="19">
        <f t="shared" si="33"/>
        <v>4.7230350663284991E-4</v>
      </c>
      <c r="S142" s="2"/>
      <c r="T142" s="2">
        <v>35291.68</v>
      </c>
      <c r="U142" s="2"/>
      <c r="V142" s="19">
        <f t="shared" si="34"/>
        <v>6.6161379389607236E-3</v>
      </c>
      <c r="W142" s="2"/>
      <c r="X142" s="2">
        <f t="shared" si="35"/>
        <v>-33800.53</v>
      </c>
      <c r="Y142" s="2"/>
      <c r="Z142" s="19">
        <f t="shared" si="36"/>
        <v>-0.9577478317835818</v>
      </c>
    </row>
    <row r="143" spans="1:26" s="24" customFormat="1" hidden="1" outlineLevel="1" x14ac:dyDescent="0.25">
      <c r="A143" s="44"/>
      <c r="B143" s="11" t="str">
        <f>CONCATENATE("          ", "5043", " - ", "PURCHASES @ COST-CARDS")</f>
        <v xml:space="preserve">          5043 - PURCHASES @ COST-CARDS</v>
      </c>
      <c r="C143" s="11"/>
      <c r="D143" s="2">
        <v>1401</v>
      </c>
      <c r="E143" s="2"/>
      <c r="F143" s="19">
        <f t="shared" si="29"/>
        <v>2.2139997127963531E-3</v>
      </c>
      <c r="G143" s="2"/>
      <c r="H143" s="2">
        <v>495.49</v>
      </c>
      <c r="I143" s="2"/>
      <c r="J143" s="19">
        <f t="shared" si="30"/>
        <v>3.520643219647517E-4</v>
      </c>
      <c r="K143" s="2"/>
      <c r="L143" s="2">
        <f t="shared" si="31"/>
        <v>905.51</v>
      </c>
      <c r="M143" s="2"/>
      <c r="N143" s="19">
        <f t="shared" si="32"/>
        <v>1.8275040868635088</v>
      </c>
      <c r="O143" s="11"/>
      <c r="P143" s="2">
        <v>3116.25</v>
      </c>
      <c r="Q143" s="2"/>
      <c r="R143" s="19">
        <f t="shared" si="33"/>
        <v>9.8703403584120882E-4</v>
      </c>
      <c r="S143" s="2"/>
      <c r="T143" s="2">
        <v>1008.99</v>
      </c>
      <c r="U143" s="2"/>
      <c r="V143" s="19">
        <f t="shared" si="34"/>
        <v>1.8915554654898775E-4</v>
      </c>
      <c r="W143" s="2"/>
      <c r="X143" s="2">
        <f t="shared" si="35"/>
        <v>2107.2600000000002</v>
      </c>
      <c r="Y143" s="2"/>
      <c r="Z143" s="19">
        <f t="shared" si="36"/>
        <v>2.0884845241280887</v>
      </c>
    </row>
    <row r="144" spans="1:26" s="24" customFormat="1" hidden="1" outlineLevel="1" x14ac:dyDescent="0.25">
      <c r="A144" s="44"/>
      <c r="B144" s="11" t="str">
        <f>CONCATENATE("          ", "5044", " - ", "PURCHASES @ COST-ACCESSORIES")</f>
        <v xml:space="preserve">          5044 - PURCHASES @ COST-ACCESSORIES</v>
      </c>
      <c r="C144" s="11"/>
      <c r="D144" s="2"/>
      <c r="E144" s="2"/>
      <c r="F144" s="19">
        <f t="shared" si="29"/>
        <v>0</v>
      </c>
      <c r="G144" s="2"/>
      <c r="H144" s="2">
        <v>2315.5300000000002</v>
      </c>
      <c r="I144" s="2"/>
      <c r="J144" s="19">
        <f t="shared" si="30"/>
        <v>1.6452713464228169E-3</v>
      </c>
      <c r="K144" s="2"/>
      <c r="L144" s="2">
        <f t="shared" si="31"/>
        <v>-2315.5300000000002</v>
      </c>
      <c r="M144" s="2"/>
      <c r="N144" s="19">
        <f t="shared" si="32"/>
        <v>-1</v>
      </c>
      <c r="O144" s="11"/>
      <c r="P144" s="2"/>
      <c r="Q144" s="2"/>
      <c r="R144" s="19">
        <f t="shared" si="33"/>
        <v>0</v>
      </c>
      <c r="S144" s="2"/>
      <c r="T144" s="2">
        <v>20403.649999999998</v>
      </c>
      <c r="U144" s="2"/>
      <c r="V144" s="19">
        <f t="shared" si="34"/>
        <v>3.8250761329093981E-3</v>
      </c>
      <c r="W144" s="2"/>
      <c r="X144" s="2">
        <f t="shared" si="35"/>
        <v>-20403.649999999998</v>
      </c>
      <c r="Y144" s="2"/>
      <c r="Z144" s="19">
        <f t="shared" si="36"/>
        <v>-1</v>
      </c>
    </row>
    <row r="145" spans="1:26" s="24" customFormat="1" hidden="1" outlineLevel="1" x14ac:dyDescent="0.25">
      <c r="A145" s="44"/>
      <c r="B145" s="11" t="str">
        <f>CONCATENATE("          ", "5045", " - ", "PURCHASES @ COST-SPECIAL ORDER")</f>
        <v xml:space="preserve">          5045 - PURCHASES @ COST-SPECIAL ORDER</v>
      </c>
      <c r="C145" s="11"/>
      <c r="D145" s="2">
        <v>52784.12</v>
      </c>
      <c r="E145" s="2"/>
      <c r="F145" s="19">
        <f t="shared" si="29"/>
        <v>8.3414722712496961E-2</v>
      </c>
      <c r="G145" s="2"/>
      <c r="H145" s="2">
        <v>4318.3999999999996</v>
      </c>
      <c r="I145" s="2"/>
      <c r="J145" s="19">
        <f t="shared" si="30"/>
        <v>3.0683859774618735E-3</v>
      </c>
      <c r="K145" s="2"/>
      <c r="L145" s="2">
        <f t="shared" si="31"/>
        <v>48465.72</v>
      </c>
      <c r="M145" s="2"/>
      <c r="N145" s="19">
        <f t="shared" si="32"/>
        <v>11.223073360503891</v>
      </c>
      <c r="O145" s="11"/>
      <c r="P145" s="2">
        <v>61174.290000000008</v>
      </c>
      <c r="Q145" s="2"/>
      <c r="R145" s="19">
        <f t="shared" si="33"/>
        <v>1.937620741224886E-2</v>
      </c>
      <c r="S145" s="2"/>
      <c r="T145" s="2">
        <v>24464.030000000002</v>
      </c>
      <c r="U145" s="2"/>
      <c r="V145" s="19">
        <f t="shared" si="34"/>
        <v>4.5862763411340388E-3</v>
      </c>
      <c r="W145" s="2"/>
      <c r="X145" s="2">
        <f t="shared" si="35"/>
        <v>36710.260000000009</v>
      </c>
      <c r="Y145" s="2"/>
      <c r="Z145" s="19">
        <f t="shared" si="36"/>
        <v>1.5005810571684226</v>
      </c>
    </row>
    <row r="146" spans="1:26" s="24" customFormat="1" hidden="1" outlineLevel="1" x14ac:dyDescent="0.25">
      <c r="A146" s="44"/>
      <c r="B146" s="11" t="str">
        <f>CONCATENATE("          ", "5081", " - ", "PURCHASES @ COST-ELECTRONICS")</f>
        <v xml:space="preserve">          5081 - PURCHASES @ COST-ELECTRONICS</v>
      </c>
      <c r="C146" s="11"/>
      <c r="D146" s="2">
        <v>8274.98</v>
      </c>
      <c r="E146" s="2"/>
      <c r="F146" s="19">
        <f t="shared" si="29"/>
        <v>1.3076947425692766E-2</v>
      </c>
      <c r="G146" s="2"/>
      <c r="H146" s="2">
        <v>66395.33</v>
      </c>
      <c r="I146" s="2"/>
      <c r="J146" s="19">
        <f t="shared" si="30"/>
        <v>4.7176384665837734E-2</v>
      </c>
      <c r="K146" s="2"/>
      <c r="L146" s="2">
        <f t="shared" si="31"/>
        <v>-58120.350000000006</v>
      </c>
      <c r="M146" s="2"/>
      <c r="N146" s="19">
        <f t="shared" si="32"/>
        <v>-0.87536804169811344</v>
      </c>
      <c r="O146" s="11"/>
      <c r="P146" s="2">
        <v>15697.449999999999</v>
      </c>
      <c r="Q146" s="2"/>
      <c r="R146" s="19">
        <f t="shared" si="33"/>
        <v>4.9719751065914423E-3</v>
      </c>
      <c r="S146" s="2"/>
      <c r="T146" s="2">
        <v>150158.17000000001</v>
      </c>
      <c r="U146" s="2"/>
      <c r="V146" s="19">
        <f t="shared" si="34"/>
        <v>2.8150180591627091E-2</v>
      </c>
      <c r="W146" s="2"/>
      <c r="X146" s="2">
        <f t="shared" si="35"/>
        <v>-134460.72</v>
      </c>
      <c r="Y146" s="2"/>
      <c r="Z146" s="19">
        <f t="shared" si="36"/>
        <v>-0.89546056668112028</v>
      </c>
    </row>
    <row r="147" spans="1:26" s="24" customFormat="1" hidden="1" outlineLevel="1" x14ac:dyDescent="0.25">
      <c r="A147" s="44"/>
      <c r="B147" s="11" t="str">
        <f>CONCATENATE("          ", "5082", " - ", "PURCHASES @ COST-COMPUTER HARD")</f>
        <v xml:space="preserve">          5082 - PURCHASES @ COST-COMPUTER HARD</v>
      </c>
      <c r="C147" s="11"/>
      <c r="D147" s="2">
        <v>470149.41</v>
      </c>
      <c r="E147" s="2"/>
      <c r="F147" s="19">
        <f t="shared" si="29"/>
        <v>0.74297691556843315</v>
      </c>
      <c r="G147" s="2"/>
      <c r="H147" s="2">
        <v>127439.07</v>
      </c>
      <c r="I147" s="2"/>
      <c r="J147" s="19">
        <f t="shared" si="30"/>
        <v>9.0550262914223356E-2</v>
      </c>
      <c r="K147" s="2"/>
      <c r="L147" s="2">
        <f t="shared" si="31"/>
        <v>342710.33999999997</v>
      </c>
      <c r="M147" s="2"/>
      <c r="N147" s="19">
        <f t="shared" si="32"/>
        <v>2.6892093609910992</v>
      </c>
      <c r="O147" s="11"/>
      <c r="P147" s="2">
        <v>713373.21</v>
      </c>
      <c r="Q147" s="2"/>
      <c r="R147" s="19">
        <f t="shared" si="33"/>
        <v>0.22595223057434355</v>
      </c>
      <c r="S147" s="2"/>
      <c r="T147" s="2">
        <v>801192.57</v>
      </c>
      <c r="U147" s="2"/>
      <c r="V147" s="19">
        <f t="shared" si="34"/>
        <v>0.15019972295992837</v>
      </c>
      <c r="W147" s="2"/>
      <c r="X147" s="2">
        <f t="shared" si="35"/>
        <v>-87819.359999999986</v>
      </c>
      <c r="Y147" s="2"/>
      <c r="Z147" s="19">
        <f t="shared" si="36"/>
        <v>-0.10961080180761036</v>
      </c>
    </row>
    <row r="148" spans="1:26" s="24" customFormat="1" hidden="1" outlineLevel="1" x14ac:dyDescent="0.25">
      <c r="A148" s="44"/>
      <c r="B148" s="11" t="str">
        <f>CONCATENATE("          ", "5083", " - ", "PURCHASES @ COST-COMPUTER EQUI")</f>
        <v xml:space="preserve">          5083 - PURCHASES @ COST-COMPUTER EQUI</v>
      </c>
      <c r="C148" s="11"/>
      <c r="D148" s="2">
        <v>24155.15</v>
      </c>
      <c r="E148" s="2"/>
      <c r="F148" s="19">
        <f t="shared" si="29"/>
        <v>3.8172373420808592E-2</v>
      </c>
      <c r="G148" s="2"/>
      <c r="H148" s="2">
        <v>10594.52</v>
      </c>
      <c r="I148" s="2"/>
      <c r="J148" s="19">
        <f t="shared" si="30"/>
        <v>7.5278058090819215E-3</v>
      </c>
      <c r="K148" s="2"/>
      <c r="L148" s="2">
        <f t="shared" si="31"/>
        <v>13560.630000000001</v>
      </c>
      <c r="M148" s="2"/>
      <c r="N148" s="19">
        <f t="shared" si="32"/>
        <v>1.2799664354779641</v>
      </c>
      <c r="O148" s="11"/>
      <c r="P148" s="2">
        <v>61434</v>
      </c>
      <c r="Q148" s="2"/>
      <c r="R148" s="19">
        <f t="shared" si="33"/>
        <v>1.9458467375168494E-2</v>
      </c>
      <c r="S148" s="2"/>
      <c r="T148" s="2">
        <v>27868.41</v>
      </c>
      <c r="U148" s="2"/>
      <c r="V148" s="19">
        <f t="shared" si="34"/>
        <v>5.2244961050171715E-3</v>
      </c>
      <c r="W148" s="2"/>
      <c r="X148" s="2">
        <f t="shared" si="35"/>
        <v>33565.589999999997</v>
      </c>
      <c r="Y148" s="2"/>
      <c r="Z148" s="19">
        <f t="shared" si="36"/>
        <v>1.2044314691796194</v>
      </c>
    </row>
    <row r="149" spans="1:26" s="24" customFormat="1" hidden="1" outlineLevel="1" x14ac:dyDescent="0.25">
      <c r="A149" s="44"/>
      <c r="B149" s="11" t="str">
        <f>CONCATENATE("          ", "5084", " - ", "PURCHASES @ COST-SOFTWARE LICE")</f>
        <v xml:space="preserve">          5084 - PURCHASES @ COST-SOFTWARE LICE</v>
      </c>
      <c r="C149" s="11"/>
      <c r="D149" s="2"/>
      <c r="E149" s="2"/>
      <c r="F149" s="19">
        <f t="shared" si="29"/>
        <v>0</v>
      </c>
      <c r="G149" s="2"/>
      <c r="H149" s="2"/>
      <c r="I149" s="2"/>
      <c r="J149" s="19">
        <f t="shared" si="30"/>
        <v>0</v>
      </c>
      <c r="K149" s="2"/>
      <c r="L149" s="2">
        <f t="shared" si="31"/>
        <v>0</v>
      </c>
      <c r="M149" s="2"/>
      <c r="N149" s="19">
        <f t="shared" si="32"/>
        <v>0</v>
      </c>
      <c r="O149" s="11"/>
      <c r="P149" s="2"/>
      <c r="Q149" s="2"/>
      <c r="R149" s="19">
        <f t="shared" si="33"/>
        <v>0</v>
      </c>
      <c r="S149" s="2"/>
      <c r="T149" s="2">
        <v>1522</v>
      </c>
      <c r="U149" s="2"/>
      <c r="V149" s="19">
        <f t="shared" si="34"/>
        <v>2.8532962848745714E-4</v>
      </c>
      <c r="W149" s="2"/>
      <c r="X149" s="2">
        <f t="shared" si="35"/>
        <v>-1522</v>
      </c>
      <c r="Y149" s="2"/>
      <c r="Z149" s="19">
        <f t="shared" si="36"/>
        <v>-1</v>
      </c>
    </row>
    <row r="150" spans="1:26" s="24" customFormat="1" hidden="1" outlineLevel="1" x14ac:dyDescent="0.25">
      <c r="A150" s="44"/>
      <c r="B150" s="11" t="str">
        <f>CONCATENATE("          ", "5085", " - ", "PURCHASES @ COST-SOFTWARE")</f>
        <v xml:space="preserve">          5085 - PURCHASES @ COST-SOFTWARE</v>
      </c>
      <c r="C150" s="11"/>
      <c r="D150" s="2">
        <v>8609.1200000000008</v>
      </c>
      <c r="E150" s="2"/>
      <c r="F150" s="19">
        <f t="shared" si="29"/>
        <v>1.360498872764407E-2</v>
      </c>
      <c r="G150" s="2"/>
      <c r="H150" s="2">
        <v>3058</v>
      </c>
      <c r="I150" s="2"/>
      <c r="J150" s="19">
        <f t="shared" si="30"/>
        <v>2.1728242680340887E-3</v>
      </c>
      <c r="K150" s="2"/>
      <c r="L150" s="2">
        <f t="shared" si="31"/>
        <v>5551.1200000000008</v>
      </c>
      <c r="M150" s="2"/>
      <c r="N150" s="19">
        <f t="shared" si="32"/>
        <v>1.8152779594506216</v>
      </c>
      <c r="O150" s="11"/>
      <c r="P150" s="2">
        <v>14837.68</v>
      </c>
      <c r="Q150" s="2"/>
      <c r="R150" s="19">
        <f t="shared" si="33"/>
        <v>4.6996534850927835E-3</v>
      </c>
      <c r="S150" s="2"/>
      <c r="T150" s="2">
        <v>6426</v>
      </c>
      <c r="U150" s="2"/>
      <c r="V150" s="19">
        <f t="shared" si="34"/>
        <v>1.2046834380160312E-3</v>
      </c>
      <c r="W150" s="2"/>
      <c r="X150" s="2">
        <f t="shared" si="35"/>
        <v>8411.68</v>
      </c>
      <c r="Y150" s="2"/>
      <c r="Z150" s="19">
        <f t="shared" si="36"/>
        <v>1.3090071584189231</v>
      </c>
    </row>
    <row r="151" spans="1:26" s="24" customFormat="1" hidden="1" outlineLevel="1" x14ac:dyDescent="0.25">
      <c r="A151" s="44"/>
      <c r="B151" s="11" t="str">
        <f>CONCATENATE("          ", "5086", " - ", "PURCHASES @ COST-COMPUTER SUPP")</f>
        <v xml:space="preserve">          5086 - PURCHASES @ COST-COMPUTER SUPP</v>
      </c>
      <c r="C151" s="11"/>
      <c r="D151" s="2">
        <v>18.760000000000002</v>
      </c>
      <c r="E151" s="2"/>
      <c r="F151" s="19">
        <f t="shared" si="29"/>
        <v>2.9646420137087501E-5</v>
      </c>
      <c r="G151" s="2"/>
      <c r="H151" s="2">
        <v>6301.87</v>
      </c>
      <c r="I151" s="2"/>
      <c r="J151" s="19">
        <f t="shared" si="30"/>
        <v>4.4777161772387129E-3</v>
      </c>
      <c r="K151" s="2"/>
      <c r="L151" s="2">
        <f t="shared" si="31"/>
        <v>-6283.11</v>
      </c>
      <c r="M151" s="2"/>
      <c r="N151" s="19">
        <f t="shared" si="32"/>
        <v>-0.99702310584001252</v>
      </c>
      <c r="O151" s="11"/>
      <c r="P151" s="2">
        <v>21755.969999999998</v>
      </c>
      <c r="Q151" s="2"/>
      <c r="R151" s="19">
        <f t="shared" si="33"/>
        <v>6.8909371432780619E-3</v>
      </c>
      <c r="S151" s="2"/>
      <c r="T151" s="2">
        <v>12566.75</v>
      </c>
      <c r="U151" s="2"/>
      <c r="V151" s="19">
        <f t="shared" si="34"/>
        <v>2.3558910044643574E-3</v>
      </c>
      <c r="W151" s="2"/>
      <c r="X151" s="2">
        <f t="shared" si="35"/>
        <v>9189.2199999999975</v>
      </c>
      <c r="Y151" s="2"/>
      <c r="Z151" s="19">
        <f t="shared" si="36"/>
        <v>0.73123281675850937</v>
      </c>
    </row>
    <row r="152" spans="1:26" s="24" customFormat="1" hidden="1" outlineLevel="1" x14ac:dyDescent="0.25">
      <c r="A152" s="44"/>
      <c r="B152" s="11" t="str">
        <f>CONCATENATE("          ", "5088", " - ", "PURCHASES @ COST-MUSIC")</f>
        <v xml:space="preserve">          5088 - PURCHASES @ COST-MUSIC</v>
      </c>
      <c r="C152" s="11"/>
      <c r="D152" s="2"/>
      <c r="E152" s="2"/>
      <c r="F152" s="19">
        <f t="shared" si="29"/>
        <v>0</v>
      </c>
      <c r="G152" s="2"/>
      <c r="H152" s="2">
        <v>6.75</v>
      </c>
      <c r="I152" s="2"/>
      <c r="J152" s="19">
        <f t="shared" si="30"/>
        <v>4.7961294340189993E-6</v>
      </c>
      <c r="K152" s="2"/>
      <c r="L152" s="2">
        <f t="shared" si="31"/>
        <v>-6.75</v>
      </c>
      <c r="M152" s="2"/>
      <c r="N152" s="19">
        <f t="shared" si="32"/>
        <v>-1</v>
      </c>
      <c r="O152" s="11"/>
      <c r="P152" s="2"/>
      <c r="Q152" s="2"/>
      <c r="R152" s="19">
        <f t="shared" si="33"/>
        <v>0</v>
      </c>
      <c r="S152" s="2"/>
      <c r="T152" s="2">
        <v>88.75</v>
      </c>
      <c r="U152" s="2"/>
      <c r="V152" s="19">
        <f t="shared" si="34"/>
        <v>1.6637979322116833E-5</v>
      </c>
      <c r="W152" s="2"/>
      <c r="X152" s="2">
        <f t="shared" si="35"/>
        <v>-88.75</v>
      </c>
      <c r="Y152" s="2"/>
      <c r="Z152" s="19">
        <f t="shared" si="36"/>
        <v>-1</v>
      </c>
    </row>
    <row r="153" spans="1:26" s="24" customFormat="1" hidden="1" outlineLevel="1" x14ac:dyDescent="0.25">
      <c r="A153" s="44"/>
      <c r="B153" s="11" t="str">
        <f>CONCATENATE("          ", "5092", " - ", "PURCHASES @ COST-GRAD MERCH")</f>
        <v xml:space="preserve">          5092 - PURCHASES @ COST-GRAD MERCH</v>
      </c>
      <c r="C153" s="11"/>
      <c r="D153" s="2"/>
      <c r="E153" s="2"/>
      <c r="F153" s="19">
        <f t="shared" si="29"/>
        <v>0</v>
      </c>
      <c r="G153" s="2"/>
      <c r="H153" s="2">
        <v>-628</v>
      </c>
      <c r="I153" s="2"/>
      <c r="J153" s="19">
        <f t="shared" si="30"/>
        <v>-4.4621767178724909E-4</v>
      </c>
      <c r="K153" s="2"/>
      <c r="L153" s="2">
        <f t="shared" si="31"/>
        <v>628</v>
      </c>
      <c r="M153" s="2"/>
      <c r="N153" s="19">
        <f t="shared" si="32"/>
        <v>-1</v>
      </c>
      <c r="O153" s="11"/>
      <c r="P153" s="2"/>
      <c r="Q153" s="2"/>
      <c r="R153" s="19">
        <f t="shared" si="33"/>
        <v>0</v>
      </c>
      <c r="S153" s="2"/>
      <c r="T153" s="2">
        <v>0</v>
      </c>
      <c r="U153" s="2"/>
      <c r="V153" s="19">
        <f t="shared" si="34"/>
        <v>0</v>
      </c>
      <c r="W153" s="2"/>
      <c r="X153" s="2">
        <f t="shared" si="35"/>
        <v>0</v>
      </c>
      <c r="Y153" s="2"/>
      <c r="Z153" s="19">
        <f t="shared" si="36"/>
        <v>0</v>
      </c>
    </row>
    <row r="154" spans="1:26" s="24" customFormat="1" hidden="1" outlineLevel="1" x14ac:dyDescent="0.25">
      <c r="A154" s="44"/>
      <c r="B154" s="11" t="str">
        <f>CONCATENATE("          ", "5095", " - ", "PURCHASES @ COST-CUSTOMER SERV")</f>
        <v xml:space="preserve">          5095 - PURCHASES @ COST-CUSTOMER SERV</v>
      </c>
      <c r="C154" s="11"/>
      <c r="D154" s="2"/>
      <c r="E154" s="2"/>
      <c r="F154" s="19">
        <f t="shared" si="29"/>
        <v>0</v>
      </c>
      <c r="G154" s="2"/>
      <c r="H154" s="2"/>
      <c r="I154" s="2"/>
      <c r="J154" s="19">
        <f t="shared" si="30"/>
        <v>0</v>
      </c>
      <c r="K154" s="2"/>
      <c r="L154" s="2">
        <f t="shared" si="31"/>
        <v>0</v>
      </c>
      <c r="M154" s="2"/>
      <c r="N154" s="19">
        <f t="shared" si="32"/>
        <v>0</v>
      </c>
      <c r="O154" s="11"/>
      <c r="P154" s="2"/>
      <c r="Q154" s="2"/>
      <c r="R154" s="19">
        <f t="shared" si="33"/>
        <v>0</v>
      </c>
      <c r="S154" s="2"/>
      <c r="T154" s="2">
        <v>0</v>
      </c>
      <c r="U154" s="2"/>
      <c r="V154" s="19">
        <f t="shared" si="34"/>
        <v>0</v>
      </c>
      <c r="W154" s="2"/>
      <c r="X154" s="2">
        <f t="shared" si="35"/>
        <v>0</v>
      </c>
      <c r="Y154" s="2"/>
      <c r="Z154" s="19">
        <f t="shared" si="36"/>
        <v>0</v>
      </c>
    </row>
    <row r="155" spans="1:26" s="24" customFormat="1" hidden="1" outlineLevel="1" x14ac:dyDescent="0.25">
      <c r="A155" s="44"/>
      <c r="B155" s="11" t="str">
        <f>CONCATENATE("          ", "5200", " - ", "PURCHASES OFFSET")</f>
        <v xml:space="preserve">          5200 - PURCHASES OFFSET</v>
      </c>
      <c r="C155" s="11"/>
      <c r="D155" s="2">
        <v>-1333358.52</v>
      </c>
      <c r="E155" s="2"/>
      <c r="F155" s="19">
        <f t="shared" si="29"/>
        <v>-2.1071059103030483</v>
      </c>
      <c r="G155" s="2"/>
      <c r="H155" s="2">
        <v>-493649</v>
      </c>
      <c r="I155" s="2"/>
      <c r="J155" s="19">
        <f t="shared" si="30"/>
        <v>-0.35075622207022888</v>
      </c>
      <c r="K155" s="2"/>
      <c r="L155" s="2">
        <f t="shared" si="31"/>
        <v>-839709.52</v>
      </c>
      <c r="M155" s="2"/>
      <c r="N155" s="19">
        <f t="shared" si="32"/>
        <v>1.7010254654623023</v>
      </c>
      <c r="O155" s="11"/>
      <c r="P155" s="2">
        <v>-2362293.5</v>
      </c>
      <c r="Q155" s="2"/>
      <c r="R155" s="19">
        <f t="shared" si="33"/>
        <v>-0.74822754501290156</v>
      </c>
      <c r="S155" s="2"/>
      <c r="T155" s="2">
        <v>-3635482</v>
      </c>
      <c r="U155" s="2"/>
      <c r="V155" s="19">
        <f t="shared" si="34"/>
        <v>-0.68154449962735719</v>
      </c>
      <c r="W155" s="2"/>
      <c r="X155" s="2">
        <f t="shared" si="35"/>
        <v>1273188.5</v>
      </c>
      <c r="Y155" s="2"/>
      <c r="Z155" s="19">
        <f t="shared" si="36"/>
        <v>-0.35021174633789964</v>
      </c>
    </row>
    <row r="156" spans="1:26" s="24" customFormat="1" hidden="1" outlineLevel="1" x14ac:dyDescent="0.25">
      <c r="A156" s="44"/>
      <c r="B156" s="11" t="str">
        <f>CONCATENATE("          ", "5300", " - ", "COG$ OFFSET")</f>
        <v xml:space="preserve">          5300 - COG$ OFFSET</v>
      </c>
      <c r="C156" s="11"/>
      <c r="D156" s="2">
        <v>466553</v>
      </c>
      <c r="E156" s="2"/>
      <c r="F156" s="19">
        <f t="shared" si="29"/>
        <v>0.73729351035280299</v>
      </c>
      <c r="G156" s="2"/>
      <c r="H156" s="2">
        <v>777079</v>
      </c>
      <c r="I156" s="2"/>
      <c r="J156" s="19">
        <f t="shared" si="30"/>
        <v>0.55214392066045181</v>
      </c>
      <c r="K156" s="2"/>
      <c r="L156" s="2">
        <f t="shared" si="31"/>
        <v>-310526</v>
      </c>
      <c r="M156" s="2"/>
      <c r="N156" s="19">
        <f t="shared" si="32"/>
        <v>-0.39960673239142996</v>
      </c>
      <c r="O156" s="11"/>
      <c r="P156" s="2">
        <v>2035029.9999999998</v>
      </c>
      <c r="Q156" s="2"/>
      <c r="R156" s="19">
        <f t="shared" si="33"/>
        <v>0.64457083801297543</v>
      </c>
      <c r="S156" s="2"/>
      <c r="T156" s="2">
        <v>3003907</v>
      </c>
      <c r="U156" s="2"/>
      <c r="V156" s="19">
        <f t="shared" si="34"/>
        <v>0.56314301466548744</v>
      </c>
      <c r="W156" s="2"/>
      <c r="X156" s="2">
        <f t="shared" si="35"/>
        <v>-968877.00000000023</v>
      </c>
      <c r="Y156" s="2"/>
      <c r="Z156" s="19">
        <f t="shared" si="36"/>
        <v>-0.32253894677831246</v>
      </c>
    </row>
    <row r="157" spans="1:26" s="24" customFormat="1" hidden="1" outlineLevel="1" x14ac:dyDescent="0.25">
      <c r="A157" s="44"/>
      <c r="B157" s="11" t="str">
        <f>CONCATENATE("          ", "5500", " - ", "FREIGHT-IN")</f>
        <v xml:space="preserve">          5500 - FREIGHT-IN</v>
      </c>
      <c r="C157" s="11"/>
      <c r="D157" s="2"/>
      <c r="E157" s="2"/>
      <c r="F157" s="19">
        <f t="shared" si="29"/>
        <v>0</v>
      </c>
      <c r="G157" s="2"/>
      <c r="H157" s="2">
        <v>-49</v>
      </c>
      <c r="I157" s="2"/>
      <c r="J157" s="19">
        <f t="shared" si="30"/>
        <v>-3.4816347002508291E-5</v>
      </c>
      <c r="K157" s="2"/>
      <c r="L157" s="2">
        <f t="shared" si="31"/>
        <v>49</v>
      </c>
      <c r="M157" s="2"/>
      <c r="N157" s="19">
        <f t="shared" si="32"/>
        <v>-1</v>
      </c>
      <c r="O157" s="11"/>
      <c r="P157" s="2"/>
      <c r="Q157" s="2"/>
      <c r="R157" s="19">
        <f t="shared" si="33"/>
        <v>0</v>
      </c>
      <c r="S157" s="2"/>
      <c r="T157" s="2">
        <v>0</v>
      </c>
      <c r="U157" s="2"/>
      <c r="V157" s="19">
        <f t="shared" si="34"/>
        <v>0</v>
      </c>
      <c r="W157" s="2"/>
      <c r="X157" s="2">
        <f t="shared" si="35"/>
        <v>0</v>
      </c>
      <c r="Y157" s="2"/>
      <c r="Z157" s="19">
        <f t="shared" si="36"/>
        <v>0</v>
      </c>
    </row>
    <row r="158" spans="1:26" s="24" customFormat="1" hidden="1" outlineLevel="1" x14ac:dyDescent="0.25">
      <c r="A158" s="44"/>
      <c r="B158" s="11" t="str">
        <f>CONCATENATE("          ", "5501", " - ", "FREIGHT-IN-NEW TEXT")</f>
        <v xml:space="preserve">          5501 - FREIGHT-IN-NEW TEXT</v>
      </c>
      <c r="C158" s="11"/>
      <c r="D158" s="2">
        <v>5279.6</v>
      </c>
      <c r="E158" s="2"/>
      <c r="F158" s="19">
        <f t="shared" si="29"/>
        <v>8.3433496671517678E-3</v>
      </c>
      <c r="G158" s="2"/>
      <c r="H158" s="2">
        <v>13859.22</v>
      </c>
      <c r="I158" s="2"/>
      <c r="J158" s="19">
        <f t="shared" si="30"/>
        <v>9.8474982184510798E-3</v>
      </c>
      <c r="K158" s="2"/>
      <c r="L158" s="2">
        <f t="shared" si="31"/>
        <v>-8579.619999999999</v>
      </c>
      <c r="M158" s="2"/>
      <c r="N158" s="19">
        <f t="shared" si="32"/>
        <v>-0.61905504061556127</v>
      </c>
      <c r="O158" s="11"/>
      <c r="P158" s="2">
        <v>10762.88</v>
      </c>
      <c r="Q158" s="2"/>
      <c r="R158" s="19">
        <f t="shared" si="33"/>
        <v>3.4090104720977546E-3</v>
      </c>
      <c r="S158" s="2"/>
      <c r="T158" s="2">
        <v>26583.46</v>
      </c>
      <c r="U158" s="2"/>
      <c r="V158" s="19">
        <f t="shared" si="34"/>
        <v>4.9836062849613512E-3</v>
      </c>
      <c r="W158" s="2"/>
      <c r="X158" s="2">
        <f t="shared" si="35"/>
        <v>-15820.58</v>
      </c>
      <c r="Y158" s="2"/>
      <c r="Z158" s="19">
        <f t="shared" si="36"/>
        <v>-0.595128700327196</v>
      </c>
    </row>
    <row r="159" spans="1:26" s="24" customFormat="1" hidden="1" outlineLevel="1" x14ac:dyDescent="0.25">
      <c r="A159" s="44"/>
      <c r="B159" s="11" t="str">
        <f>CONCATENATE("          ", "5502", " - ", "FREIGHT-IN-USED TEXT")</f>
        <v xml:space="preserve">          5502 - FREIGHT-IN-USED TEXT</v>
      </c>
      <c r="C159" s="11"/>
      <c r="D159" s="2">
        <v>7276.27</v>
      </c>
      <c r="E159" s="2"/>
      <c r="F159" s="19">
        <f t="shared" si="29"/>
        <v>1.1498686431283885E-2</v>
      </c>
      <c r="G159" s="2"/>
      <c r="H159" s="2">
        <v>1998.66</v>
      </c>
      <c r="I159" s="2"/>
      <c r="J159" s="19">
        <f t="shared" si="30"/>
        <v>1.4201232673476168E-3</v>
      </c>
      <c r="K159" s="2"/>
      <c r="L159" s="2">
        <f t="shared" si="31"/>
        <v>5277.6100000000006</v>
      </c>
      <c r="M159" s="2"/>
      <c r="N159" s="19">
        <f t="shared" si="32"/>
        <v>2.6405741847037518</v>
      </c>
      <c r="O159" s="11"/>
      <c r="P159" s="2">
        <v>8510.82</v>
      </c>
      <c r="Q159" s="2"/>
      <c r="R159" s="19">
        <f t="shared" si="33"/>
        <v>2.6956980386419818E-3</v>
      </c>
      <c r="S159" s="2"/>
      <c r="T159" s="2">
        <v>6261.17</v>
      </c>
      <c r="U159" s="2"/>
      <c r="V159" s="19">
        <f t="shared" si="34"/>
        <v>1.1737827266733324E-3</v>
      </c>
      <c r="W159" s="2"/>
      <c r="X159" s="2">
        <f t="shared" si="35"/>
        <v>2249.6499999999996</v>
      </c>
      <c r="Y159" s="2"/>
      <c r="Z159" s="19">
        <f t="shared" si="36"/>
        <v>0.35930185572345097</v>
      </c>
    </row>
    <row r="160" spans="1:26" s="24" customFormat="1" hidden="1" outlineLevel="1" x14ac:dyDescent="0.25">
      <c r="A160" s="44"/>
      <c r="B160" s="11" t="str">
        <f>CONCATENATE("          ", "5504", " - ", "FREIGHT-IN-DIGITAL TEXT")</f>
        <v xml:space="preserve">          5504 - FREIGHT-IN-DIGITAL TEXT</v>
      </c>
      <c r="C160" s="11"/>
      <c r="D160" s="2">
        <v>10.99</v>
      </c>
      <c r="E160" s="2"/>
      <c r="F160" s="19">
        <f t="shared" si="29"/>
        <v>1.7367492393741559E-5</v>
      </c>
      <c r="G160" s="2"/>
      <c r="H160" s="2"/>
      <c r="I160" s="2"/>
      <c r="J160" s="19">
        <f t="shared" si="30"/>
        <v>0</v>
      </c>
      <c r="K160" s="2"/>
      <c r="L160" s="2">
        <f t="shared" si="31"/>
        <v>10.99</v>
      </c>
      <c r="M160" s="2"/>
      <c r="N160" s="19">
        <f t="shared" si="32"/>
        <v>0</v>
      </c>
      <c r="O160" s="11"/>
      <c r="P160" s="2">
        <v>10.99</v>
      </c>
      <c r="Q160" s="2"/>
      <c r="R160" s="19">
        <f t="shared" si="33"/>
        <v>3.4809479515105927E-6</v>
      </c>
      <c r="S160" s="2"/>
      <c r="T160" s="2">
        <v>7.03</v>
      </c>
      <c r="U160" s="2"/>
      <c r="V160" s="19">
        <f t="shared" si="34"/>
        <v>1.3179154325011983E-6</v>
      </c>
      <c r="W160" s="2"/>
      <c r="X160" s="2">
        <f t="shared" si="35"/>
        <v>3.96</v>
      </c>
      <c r="Y160" s="2"/>
      <c r="Z160" s="19">
        <f t="shared" si="36"/>
        <v>0.56330014224751068</v>
      </c>
    </row>
    <row r="161" spans="1:26" s="24" customFormat="1" hidden="1" outlineLevel="1" x14ac:dyDescent="0.25">
      <c r="A161" s="44"/>
      <c r="B161" s="11" t="str">
        <f>CONCATENATE("          ", "5526", " - ", "FREIGHT-IN-WRITING INSTRUMENTS")</f>
        <v xml:space="preserve">          5526 - FREIGHT-IN-WRITING INSTRUMENTS</v>
      </c>
      <c r="C161" s="11"/>
      <c r="D161" s="2"/>
      <c r="E161" s="2"/>
      <c r="F161" s="19">
        <f t="shared" si="29"/>
        <v>0</v>
      </c>
      <c r="G161" s="2"/>
      <c r="H161" s="2"/>
      <c r="I161" s="2"/>
      <c r="J161" s="19">
        <f t="shared" si="30"/>
        <v>0</v>
      </c>
      <c r="K161" s="2"/>
      <c r="L161" s="2">
        <f t="shared" si="31"/>
        <v>0</v>
      </c>
      <c r="M161" s="2"/>
      <c r="N161" s="19">
        <f t="shared" si="32"/>
        <v>0</v>
      </c>
      <c r="O161" s="11"/>
      <c r="P161" s="2"/>
      <c r="Q161" s="2"/>
      <c r="R161" s="19">
        <f t="shared" si="33"/>
        <v>0</v>
      </c>
      <c r="S161" s="2"/>
      <c r="T161" s="2">
        <v>56.57</v>
      </c>
      <c r="U161" s="2"/>
      <c r="V161" s="19">
        <f t="shared" si="34"/>
        <v>1.0605188622559428E-5</v>
      </c>
      <c r="W161" s="2"/>
      <c r="X161" s="2">
        <f t="shared" si="35"/>
        <v>-56.57</v>
      </c>
      <c r="Y161" s="2"/>
      <c r="Z161" s="19">
        <f t="shared" si="36"/>
        <v>-1</v>
      </c>
    </row>
    <row r="162" spans="1:26" s="24" customFormat="1" hidden="1" outlineLevel="1" x14ac:dyDescent="0.25">
      <c r="A162" s="44"/>
      <c r="B162" s="11" t="str">
        <f>CONCATENATE("          ", "5527", " - ", "FREIGHT-IN-SCHOOL SUPPLIES")</f>
        <v xml:space="preserve">          5527 - FREIGHT-IN-SCHOOL SUPPLIES</v>
      </c>
      <c r="C162" s="11"/>
      <c r="D162" s="2"/>
      <c r="E162" s="2"/>
      <c r="F162" s="19">
        <f t="shared" si="29"/>
        <v>0</v>
      </c>
      <c r="G162" s="2"/>
      <c r="H162" s="2">
        <v>133.38999999999999</v>
      </c>
      <c r="I162" s="2"/>
      <c r="J162" s="19">
        <f t="shared" si="30"/>
        <v>9.4778622993154697E-5</v>
      </c>
      <c r="K162" s="2"/>
      <c r="L162" s="2">
        <f t="shared" si="31"/>
        <v>-133.38999999999999</v>
      </c>
      <c r="M162" s="2"/>
      <c r="N162" s="19">
        <f t="shared" si="32"/>
        <v>-1</v>
      </c>
      <c r="O162" s="11"/>
      <c r="P162" s="2"/>
      <c r="Q162" s="2"/>
      <c r="R162" s="19">
        <f t="shared" si="33"/>
        <v>0</v>
      </c>
      <c r="S162" s="2"/>
      <c r="T162" s="2">
        <v>393.9</v>
      </c>
      <c r="U162" s="2"/>
      <c r="V162" s="19">
        <f t="shared" si="34"/>
        <v>7.3844507661766987E-5</v>
      </c>
      <c r="W162" s="2"/>
      <c r="X162" s="2">
        <f t="shared" si="35"/>
        <v>-393.9</v>
      </c>
      <c r="Y162" s="2"/>
      <c r="Z162" s="19">
        <f t="shared" si="36"/>
        <v>-1</v>
      </c>
    </row>
    <row r="163" spans="1:26" s="24" customFormat="1" hidden="1" outlineLevel="1" x14ac:dyDescent="0.25">
      <c r="A163" s="44"/>
      <c r="B163" s="11" t="str">
        <f>CONCATENATE("          ", "5528", " - ", "FREIGHT-IN-ART/TECH")</f>
        <v xml:space="preserve">          5528 - FREIGHT-IN-ART/TECH</v>
      </c>
      <c r="C163" s="11"/>
      <c r="D163" s="2">
        <v>6.76</v>
      </c>
      <c r="E163" s="2"/>
      <c r="F163" s="19">
        <f t="shared" si="29"/>
        <v>1.0682825166669056E-5</v>
      </c>
      <c r="G163" s="2"/>
      <c r="H163" s="2">
        <v>332.97</v>
      </c>
      <c r="I163" s="2"/>
      <c r="J163" s="19">
        <f t="shared" si="30"/>
        <v>2.3658773594745279E-4</v>
      </c>
      <c r="K163" s="2"/>
      <c r="L163" s="2">
        <f t="shared" si="31"/>
        <v>-326.21000000000004</v>
      </c>
      <c r="M163" s="2"/>
      <c r="N163" s="19">
        <f t="shared" si="32"/>
        <v>-0.97969787067904013</v>
      </c>
      <c r="O163" s="11"/>
      <c r="P163" s="2">
        <v>44.81</v>
      </c>
      <c r="Q163" s="2"/>
      <c r="R163" s="19">
        <f t="shared" si="33"/>
        <v>1.4193018899653291E-5</v>
      </c>
      <c r="S163" s="2"/>
      <c r="T163" s="2">
        <v>632.77</v>
      </c>
      <c r="U163" s="2"/>
      <c r="V163" s="19">
        <f t="shared" si="34"/>
        <v>1.1862551183837597E-4</v>
      </c>
      <c r="W163" s="2"/>
      <c r="X163" s="2">
        <f t="shared" si="35"/>
        <v>-587.96</v>
      </c>
      <c r="Y163" s="2"/>
      <c r="Z163" s="19">
        <f t="shared" si="36"/>
        <v>-0.92918437979044533</v>
      </c>
    </row>
    <row r="164" spans="1:26" s="24" customFormat="1" hidden="1" outlineLevel="1" x14ac:dyDescent="0.25">
      <c r="A164" s="44"/>
      <c r="B164" s="11" t="str">
        <f>CONCATENATE("          ", "5540", " - ", "FREIGHT-IN-LOGO CLOTHING")</f>
        <v xml:space="preserve">          5540 - FREIGHT-IN-LOGO CLOTHING</v>
      </c>
      <c r="C164" s="11"/>
      <c r="D164" s="2">
        <v>234.23</v>
      </c>
      <c r="E164" s="2"/>
      <c r="F164" s="19">
        <f t="shared" si="29"/>
        <v>3.7015357082675931E-4</v>
      </c>
      <c r="G164" s="2"/>
      <c r="H164" s="2">
        <v>2672.92</v>
      </c>
      <c r="I164" s="2"/>
      <c r="J164" s="19">
        <f t="shared" si="30"/>
        <v>1.8992104128560095E-3</v>
      </c>
      <c r="K164" s="2"/>
      <c r="L164" s="2">
        <f t="shared" si="31"/>
        <v>-2438.69</v>
      </c>
      <c r="M164" s="2"/>
      <c r="N164" s="19">
        <f t="shared" si="32"/>
        <v>-0.91236924412253262</v>
      </c>
      <c r="O164" s="11"/>
      <c r="P164" s="2">
        <v>2165.7600000000002</v>
      </c>
      <c r="Q164" s="2"/>
      <c r="R164" s="19">
        <f t="shared" si="33"/>
        <v>6.8597796501033504E-4</v>
      </c>
      <c r="S164" s="2"/>
      <c r="T164" s="2">
        <v>5004.8599999999997</v>
      </c>
      <c r="U164" s="2"/>
      <c r="V164" s="19">
        <f t="shared" si="34"/>
        <v>9.3826205284608052E-4</v>
      </c>
      <c r="W164" s="2"/>
      <c r="X164" s="2">
        <f t="shared" si="35"/>
        <v>-2839.0999999999995</v>
      </c>
      <c r="Y164" s="2"/>
      <c r="Z164" s="19">
        <f t="shared" si="36"/>
        <v>-0.56726861490631098</v>
      </c>
    </row>
    <row r="165" spans="1:26" s="24" customFormat="1" hidden="1" outlineLevel="1" x14ac:dyDescent="0.25">
      <c r="A165" s="44"/>
      <c r="B165" s="11" t="str">
        <f>CONCATENATE("          ", "5541", " - ", "FREIGHT-IN-LOGO GIFTS")</f>
        <v xml:space="preserve">          5541 - FREIGHT-IN-LOGO GIFTS</v>
      </c>
      <c r="C165" s="11"/>
      <c r="D165" s="2">
        <v>154.41</v>
      </c>
      <c r="E165" s="2"/>
      <c r="F165" s="19">
        <f t="shared" si="29"/>
        <v>2.4401405828185932E-4</v>
      </c>
      <c r="G165" s="2"/>
      <c r="H165" s="2">
        <v>97.6</v>
      </c>
      <c r="I165" s="2"/>
      <c r="J165" s="19">
        <f t="shared" si="30"/>
        <v>6.934847892744508E-5</v>
      </c>
      <c r="K165" s="2"/>
      <c r="L165" s="2">
        <f t="shared" si="31"/>
        <v>56.81</v>
      </c>
      <c r="M165" s="2"/>
      <c r="N165" s="19">
        <f t="shared" si="32"/>
        <v>0.58206967213114758</v>
      </c>
      <c r="O165" s="11"/>
      <c r="P165" s="2">
        <v>361.11</v>
      </c>
      <c r="Q165" s="2"/>
      <c r="R165" s="19">
        <f t="shared" si="33"/>
        <v>1.1437717149863422E-4</v>
      </c>
      <c r="S165" s="2"/>
      <c r="T165" s="2">
        <v>818.01</v>
      </c>
      <c r="U165" s="2"/>
      <c r="V165" s="19">
        <f t="shared" si="34"/>
        <v>1.5335248974968779E-4</v>
      </c>
      <c r="W165" s="2"/>
      <c r="X165" s="2">
        <f t="shared" si="35"/>
        <v>-456.9</v>
      </c>
      <c r="Y165" s="2"/>
      <c r="Z165" s="19">
        <f t="shared" si="36"/>
        <v>-0.55855062896541607</v>
      </c>
    </row>
    <row r="166" spans="1:26" s="24" customFormat="1" hidden="1" outlineLevel="1" x14ac:dyDescent="0.25">
      <c r="A166" s="44"/>
      <c r="B166" s="11" t="str">
        <f>CONCATENATE("          ", "5542", " - ", "FREIGHT-IN-EVERYDAY GIFTS")</f>
        <v xml:space="preserve">          5542 - FREIGHT-IN-EVERYDAY GIFTS</v>
      </c>
      <c r="C166" s="11"/>
      <c r="D166" s="2">
        <v>65.44</v>
      </c>
      <c r="E166" s="2"/>
      <c r="F166" s="19">
        <f t="shared" si="29"/>
        <v>1.0341480457201524E-4</v>
      </c>
      <c r="G166" s="2"/>
      <c r="H166" s="2">
        <v>58.91</v>
      </c>
      <c r="I166" s="2"/>
      <c r="J166" s="19">
        <f t="shared" si="30"/>
        <v>4.1857775549342109E-5</v>
      </c>
      <c r="K166" s="2"/>
      <c r="L166" s="2">
        <f t="shared" si="31"/>
        <v>6.5300000000000011</v>
      </c>
      <c r="M166" s="2"/>
      <c r="N166" s="19">
        <f t="shared" si="32"/>
        <v>0.11084705482940081</v>
      </c>
      <c r="O166" s="11"/>
      <c r="P166" s="2">
        <v>71.38</v>
      </c>
      <c r="Q166" s="2"/>
      <c r="R166" s="19">
        <f t="shared" si="33"/>
        <v>2.2608741108173437E-5</v>
      </c>
      <c r="S166" s="2"/>
      <c r="T166" s="2">
        <v>171.68</v>
      </c>
      <c r="U166" s="2"/>
      <c r="V166" s="19">
        <f t="shared" si="34"/>
        <v>3.2184882141081891E-5</v>
      </c>
      <c r="W166" s="2"/>
      <c r="X166" s="2">
        <f t="shared" si="35"/>
        <v>-100.30000000000001</v>
      </c>
      <c r="Y166" s="2"/>
      <c r="Z166" s="19">
        <f t="shared" si="36"/>
        <v>-0.58422646784715759</v>
      </c>
    </row>
    <row r="167" spans="1:26" s="24" customFormat="1" hidden="1" outlineLevel="1" x14ac:dyDescent="0.25">
      <c r="A167" s="44"/>
      <c r="B167" s="11" t="str">
        <f>CONCATENATE("          ", "5543", " - ", "FREIGHT-IN-CARDS")</f>
        <v xml:space="preserve">          5543 - FREIGHT-IN-CARDS</v>
      </c>
      <c r="C167" s="11"/>
      <c r="D167" s="2">
        <v>81.77</v>
      </c>
      <c r="E167" s="2"/>
      <c r="F167" s="19">
        <f t="shared" si="29"/>
        <v>1.2922109672759301E-4</v>
      </c>
      <c r="G167" s="2"/>
      <c r="H167" s="2"/>
      <c r="I167" s="2"/>
      <c r="J167" s="19">
        <f t="shared" si="30"/>
        <v>0</v>
      </c>
      <c r="K167" s="2"/>
      <c r="L167" s="2">
        <f t="shared" si="31"/>
        <v>81.77</v>
      </c>
      <c r="M167" s="2"/>
      <c r="N167" s="19">
        <f t="shared" si="32"/>
        <v>0</v>
      </c>
      <c r="O167" s="11"/>
      <c r="P167" s="2">
        <v>81.77</v>
      </c>
      <c r="Q167" s="2"/>
      <c r="R167" s="19">
        <f t="shared" si="33"/>
        <v>2.589964640537044E-5</v>
      </c>
      <c r="S167" s="2"/>
      <c r="T167" s="2">
        <v>4.58</v>
      </c>
      <c r="U167" s="2"/>
      <c r="V167" s="19">
        <f t="shared" si="34"/>
        <v>8.5861346811600113E-7</v>
      </c>
      <c r="W167" s="2"/>
      <c r="X167" s="2">
        <f t="shared" si="35"/>
        <v>77.19</v>
      </c>
      <c r="Y167" s="2"/>
      <c r="Z167" s="19">
        <f t="shared" si="36"/>
        <v>16.853711790393014</v>
      </c>
    </row>
    <row r="168" spans="1:26" s="24" customFormat="1" hidden="1" outlineLevel="1" x14ac:dyDescent="0.25">
      <c r="A168" s="44"/>
      <c r="B168" s="11" t="str">
        <f>CONCATENATE("          ", "5544", " - ", "FREIGHT-IN-ACCESSORIES")</f>
        <v xml:space="preserve">          5544 - FREIGHT-IN-ACCESSORIES</v>
      </c>
      <c r="C168" s="11"/>
      <c r="D168" s="2"/>
      <c r="E168" s="2"/>
      <c r="F168" s="19">
        <f t="shared" si="29"/>
        <v>0</v>
      </c>
      <c r="G168" s="2"/>
      <c r="H168" s="2">
        <v>34.18</v>
      </c>
      <c r="I168" s="2"/>
      <c r="J168" s="19">
        <f t="shared" si="30"/>
        <v>2.4286178378484354E-5</v>
      </c>
      <c r="K168" s="2"/>
      <c r="L168" s="2">
        <f t="shared" si="31"/>
        <v>-34.18</v>
      </c>
      <c r="M168" s="2"/>
      <c r="N168" s="19">
        <f t="shared" si="32"/>
        <v>-1</v>
      </c>
      <c r="O168" s="11"/>
      <c r="P168" s="2"/>
      <c r="Q168" s="2"/>
      <c r="R168" s="19">
        <f t="shared" si="33"/>
        <v>0</v>
      </c>
      <c r="S168" s="2"/>
      <c r="T168" s="2">
        <v>135.84</v>
      </c>
      <c r="U168" s="2"/>
      <c r="V168" s="19">
        <f t="shared" si="34"/>
        <v>2.5465950547789868E-5</v>
      </c>
      <c r="W168" s="2"/>
      <c r="X168" s="2">
        <f t="shared" si="35"/>
        <v>-135.84</v>
      </c>
      <c r="Y168" s="2"/>
      <c r="Z168" s="19">
        <f t="shared" si="36"/>
        <v>-1</v>
      </c>
    </row>
    <row r="169" spans="1:26" s="24" customFormat="1" hidden="1" outlineLevel="1" x14ac:dyDescent="0.25">
      <c r="A169" s="44"/>
      <c r="B169" s="11" t="str">
        <f>CONCATENATE("          ", "5545", " - ", "FREIGHT-IN-SPECIAL ORDERS")</f>
        <v xml:space="preserve">          5545 - FREIGHT-IN-SPECIAL ORDERS</v>
      </c>
      <c r="C169" s="11"/>
      <c r="D169" s="2">
        <v>214.61</v>
      </c>
      <c r="E169" s="2"/>
      <c r="F169" s="19">
        <f t="shared" si="29"/>
        <v>3.3914809305012522E-4</v>
      </c>
      <c r="G169" s="2"/>
      <c r="H169" s="2">
        <v>26.56</v>
      </c>
      <c r="I169" s="2"/>
      <c r="J169" s="19">
        <f t="shared" si="30"/>
        <v>1.8871881150747351E-5</v>
      </c>
      <c r="K169" s="2"/>
      <c r="L169" s="2">
        <f t="shared" si="31"/>
        <v>188.05</v>
      </c>
      <c r="M169" s="2"/>
      <c r="N169" s="19">
        <f t="shared" si="32"/>
        <v>7.0801957831325311</v>
      </c>
      <c r="O169" s="11"/>
      <c r="P169" s="2">
        <v>660.61</v>
      </c>
      <c r="Q169" s="2"/>
      <c r="R169" s="19">
        <f t="shared" si="33"/>
        <v>2.0924012977683462E-4</v>
      </c>
      <c r="S169" s="2"/>
      <c r="T169" s="2">
        <v>262.51</v>
      </c>
      <c r="U169" s="2"/>
      <c r="V169" s="19">
        <f t="shared" si="34"/>
        <v>4.9212799457452281E-5</v>
      </c>
      <c r="W169" s="2"/>
      <c r="X169" s="2">
        <f t="shared" si="35"/>
        <v>398.1</v>
      </c>
      <c r="Y169" s="2"/>
      <c r="Z169" s="19">
        <f t="shared" si="36"/>
        <v>1.516513656622605</v>
      </c>
    </row>
    <row r="170" spans="1:26" s="24" customFormat="1" hidden="1" outlineLevel="1" x14ac:dyDescent="0.25">
      <c r="A170" s="44"/>
      <c r="B170" s="11" t="str">
        <f>CONCATENATE("          ", "5581", " - ", "FREIGHT-IN-ELECTRONICS")</f>
        <v xml:space="preserve">          5581 - FREIGHT-IN-ELECTRONICS</v>
      </c>
      <c r="C170" s="11"/>
      <c r="D170" s="2"/>
      <c r="E170" s="2"/>
      <c r="F170" s="19">
        <f t="shared" si="29"/>
        <v>0</v>
      </c>
      <c r="G170" s="2"/>
      <c r="H170" s="2">
        <v>92.95</v>
      </c>
      <c r="I170" s="2"/>
      <c r="J170" s="19">
        <f t="shared" si="30"/>
        <v>6.6044478650676447E-5</v>
      </c>
      <c r="K170" s="2"/>
      <c r="L170" s="2">
        <f t="shared" si="31"/>
        <v>-92.95</v>
      </c>
      <c r="M170" s="2"/>
      <c r="N170" s="19">
        <f t="shared" si="32"/>
        <v>-1</v>
      </c>
      <c r="O170" s="11"/>
      <c r="P170" s="2"/>
      <c r="Q170" s="2"/>
      <c r="R170" s="19">
        <f t="shared" si="33"/>
        <v>0</v>
      </c>
      <c r="S170" s="2"/>
      <c r="T170" s="2">
        <v>92.95</v>
      </c>
      <c r="U170" s="2"/>
      <c r="V170" s="19">
        <f t="shared" si="34"/>
        <v>1.7425354118205743E-5</v>
      </c>
      <c r="W170" s="2"/>
      <c r="X170" s="2">
        <f t="shared" si="35"/>
        <v>-92.95</v>
      </c>
      <c r="Y170" s="2"/>
      <c r="Z170" s="19">
        <f t="shared" si="36"/>
        <v>-1</v>
      </c>
    </row>
    <row r="171" spans="1:26" s="24" customFormat="1" hidden="1" outlineLevel="1" x14ac:dyDescent="0.25">
      <c r="A171" s="44"/>
      <c r="B171" s="11" t="str">
        <f>CONCATENATE("          ", "5582", " - ", "FREIGHT-IN-COMPUTER HARDWARE")</f>
        <v xml:space="preserve">          5582 - FREIGHT-IN-COMPUTER HARDWARE</v>
      </c>
      <c r="C171" s="11"/>
      <c r="D171" s="2">
        <v>24</v>
      </c>
      <c r="E171" s="2"/>
      <c r="F171" s="19">
        <f t="shared" si="29"/>
        <v>3.7927189940836888E-5</v>
      </c>
      <c r="G171" s="2"/>
      <c r="H171" s="2">
        <v>4.84</v>
      </c>
      <c r="I171" s="2"/>
      <c r="J171" s="19">
        <f t="shared" si="30"/>
        <v>3.4390024386151045E-6</v>
      </c>
      <c r="K171" s="2"/>
      <c r="L171" s="2">
        <f t="shared" si="31"/>
        <v>19.16</v>
      </c>
      <c r="M171" s="2"/>
      <c r="N171" s="19">
        <f t="shared" si="32"/>
        <v>3.9586776859504136</v>
      </c>
      <c r="O171" s="11"/>
      <c r="P171" s="2">
        <v>24</v>
      </c>
      <c r="Q171" s="2"/>
      <c r="R171" s="19">
        <f t="shared" si="33"/>
        <v>7.6017061725436049E-6</v>
      </c>
      <c r="S171" s="2"/>
      <c r="T171" s="2">
        <v>4.84</v>
      </c>
      <c r="U171" s="2"/>
      <c r="V171" s="19">
        <f t="shared" si="34"/>
        <v>9.0735571739769538E-7</v>
      </c>
      <c r="W171" s="2"/>
      <c r="X171" s="2">
        <f t="shared" si="35"/>
        <v>19.16</v>
      </c>
      <c r="Y171" s="2"/>
      <c r="Z171" s="19">
        <f t="shared" si="36"/>
        <v>3.9586776859504136</v>
      </c>
    </row>
    <row r="172" spans="1:26" s="24" customFormat="1" hidden="1" outlineLevel="1" x14ac:dyDescent="0.25">
      <c r="A172" s="44"/>
      <c r="B172" s="11" t="str">
        <f>CONCATENATE("          ", "5583", " - ", "FREIGHT-IN-COMPUTER EQUIPMENT")</f>
        <v xml:space="preserve">          5583 - FREIGHT-IN-COMPUTER EQUIPMENT</v>
      </c>
      <c r="C172" s="11"/>
      <c r="D172" s="2">
        <v>156</v>
      </c>
      <c r="E172" s="2"/>
      <c r="F172" s="19">
        <f t="shared" si="29"/>
        <v>2.4652673461543977E-4</v>
      </c>
      <c r="G172" s="2"/>
      <c r="H172" s="2">
        <v>7.86</v>
      </c>
      <c r="I172" s="2"/>
      <c r="J172" s="19">
        <f t="shared" si="30"/>
        <v>5.5848262742799017E-6</v>
      </c>
      <c r="K172" s="2"/>
      <c r="L172" s="2">
        <f t="shared" si="31"/>
        <v>148.13999999999999</v>
      </c>
      <c r="M172" s="2"/>
      <c r="N172" s="19">
        <f t="shared" si="32"/>
        <v>18.847328244274806</v>
      </c>
      <c r="O172" s="11"/>
      <c r="P172" s="2">
        <v>173.39</v>
      </c>
      <c r="Q172" s="2"/>
      <c r="R172" s="19">
        <f t="shared" si="33"/>
        <v>5.4919159719055649E-5</v>
      </c>
      <c r="S172" s="2"/>
      <c r="T172" s="2">
        <v>41</v>
      </c>
      <c r="U172" s="2"/>
      <c r="V172" s="19">
        <f t="shared" si="34"/>
        <v>7.6862777713441143E-6</v>
      </c>
      <c r="W172" s="2"/>
      <c r="X172" s="2">
        <f t="shared" si="35"/>
        <v>132.38999999999999</v>
      </c>
      <c r="Y172" s="2"/>
      <c r="Z172" s="19">
        <f t="shared" si="36"/>
        <v>3.229024390243902</v>
      </c>
    </row>
    <row r="173" spans="1:26" s="24" customFormat="1" hidden="1" outlineLevel="1" x14ac:dyDescent="0.25">
      <c r="A173" s="44"/>
      <c r="B173" s="11" t="str">
        <f>CONCATENATE("          ", "5586", " - ", "FREIGHT-IN-COMPUTER SUPPLIES")</f>
        <v xml:space="preserve">          5586 - FREIGHT-IN-COMPUTER SUPPLIES</v>
      </c>
      <c r="C173" s="11"/>
      <c r="D173" s="2"/>
      <c r="E173" s="2"/>
      <c r="F173" s="19">
        <f t="shared" si="29"/>
        <v>0</v>
      </c>
      <c r="G173" s="2"/>
      <c r="H173" s="2">
        <v>65.36</v>
      </c>
      <c r="I173" s="2"/>
      <c r="J173" s="19">
        <f t="shared" si="30"/>
        <v>4.6440743675182487E-5</v>
      </c>
      <c r="K173" s="2"/>
      <c r="L173" s="2">
        <f t="shared" si="31"/>
        <v>-65.36</v>
      </c>
      <c r="M173" s="2"/>
      <c r="N173" s="19">
        <f t="shared" si="32"/>
        <v>-1</v>
      </c>
      <c r="O173" s="11"/>
      <c r="P173" s="2">
        <v>24.12</v>
      </c>
      <c r="Q173" s="2"/>
      <c r="R173" s="19">
        <f t="shared" si="33"/>
        <v>7.6397147034063229E-6</v>
      </c>
      <c r="S173" s="2"/>
      <c r="T173" s="2">
        <v>102.39</v>
      </c>
      <c r="U173" s="2"/>
      <c r="V173" s="19">
        <f t="shared" si="34"/>
        <v>1.9195072707510339E-5</v>
      </c>
      <c r="W173" s="2"/>
      <c r="X173" s="2">
        <f t="shared" si="35"/>
        <v>-78.27</v>
      </c>
      <c r="Y173" s="2"/>
      <c r="Z173" s="19">
        <f t="shared" si="36"/>
        <v>-0.76443012012891876</v>
      </c>
    </row>
    <row r="174" spans="1:26" s="24" customFormat="1" hidden="1" outlineLevel="1" x14ac:dyDescent="0.25">
      <c r="A174" s="44"/>
      <c r="B174" s="11" t="str">
        <f>CONCATENATE("          ", "5592", " - ", "FREIGHT-IN-GRAD MERCH")</f>
        <v xml:space="preserve">          5592 - FREIGHT-IN-GRAD MERCH</v>
      </c>
      <c r="C174" s="11"/>
      <c r="D174" s="2"/>
      <c r="E174" s="2"/>
      <c r="F174" s="19">
        <f t="shared" si="29"/>
        <v>0</v>
      </c>
      <c r="G174" s="2"/>
      <c r="H174" s="2">
        <v>11.21</v>
      </c>
      <c r="I174" s="2"/>
      <c r="J174" s="19">
        <f t="shared" si="30"/>
        <v>7.9651275489411838E-6</v>
      </c>
      <c r="K174" s="2"/>
      <c r="L174" s="2">
        <f t="shared" si="31"/>
        <v>-11.21</v>
      </c>
      <c r="M174" s="2"/>
      <c r="N174" s="19">
        <f t="shared" si="32"/>
        <v>-1</v>
      </c>
      <c r="O174" s="11"/>
      <c r="P174" s="2"/>
      <c r="Q174" s="2"/>
      <c r="R174" s="19">
        <f t="shared" si="33"/>
        <v>0</v>
      </c>
      <c r="S174" s="2"/>
      <c r="T174" s="2">
        <v>70.78</v>
      </c>
      <c r="U174" s="2"/>
      <c r="V174" s="19">
        <f t="shared" si="34"/>
        <v>1.3269140015993572E-5</v>
      </c>
      <c r="W174" s="2"/>
      <c r="X174" s="2">
        <f t="shared" si="35"/>
        <v>-70.78</v>
      </c>
      <c r="Y174" s="2"/>
      <c r="Z174" s="19">
        <f t="shared" si="36"/>
        <v>-1</v>
      </c>
    </row>
    <row r="175" spans="1:26" x14ac:dyDescent="0.25">
      <c r="A175" s="9"/>
      <c r="B175" s="10"/>
      <c r="C175" s="10"/>
      <c r="D175" s="3"/>
      <c r="E175" s="3"/>
      <c r="F175" s="8"/>
      <c r="G175" s="3"/>
      <c r="H175" s="3"/>
      <c r="I175" s="3"/>
      <c r="J175" s="8"/>
      <c r="K175" s="3"/>
      <c r="L175" s="3"/>
      <c r="M175" s="3"/>
      <c r="N175" s="8"/>
      <c r="O175" s="10"/>
      <c r="P175" s="3"/>
      <c r="Q175" s="3"/>
      <c r="R175" s="8"/>
      <c r="S175" s="3"/>
      <c r="T175" s="3"/>
      <c r="U175" s="3"/>
      <c r="V175" s="8"/>
      <c r="W175" s="3"/>
      <c r="X175" s="3"/>
      <c r="Y175" s="3"/>
      <c r="Z175" s="8"/>
    </row>
    <row r="176" spans="1:26" s="23" customFormat="1" x14ac:dyDescent="0.25">
      <c r="A176" s="10"/>
      <c r="B176" s="25" t="s">
        <v>6</v>
      </c>
      <c r="C176" s="25"/>
      <c r="D176" s="22">
        <f>D12-D120</f>
        <v>139518.31000000029</v>
      </c>
      <c r="E176" s="13"/>
      <c r="F176" s="21">
        <f>IF(D$12=0,0,D176/D$12)</f>
        <v>0.22048072681644054</v>
      </c>
      <c r="G176" s="13"/>
      <c r="H176" s="22">
        <f>H12-H120</f>
        <v>490717.42999999924</v>
      </c>
      <c r="I176" s="13"/>
      <c r="J176" s="21">
        <f>IF(H$12=0,0,H176/H$12)</f>
        <v>0.34867323108283765</v>
      </c>
      <c r="K176" s="15"/>
      <c r="L176" s="22">
        <f>+D176-H176</f>
        <v>-351199.11999999895</v>
      </c>
      <c r="M176" s="15"/>
      <c r="N176" s="21">
        <f>IF(H176=0,0,L176/H176)</f>
        <v>-0.71568503283039997</v>
      </c>
      <c r="O176" s="26"/>
      <c r="P176" s="22">
        <f>P12-P120</f>
        <v>778674.52999999933</v>
      </c>
      <c r="Q176" s="13"/>
      <c r="R176" s="21">
        <f>IF(P$12=0,0,P176/P$12)</f>
        <v>0.24663562421264523</v>
      </c>
      <c r="S176" s="13"/>
      <c r="T176" s="22">
        <f>T12-T120</f>
        <v>1655918.6399999997</v>
      </c>
      <c r="U176" s="13"/>
      <c r="V176" s="21">
        <f>IF(T$12=0,0,T176/T$12)</f>
        <v>0.31043538131186277</v>
      </c>
      <c r="W176" s="15"/>
      <c r="X176" s="22">
        <f>+P176-T176</f>
        <v>-877244.11000000034</v>
      </c>
      <c r="Y176" s="15"/>
      <c r="Z176" s="21">
        <f>IF(T176=0,0,X176/T176)</f>
        <v>-0.52976280887809835</v>
      </c>
    </row>
    <row r="177" spans="1:26" x14ac:dyDescent="0.25">
      <c r="A177" s="9"/>
      <c r="B177" s="10"/>
      <c r="C177" s="9"/>
      <c r="D177" s="1"/>
      <c r="E177" s="1"/>
      <c r="F177" s="5"/>
      <c r="G177" s="1"/>
      <c r="H177" s="1"/>
      <c r="I177" s="1"/>
      <c r="J177" s="5"/>
      <c r="K177" s="1"/>
      <c r="L177" s="1"/>
      <c r="M177" s="1"/>
      <c r="N177" s="5"/>
      <c r="O177" s="37"/>
      <c r="P177" s="1"/>
      <c r="Q177" s="1"/>
      <c r="R177" s="5"/>
      <c r="S177" s="1"/>
      <c r="T177" s="1"/>
      <c r="U177" s="1"/>
      <c r="V177" s="5"/>
      <c r="W177" s="1"/>
      <c r="X177" s="1"/>
      <c r="Y177" s="1"/>
      <c r="Z177" s="5"/>
    </row>
    <row r="178" spans="1:26" s="23" customFormat="1" x14ac:dyDescent="0.25">
      <c r="A178" s="10"/>
      <c r="B178" s="26" t="s">
        <v>9</v>
      </c>
      <c r="C178" s="10"/>
      <c r="D178" s="20">
        <f>SUM(OSRRefD22x_0)</f>
        <v>272125.67000000004</v>
      </c>
      <c r="E178" s="20"/>
      <c r="F178" s="36">
        <f t="shared" ref="F178:F189" si="37">IF(D$12=0,0,D178/D$12)</f>
        <v>0.43004008224447915</v>
      </c>
      <c r="G178" s="20"/>
      <c r="H178" s="20">
        <f>SUM(OSRRefH22x_0)</f>
        <v>366282.53000000009</v>
      </c>
      <c r="I178" s="20"/>
      <c r="J178" s="36">
        <f t="shared" ref="J178:J189" si="38">IF(H$12=0,0,H178/H$12)</f>
        <v>0.26025754419258484</v>
      </c>
      <c r="K178" s="4"/>
      <c r="L178" s="20">
        <f t="shared" ref="L178:L189" si="39">+D178-H178</f>
        <v>-94156.860000000044</v>
      </c>
      <c r="M178" s="4"/>
      <c r="N178" s="36">
        <f t="shared" ref="N178:N189" si="40">IF(H178=0,0,L178/H178)</f>
        <v>-0.25706074488455682</v>
      </c>
      <c r="O178" s="10"/>
      <c r="P178" s="20">
        <f>SUM(OSRRefP22x_0)</f>
        <v>841529.84</v>
      </c>
      <c r="Q178" s="20"/>
      <c r="R178" s="36">
        <f t="shared" ref="R178:R189" si="41">IF(P$12=0,0,P178/P$12)</f>
        <v>0.26654427412948467</v>
      </c>
      <c r="S178" s="20"/>
      <c r="T178" s="20">
        <f>SUM(OSRRefT22x_0)</f>
        <v>1222286.8400000001</v>
      </c>
      <c r="U178" s="20"/>
      <c r="V178" s="36">
        <f t="shared" ref="V178:V189" si="42">IF(T$12=0,0,T178/T$12)</f>
        <v>0.22914234557313271</v>
      </c>
      <c r="W178" s="4"/>
      <c r="X178" s="20">
        <f t="shared" ref="X178:X189" si="43">+P178-T178</f>
        <v>-380757.00000000012</v>
      </c>
      <c r="Y178" s="4"/>
      <c r="Z178" s="36">
        <f t="shared" ref="Z178:Z189" si="44">IF(T178=0,0,X178/T178)</f>
        <v>-0.31151198518999035</v>
      </c>
    </row>
    <row r="179" spans="1:26" s="27" customFormat="1" outlineLevel="1" collapsed="1" x14ac:dyDescent="0.25">
      <c r="A179" s="29"/>
      <c r="B179" s="14" t="str">
        <f>CONCATENATE("     ","*Benefits                                         ")</f>
        <v xml:space="preserve">     *Benefits                                         </v>
      </c>
      <c r="C179" s="14"/>
      <c r="D179" s="1">
        <f>SUM(OSRRefD22_0x_0)</f>
        <v>49795.060000000005</v>
      </c>
      <c r="E179" s="1"/>
      <c r="F179" s="5">
        <f t="shared" si="37"/>
        <v>7.869111244730706E-2</v>
      </c>
      <c r="G179" s="1"/>
      <c r="H179" s="1">
        <f>SUM(OSRRefH22_0x_0)</f>
        <v>52271.06</v>
      </c>
      <c r="I179" s="1"/>
      <c r="J179" s="5">
        <f t="shared" si="38"/>
        <v>3.7140558431610834E-2</v>
      </c>
      <c r="K179" s="1"/>
      <c r="L179" s="1">
        <f t="shared" si="39"/>
        <v>-2475.9999999999927</v>
      </c>
      <c r="M179" s="1"/>
      <c r="N179" s="5">
        <f t="shared" si="40"/>
        <v>-4.7368467369898234E-2</v>
      </c>
      <c r="O179" s="14"/>
      <c r="P179" s="1">
        <f>SUM(OSRRefP22_0x_0)</f>
        <v>141479.31000000003</v>
      </c>
      <c r="Q179" s="1"/>
      <c r="R179" s="5">
        <f t="shared" si="41"/>
        <v>4.4811839338092102E-2</v>
      </c>
      <c r="S179" s="1"/>
      <c r="T179" s="1">
        <f>SUM(OSRRefT22_0x_0)</f>
        <v>165346.23999999999</v>
      </c>
      <c r="U179" s="1"/>
      <c r="V179" s="5">
        <f t="shared" si="42"/>
        <v>3.0997490953349489E-2</v>
      </c>
      <c r="W179" s="1"/>
      <c r="X179" s="1">
        <f t="shared" si="43"/>
        <v>-23866.929999999964</v>
      </c>
      <c r="Y179" s="1"/>
      <c r="Z179" s="5">
        <f t="shared" si="44"/>
        <v>-0.14434516321629065</v>
      </c>
    </row>
    <row r="180" spans="1:26" s="24" customFormat="1" hidden="1" outlineLevel="2" x14ac:dyDescent="0.25">
      <c r="A180" s="28"/>
      <c r="B180" s="11" t="str">
        <f>CONCATENATE("          ", "6111", " - ", "F.I.C.A.")</f>
        <v xml:space="preserve">          6111 - F.I.C.A.</v>
      </c>
      <c r="C180" s="11"/>
      <c r="D180" s="7">
        <v>11834.62</v>
      </c>
      <c r="E180" s="2"/>
      <c r="F180" s="6">
        <f t="shared" si="37"/>
        <v>1.8702245025734462E-2</v>
      </c>
      <c r="G180" s="2"/>
      <c r="H180" s="7">
        <v>8095.17</v>
      </c>
      <c r="I180" s="2"/>
      <c r="J180" s="6">
        <f t="shared" si="38"/>
        <v>5.7519234237611233E-3</v>
      </c>
      <c r="K180" s="2"/>
      <c r="L180" s="7">
        <f t="shared" si="39"/>
        <v>3739.4500000000007</v>
      </c>
      <c r="M180" s="2"/>
      <c r="N180" s="6">
        <f t="shared" si="40"/>
        <v>0.46193594452000397</v>
      </c>
      <c r="O180" s="11"/>
      <c r="P180" s="7">
        <v>31176.390000000003</v>
      </c>
      <c r="Q180" s="2"/>
      <c r="R180" s="6">
        <f t="shared" si="41"/>
        <v>9.8747398458594472E-3</v>
      </c>
      <c r="S180" s="2"/>
      <c r="T180" s="7">
        <v>34170.81</v>
      </c>
      <c r="U180" s="2"/>
      <c r="V180" s="6">
        <f t="shared" si="42"/>
        <v>6.4060082276054427E-3</v>
      </c>
      <c r="W180" s="2"/>
      <c r="X180" s="7">
        <f t="shared" si="43"/>
        <v>-2994.4199999999946</v>
      </c>
      <c r="Y180" s="2"/>
      <c r="Z180" s="6">
        <f t="shared" si="44"/>
        <v>-8.7630934121842433E-2</v>
      </c>
    </row>
    <row r="181" spans="1:26" s="24" customFormat="1" hidden="1" outlineLevel="2" x14ac:dyDescent="0.25">
      <c r="A181" s="28"/>
      <c r="B181" s="11" t="str">
        <f>CONCATENATE("          ", "6112", " - ", "COMPENSATION INSURANCE")</f>
        <v xml:space="preserve">          6112 - COMPENSATION INSURANCE</v>
      </c>
      <c r="C181" s="11"/>
      <c r="D181" s="7">
        <v>4238.91</v>
      </c>
      <c r="E181" s="2"/>
      <c r="F181" s="6">
        <f t="shared" si="37"/>
        <v>6.6987476963380364E-3</v>
      </c>
      <c r="G181" s="2"/>
      <c r="H181" s="7">
        <v>3489.11</v>
      </c>
      <c r="I181" s="2"/>
      <c r="J181" s="6">
        <f t="shared" si="38"/>
        <v>2.4791441732637085E-3</v>
      </c>
      <c r="K181" s="2"/>
      <c r="L181" s="7">
        <f t="shared" si="39"/>
        <v>749.79999999999973</v>
      </c>
      <c r="M181" s="2"/>
      <c r="N181" s="6">
        <f t="shared" si="40"/>
        <v>0.21489720874377699</v>
      </c>
      <c r="O181" s="11"/>
      <c r="P181" s="7">
        <v>8526.9500000000007</v>
      </c>
      <c r="Q181" s="2"/>
      <c r="R181" s="6">
        <f t="shared" si="41"/>
        <v>2.7008070186654459E-3</v>
      </c>
      <c r="S181" s="2"/>
      <c r="T181" s="7">
        <v>8623.59</v>
      </c>
      <c r="U181" s="2"/>
      <c r="V181" s="6">
        <f t="shared" si="42"/>
        <v>1.6166660518581804E-3</v>
      </c>
      <c r="W181" s="2"/>
      <c r="X181" s="7">
        <f t="shared" si="43"/>
        <v>-96.639999999999418</v>
      </c>
      <c r="Y181" s="2"/>
      <c r="Z181" s="6">
        <f t="shared" si="44"/>
        <v>-1.1206469695335633E-2</v>
      </c>
    </row>
    <row r="182" spans="1:26" s="24" customFormat="1" hidden="1" outlineLevel="2" x14ac:dyDescent="0.25">
      <c r="A182" s="28"/>
      <c r="B182" s="11" t="str">
        <f>CONCATENATE("          ", "6113", " - ", "GROUP INSURANCE")</f>
        <v xml:space="preserve">          6113 - GROUP INSURANCE</v>
      </c>
      <c r="C182" s="11"/>
      <c r="D182" s="7">
        <v>15816.609999999999</v>
      </c>
      <c r="E182" s="2"/>
      <c r="F182" s="6">
        <f t="shared" si="37"/>
        <v>2.4994982153755837E-2</v>
      </c>
      <c r="G182" s="2"/>
      <c r="H182" s="7">
        <v>20000.43</v>
      </c>
      <c r="I182" s="2"/>
      <c r="J182" s="6">
        <f t="shared" si="38"/>
        <v>1.4211059409783202E-2</v>
      </c>
      <c r="K182" s="2"/>
      <c r="L182" s="7">
        <f t="shared" si="39"/>
        <v>-4183.8200000000015</v>
      </c>
      <c r="M182" s="2"/>
      <c r="N182" s="6">
        <f t="shared" si="40"/>
        <v>-0.20918650249019655</v>
      </c>
      <c r="O182" s="11"/>
      <c r="P182" s="7">
        <v>46892.060000000005</v>
      </c>
      <c r="Q182" s="2"/>
      <c r="R182" s="6">
        <f t="shared" si="41"/>
        <v>1.4852485914386881E-2</v>
      </c>
      <c r="S182" s="2"/>
      <c r="T182" s="7">
        <v>59458.74</v>
      </c>
      <c r="U182" s="2"/>
      <c r="V182" s="6">
        <f t="shared" si="42"/>
        <v>1.1146741257905589E-2</v>
      </c>
      <c r="W182" s="2"/>
      <c r="X182" s="7">
        <f t="shared" si="43"/>
        <v>-12566.679999999993</v>
      </c>
      <c r="Y182" s="2"/>
      <c r="Z182" s="6">
        <f t="shared" si="44"/>
        <v>-0.21135126644123292</v>
      </c>
    </row>
    <row r="183" spans="1:26" s="24" customFormat="1" hidden="1" outlineLevel="2" x14ac:dyDescent="0.25">
      <c r="A183" s="28"/>
      <c r="B183" s="11" t="str">
        <f>CONCATENATE("          ", "6114", " - ", "STATE UNEMPLOYMENT INSURANCE")</f>
        <v xml:space="preserve">          6114 - STATE UNEMPLOYMENT INSURANCE</v>
      </c>
      <c r="C183" s="11"/>
      <c r="D183" s="7">
        <v>511.26</v>
      </c>
      <c r="E183" s="2"/>
      <c r="F183" s="6">
        <f t="shared" si="37"/>
        <v>8.0794396371467771E-4</v>
      </c>
      <c r="G183" s="2"/>
      <c r="H183" s="7">
        <v>582.83000000000004</v>
      </c>
      <c r="I183" s="2"/>
      <c r="J183" s="6">
        <f t="shared" si="38"/>
        <v>4.1412268415248792E-4</v>
      </c>
      <c r="K183" s="2"/>
      <c r="L183" s="7">
        <f t="shared" si="39"/>
        <v>-71.57000000000005</v>
      </c>
      <c r="M183" s="2"/>
      <c r="N183" s="6">
        <f t="shared" si="40"/>
        <v>-0.12279738517234878</v>
      </c>
      <c r="O183" s="11"/>
      <c r="P183" s="7">
        <v>1194.46</v>
      </c>
      <c r="Q183" s="2"/>
      <c r="R183" s="6">
        <f t="shared" si="41"/>
        <v>3.7833058145235145E-4</v>
      </c>
      <c r="S183" s="2"/>
      <c r="T183" s="7">
        <v>1467.86</v>
      </c>
      <c r="U183" s="2"/>
      <c r="V183" s="6">
        <f t="shared" si="42"/>
        <v>2.7517999242549195E-4</v>
      </c>
      <c r="W183" s="2"/>
      <c r="X183" s="7">
        <f t="shared" si="43"/>
        <v>-273.39999999999986</v>
      </c>
      <c r="Y183" s="2"/>
      <c r="Z183" s="6">
        <f t="shared" si="44"/>
        <v>-0.18625754499747924</v>
      </c>
    </row>
    <row r="184" spans="1:26" s="24" customFormat="1" hidden="1" outlineLevel="2" x14ac:dyDescent="0.25">
      <c r="A184" s="28"/>
      <c r="B184" s="11" t="str">
        <f>CONCATENATE("          ", "6115", " - ", "P.E.R.S.")</f>
        <v xml:space="preserve">          6115 - P.E.R.S.</v>
      </c>
      <c r="C184" s="11"/>
      <c r="D184" s="7">
        <v>6106.89</v>
      </c>
      <c r="E184" s="2"/>
      <c r="F184" s="6">
        <f t="shared" si="37"/>
        <v>9.6507157074082247E-3</v>
      </c>
      <c r="G184" s="2"/>
      <c r="H184" s="7">
        <v>6581.04</v>
      </c>
      <c r="I184" s="2"/>
      <c r="J184" s="6">
        <f t="shared" si="38"/>
        <v>4.676076985252799E-3</v>
      </c>
      <c r="K184" s="2"/>
      <c r="L184" s="7">
        <f t="shared" si="39"/>
        <v>-474.14999999999964</v>
      </c>
      <c r="M184" s="2"/>
      <c r="N184" s="6">
        <f t="shared" si="40"/>
        <v>-7.2047883009372329E-2</v>
      </c>
      <c r="O184" s="11"/>
      <c r="P184" s="7">
        <v>20862</v>
      </c>
      <c r="Q184" s="2"/>
      <c r="R184" s="6">
        <f t="shared" si="41"/>
        <v>6.6077830904835285E-3</v>
      </c>
      <c r="S184" s="2"/>
      <c r="T184" s="7">
        <v>19253.009999999998</v>
      </c>
      <c r="U184" s="2"/>
      <c r="V184" s="6">
        <f t="shared" si="42"/>
        <v>3.6093654340113644E-3</v>
      </c>
      <c r="W184" s="2"/>
      <c r="X184" s="7">
        <f t="shared" si="43"/>
        <v>1608.9900000000016</v>
      </c>
      <c r="Y184" s="2"/>
      <c r="Z184" s="6">
        <f t="shared" si="44"/>
        <v>8.3570828665232175E-2</v>
      </c>
    </row>
    <row r="185" spans="1:26" s="24" customFormat="1" hidden="1" outlineLevel="2" x14ac:dyDescent="0.25">
      <c r="A185" s="28"/>
      <c r="B185" s="11" t="str">
        <f>CONCATENATE("          ", "6116", " - ", "EDUCATIONAL BENEFITS")</f>
        <v xml:space="preserve">          6116 - EDUCATIONAL BENEFITS</v>
      </c>
      <c r="C185" s="11"/>
      <c r="D185" s="7"/>
      <c r="E185" s="2"/>
      <c r="F185" s="6">
        <f t="shared" si="37"/>
        <v>0</v>
      </c>
      <c r="G185" s="2"/>
      <c r="H185" s="7"/>
      <c r="I185" s="2"/>
      <c r="J185" s="6">
        <f t="shared" si="38"/>
        <v>0</v>
      </c>
      <c r="K185" s="2"/>
      <c r="L185" s="7">
        <f t="shared" si="39"/>
        <v>0</v>
      </c>
      <c r="M185" s="2"/>
      <c r="N185" s="6">
        <f t="shared" si="40"/>
        <v>0</v>
      </c>
      <c r="O185" s="11"/>
      <c r="P185" s="7">
        <v>0</v>
      </c>
      <c r="Q185" s="2"/>
      <c r="R185" s="6">
        <f t="shared" si="41"/>
        <v>0</v>
      </c>
      <c r="S185" s="2"/>
      <c r="T185" s="7"/>
      <c r="U185" s="2"/>
      <c r="V185" s="6">
        <f t="shared" si="42"/>
        <v>0</v>
      </c>
      <c r="W185" s="2"/>
      <c r="X185" s="7">
        <f t="shared" si="43"/>
        <v>0</v>
      </c>
      <c r="Y185" s="2"/>
      <c r="Z185" s="6">
        <f t="shared" si="44"/>
        <v>0</v>
      </c>
    </row>
    <row r="186" spans="1:26" s="24" customFormat="1" hidden="1" outlineLevel="2" x14ac:dyDescent="0.25">
      <c r="A186" s="28"/>
      <c r="B186" s="11" t="str">
        <f>CONCATENATE("          ", "6117", " - ", "RETIREMENT STAFF HOURLY")</f>
        <v xml:space="preserve">          6117 - RETIREMENT STAFF HOURLY</v>
      </c>
      <c r="C186" s="11"/>
      <c r="D186" s="7">
        <v>434.71</v>
      </c>
      <c r="E186" s="2"/>
      <c r="F186" s="6">
        <f t="shared" si="37"/>
        <v>6.869720307992168E-4</v>
      </c>
      <c r="G186" s="2"/>
      <c r="H186" s="7">
        <v>447.04</v>
      </c>
      <c r="I186" s="2"/>
      <c r="J186" s="6">
        <f t="shared" si="38"/>
        <v>3.1763877069390423E-4</v>
      </c>
      <c r="K186" s="2"/>
      <c r="L186" s="7">
        <f t="shared" si="39"/>
        <v>-12.330000000000041</v>
      </c>
      <c r="M186" s="2"/>
      <c r="N186" s="6">
        <f t="shared" si="40"/>
        <v>-2.7581424481030872E-2</v>
      </c>
      <c r="O186" s="11"/>
      <c r="P186" s="7">
        <v>1461.58</v>
      </c>
      <c r="Q186" s="2"/>
      <c r="R186" s="6">
        <f t="shared" si="41"/>
        <v>4.6293757115276171E-4</v>
      </c>
      <c r="S186" s="2"/>
      <c r="T186" s="7">
        <v>1013.39</v>
      </c>
      <c r="U186" s="2"/>
      <c r="V186" s="6">
        <f t="shared" si="42"/>
        <v>1.8998041538298565E-4</v>
      </c>
      <c r="W186" s="2"/>
      <c r="X186" s="7">
        <f t="shared" si="43"/>
        <v>448.18999999999994</v>
      </c>
      <c r="Y186" s="2"/>
      <c r="Z186" s="6">
        <f t="shared" si="44"/>
        <v>0.44226803106405227</v>
      </c>
    </row>
    <row r="187" spans="1:26" s="24" customFormat="1" hidden="1" outlineLevel="2" x14ac:dyDescent="0.25">
      <c r="A187" s="28"/>
      <c r="B187" s="11" t="str">
        <f>CONCATENATE("          ", "6118", " - ", "VACATION")</f>
        <v xml:space="preserve">          6118 - VACATION</v>
      </c>
      <c r="C187" s="11"/>
      <c r="D187" s="7">
        <v>4962.71</v>
      </c>
      <c r="E187" s="2"/>
      <c r="F187" s="6">
        <f t="shared" si="37"/>
        <v>7.8425685329704432E-3</v>
      </c>
      <c r="G187" s="2"/>
      <c r="H187" s="7">
        <v>5998.1</v>
      </c>
      <c r="I187" s="2"/>
      <c r="J187" s="6">
        <f t="shared" si="38"/>
        <v>4.2618761419539793E-3</v>
      </c>
      <c r="K187" s="2"/>
      <c r="L187" s="7">
        <f t="shared" si="39"/>
        <v>-1035.3900000000003</v>
      </c>
      <c r="M187" s="2"/>
      <c r="N187" s="6">
        <f t="shared" si="40"/>
        <v>-0.17261966289324956</v>
      </c>
      <c r="O187" s="11"/>
      <c r="P187" s="7">
        <v>15202.969999999998</v>
      </c>
      <c r="Q187" s="2"/>
      <c r="R187" s="6">
        <f t="shared" si="41"/>
        <v>4.8153546204164682E-3</v>
      </c>
      <c r="S187" s="2"/>
      <c r="T187" s="7">
        <v>18502.489999999998</v>
      </c>
      <c r="U187" s="2"/>
      <c r="V187" s="6">
        <f t="shared" si="42"/>
        <v>3.4686653073540672E-3</v>
      </c>
      <c r="W187" s="2"/>
      <c r="X187" s="7">
        <f t="shared" si="43"/>
        <v>-3299.5200000000004</v>
      </c>
      <c r="Y187" s="2"/>
      <c r="Z187" s="6">
        <f t="shared" si="44"/>
        <v>-0.1783284303896395</v>
      </c>
    </row>
    <row r="188" spans="1:26" s="24" customFormat="1" hidden="1" outlineLevel="2" x14ac:dyDescent="0.25">
      <c r="A188" s="28"/>
      <c r="B188" s="11" t="str">
        <f>CONCATENATE("          ", "6119", " - ", "SICK LEAVE")</f>
        <v xml:space="preserve">          6119 - SICK LEAVE</v>
      </c>
      <c r="C188" s="11"/>
      <c r="D188" s="7">
        <v>3779.84</v>
      </c>
      <c r="E188" s="2"/>
      <c r="F188" s="6">
        <f t="shared" si="37"/>
        <v>5.9732795677488711E-3</v>
      </c>
      <c r="G188" s="2"/>
      <c r="H188" s="7">
        <v>4755.8100000000004</v>
      </c>
      <c r="I188" s="2"/>
      <c r="J188" s="6">
        <f t="shared" si="38"/>
        <v>3.3791822701632443E-3</v>
      </c>
      <c r="K188" s="2"/>
      <c r="L188" s="7">
        <f t="shared" si="39"/>
        <v>-975.97000000000025</v>
      </c>
      <c r="M188" s="2"/>
      <c r="N188" s="6">
        <f t="shared" si="40"/>
        <v>-0.20521635641457506</v>
      </c>
      <c r="O188" s="11"/>
      <c r="P188" s="7">
        <v>11248.17</v>
      </c>
      <c r="Q188" s="2"/>
      <c r="R188" s="6">
        <f t="shared" si="41"/>
        <v>3.5627201382841586E-3</v>
      </c>
      <c r="S188" s="2"/>
      <c r="T188" s="7">
        <v>16587.79</v>
      </c>
      <c r="U188" s="2"/>
      <c r="V188" s="6">
        <f t="shared" si="42"/>
        <v>3.1097161354322975E-3</v>
      </c>
      <c r="W188" s="2"/>
      <c r="X188" s="7">
        <f t="shared" si="43"/>
        <v>-5339.6200000000008</v>
      </c>
      <c r="Y188" s="2"/>
      <c r="Z188" s="6">
        <f t="shared" si="44"/>
        <v>-0.32190062690689963</v>
      </c>
    </row>
    <row r="189" spans="1:26" s="24" customFormat="1" hidden="1" outlineLevel="2" x14ac:dyDescent="0.25">
      <c r="A189" s="28"/>
      <c r="B189" s="11" t="str">
        <f>CONCATENATE("          ", "6156", " - ", "EMPLOYEE MEALS")</f>
        <v xml:space="preserve">          6156 - EMPLOYEE MEALS</v>
      </c>
      <c r="C189" s="11"/>
      <c r="D189" s="7">
        <v>2109.5100000000002</v>
      </c>
      <c r="E189" s="2"/>
      <c r="F189" s="6">
        <f t="shared" si="37"/>
        <v>3.3336577688372845E-3</v>
      </c>
      <c r="G189" s="2"/>
      <c r="H189" s="7">
        <v>2321.5300000000002</v>
      </c>
      <c r="I189" s="2"/>
      <c r="J189" s="6">
        <f t="shared" si="38"/>
        <v>1.6495345725863894E-3</v>
      </c>
      <c r="K189" s="2"/>
      <c r="L189" s="7">
        <f t="shared" si="39"/>
        <v>-212.01999999999998</v>
      </c>
      <c r="M189" s="2"/>
      <c r="N189" s="6">
        <f t="shared" si="40"/>
        <v>-9.1327701989636134E-2</v>
      </c>
      <c r="O189" s="11"/>
      <c r="P189" s="7">
        <v>4914.7299999999996</v>
      </c>
      <c r="Q189" s="2"/>
      <c r="R189" s="6">
        <f t="shared" si="41"/>
        <v>1.5566805573910512E-3</v>
      </c>
      <c r="S189" s="2"/>
      <c r="T189" s="7">
        <v>6268.56</v>
      </c>
      <c r="U189" s="2"/>
      <c r="V189" s="6">
        <f t="shared" si="42"/>
        <v>1.1751681313740699E-3</v>
      </c>
      <c r="W189" s="2"/>
      <c r="X189" s="7">
        <f t="shared" si="43"/>
        <v>-1353.8300000000008</v>
      </c>
      <c r="Y189" s="2"/>
      <c r="Z189" s="6">
        <f t="shared" si="44"/>
        <v>-0.21597145117858021</v>
      </c>
    </row>
    <row r="190" spans="1:26" s="27" customFormat="1" outlineLevel="1" collapsed="1" x14ac:dyDescent="0.25">
      <c r="A190" s="29"/>
      <c r="B190" s="14" t="str">
        <f>CONCATENATE("     ","*Payroll                                          ")</f>
        <v xml:space="preserve">     *Payroll                                          </v>
      </c>
      <c r="C190" s="14"/>
      <c r="D190" s="1">
        <f>SUM(OSRRefD22_1x_0)</f>
        <v>127866.68000000001</v>
      </c>
      <c r="E190" s="1"/>
      <c r="F190" s="5">
        <f t="shared" ref="F190:F197" si="45">IF(D$12=0,0,D190/D$12)</f>
        <v>0.20206766081100871</v>
      </c>
      <c r="G190" s="1"/>
      <c r="H190" s="1">
        <f>SUM(OSRRefH22_1x_0)</f>
        <v>182683.1</v>
      </c>
      <c r="I190" s="1"/>
      <c r="J190" s="5">
        <f t="shared" ref="J190:J197" si="46">IF(H$12=0,0,H190/H$12)</f>
        <v>0.12980322859375351</v>
      </c>
      <c r="K190" s="1"/>
      <c r="L190" s="1">
        <f t="shared" ref="L190:L197" si="47">+D190-H190</f>
        <v>-54816.42</v>
      </c>
      <c r="M190" s="1"/>
      <c r="N190" s="5">
        <f t="shared" ref="N190:N197" si="48">IF(H190=0,0,L190/H190)</f>
        <v>-0.30006289580152734</v>
      </c>
      <c r="O190" s="14"/>
      <c r="P190" s="1">
        <f>SUM(OSRRefP22_1x_0)</f>
        <v>423987.74000000005</v>
      </c>
      <c r="Q190" s="1"/>
      <c r="R190" s="5">
        <f t="shared" ref="R190:R197" si="49">IF(P$12=0,0,P190/P$12)</f>
        <v>0.13429292584336722</v>
      </c>
      <c r="S190" s="1"/>
      <c r="T190" s="1">
        <f>SUM(OSRRefT22_1x_0)</f>
        <v>594103.36</v>
      </c>
      <c r="U190" s="1"/>
      <c r="V190" s="5">
        <f t="shared" ref="V190:V197" si="50">IF(T$12=0,0,T190/T$12)</f>
        <v>0.11137666950850854</v>
      </c>
      <c r="W190" s="1"/>
      <c r="X190" s="1">
        <f t="shared" ref="X190:X197" si="51">+P190-T190</f>
        <v>-170115.61999999994</v>
      </c>
      <c r="Y190" s="1"/>
      <c r="Z190" s="5">
        <f t="shared" ref="Z190:Z197" si="52">IF(T190=0,0,X190/T190)</f>
        <v>-0.2863401075530021</v>
      </c>
    </row>
    <row r="191" spans="1:26" s="24" customFormat="1" hidden="1" outlineLevel="2" x14ac:dyDescent="0.25">
      <c r="A191" s="28"/>
      <c r="B191" s="11" t="str">
        <f>CONCATENATE("          ", "6001", " - ", "ADMINISTRATIVE SALARIES")</f>
        <v xml:space="preserve">          6001 - ADMINISTRATIVE SALARIES</v>
      </c>
      <c r="C191" s="11"/>
      <c r="D191" s="7">
        <v>4205.74</v>
      </c>
      <c r="E191" s="2"/>
      <c r="F191" s="6">
        <f t="shared" si="45"/>
        <v>6.6463291592406383E-3</v>
      </c>
      <c r="G191" s="2"/>
      <c r="H191" s="7">
        <v>10717.14</v>
      </c>
      <c r="I191" s="2"/>
      <c r="J191" s="6">
        <f t="shared" si="46"/>
        <v>7.6149319411114632E-3</v>
      </c>
      <c r="K191" s="2"/>
      <c r="L191" s="7">
        <f t="shared" si="47"/>
        <v>-6511.4</v>
      </c>
      <c r="M191" s="2"/>
      <c r="N191" s="6">
        <f t="shared" si="48"/>
        <v>-0.60756881033559329</v>
      </c>
      <c r="O191" s="11"/>
      <c r="P191" s="7">
        <v>12937.33</v>
      </c>
      <c r="Q191" s="2"/>
      <c r="R191" s="6">
        <f t="shared" si="49"/>
        <v>4.097740888218065E-3</v>
      </c>
      <c r="S191" s="2"/>
      <c r="T191" s="7">
        <v>33758.700000000004</v>
      </c>
      <c r="U191" s="2"/>
      <c r="V191" s="6">
        <f t="shared" si="50"/>
        <v>6.3287498877920628E-3</v>
      </c>
      <c r="W191" s="2"/>
      <c r="X191" s="7">
        <f t="shared" si="51"/>
        <v>-20821.370000000003</v>
      </c>
      <c r="Y191" s="2"/>
      <c r="Z191" s="6">
        <f t="shared" si="52"/>
        <v>-0.61677049175471799</v>
      </c>
    </row>
    <row r="192" spans="1:26" s="24" customFormat="1" hidden="1" outlineLevel="2" x14ac:dyDescent="0.25">
      <c r="A192" s="28"/>
      <c r="B192" s="11" t="str">
        <f>CONCATENATE("          ", "6002", " - ", "STAFF SALARIES")</f>
        <v xml:space="preserve">          6002 - STAFF SALARIES</v>
      </c>
      <c r="C192" s="11"/>
      <c r="D192" s="7">
        <v>55721.020000000004</v>
      </c>
      <c r="E192" s="2"/>
      <c r="F192" s="6">
        <f t="shared" si="45"/>
        <v>8.8055904551548797E-2</v>
      </c>
      <c r="G192" s="2"/>
      <c r="H192" s="7">
        <v>62140.639999999999</v>
      </c>
      <c r="I192" s="2"/>
      <c r="J192" s="6">
        <f t="shared" si="46"/>
        <v>4.4153267044856059E-2</v>
      </c>
      <c r="K192" s="2"/>
      <c r="L192" s="7">
        <f t="shared" si="47"/>
        <v>-6419.6199999999953</v>
      </c>
      <c r="M192" s="2"/>
      <c r="N192" s="6">
        <f t="shared" si="48"/>
        <v>-0.10330791572149878</v>
      </c>
      <c r="O192" s="11"/>
      <c r="P192" s="7">
        <v>178895.32</v>
      </c>
      <c r="Q192" s="2"/>
      <c r="R192" s="6">
        <f t="shared" si="49"/>
        <v>5.6662902428465146E-2</v>
      </c>
      <c r="S192" s="2"/>
      <c r="T192" s="7">
        <v>188552.8</v>
      </c>
      <c r="U192" s="2"/>
      <c r="V192" s="6">
        <f t="shared" si="50"/>
        <v>3.5348029155236403E-2</v>
      </c>
      <c r="W192" s="2"/>
      <c r="X192" s="7">
        <f t="shared" si="51"/>
        <v>-9657.4799999999814</v>
      </c>
      <c r="Y192" s="2"/>
      <c r="Z192" s="6">
        <f t="shared" si="52"/>
        <v>-5.1218968904200746E-2</v>
      </c>
    </row>
    <row r="193" spans="1:26" s="24" customFormat="1" hidden="1" outlineLevel="2" x14ac:dyDescent="0.25">
      <c r="A193" s="28"/>
      <c r="B193" s="11" t="str">
        <f>CONCATENATE("          ", "6004", " - ", "STAFF HOURLY")</f>
        <v xml:space="preserve">          6004 - STAFF HOURLY</v>
      </c>
      <c r="C193" s="11"/>
      <c r="D193" s="7">
        <v>19602.670000000002</v>
      </c>
      <c r="E193" s="2"/>
      <c r="F193" s="6">
        <f t="shared" si="45"/>
        <v>3.0978091184897711E-2</v>
      </c>
      <c r="G193" s="2"/>
      <c r="H193" s="7">
        <v>1265.96</v>
      </c>
      <c r="I193" s="2"/>
      <c r="J193" s="6">
        <f t="shared" si="46"/>
        <v>8.9951229900602848E-4</v>
      </c>
      <c r="K193" s="2"/>
      <c r="L193" s="7">
        <f t="shared" si="47"/>
        <v>18336.710000000003</v>
      </c>
      <c r="M193" s="2"/>
      <c r="N193" s="6">
        <f t="shared" si="48"/>
        <v>14.484430787702614</v>
      </c>
      <c r="O193" s="11"/>
      <c r="P193" s="7">
        <v>56027.26</v>
      </c>
      <c r="Q193" s="2"/>
      <c r="R193" s="6">
        <f t="shared" si="49"/>
        <v>1.7745948673862727E-2</v>
      </c>
      <c r="S193" s="2"/>
      <c r="T193" s="7">
        <v>6102.21</v>
      </c>
      <c r="U193" s="2"/>
      <c r="V193" s="6">
        <f t="shared" si="50"/>
        <v>1.1439824653432626E-3</v>
      </c>
      <c r="W193" s="2"/>
      <c r="X193" s="7">
        <f t="shared" si="51"/>
        <v>49925.05</v>
      </c>
      <c r="Y193" s="2"/>
      <c r="Z193" s="6">
        <f t="shared" si="52"/>
        <v>8.1814703197693959</v>
      </c>
    </row>
    <row r="194" spans="1:26" s="24" customFormat="1" hidden="1" outlineLevel="2" x14ac:dyDescent="0.25">
      <c r="A194" s="28"/>
      <c r="B194" s="11" t="str">
        <f>CONCATENATE("          ", "6005", " - ", "TEMPORARY WAGES-HOURLY")</f>
        <v xml:space="preserve">          6005 - TEMPORARY WAGES-HOURLY</v>
      </c>
      <c r="C194" s="11"/>
      <c r="D194" s="7">
        <v>25841.46</v>
      </c>
      <c r="E194" s="2"/>
      <c r="F194" s="6">
        <f t="shared" si="45"/>
        <v>4.083724840702245E-2</v>
      </c>
      <c r="G194" s="2"/>
      <c r="H194" s="7">
        <v>20170.329999999998</v>
      </c>
      <c r="I194" s="2"/>
      <c r="J194" s="6">
        <f t="shared" si="46"/>
        <v>1.4331779763981693E-2</v>
      </c>
      <c r="K194" s="2"/>
      <c r="L194" s="7">
        <f t="shared" si="47"/>
        <v>5671.130000000001</v>
      </c>
      <c r="M194" s="2"/>
      <c r="N194" s="6">
        <f t="shared" si="48"/>
        <v>0.28116198396357428</v>
      </c>
      <c r="O194" s="11"/>
      <c r="P194" s="7">
        <v>60732.5</v>
      </c>
      <c r="Q194" s="2"/>
      <c r="R194" s="6">
        <f t="shared" si="49"/>
        <v>1.9236275838500187E-2</v>
      </c>
      <c r="S194" s="2"/>
      <c r="T194" s="7">
        <v>60183.91</v>
      </c>
      <c r="U194" s="2"/>
      <c r="V194" s="6">
        <f t="shared" si="50"/>
        <v>1.1282689015257922E-2</v>
      </c>
      <c r="W194" s="2"/>
      <c r="X194" s="7">
        <f t="shared" si="51"/>
        <v>548.58999999999651</v>
      </c>
      <c r="Y194" s="2"/>
      <c r="Z194" s="6">
        <f t="shared" si="52"/>
        <v>9.1152269767782856E-3</v>
      </c>
    </row>
    <row r="195" spans="1:26" s="24" customFormat="1" hidden="1" outlineLevel="2" x14ac:dyDescent="0.25">
      <c r="A195" s="28"/>
      <c r="B195" s="11" t="str">
        <f>CONCATENATE("          ", "6006", " - ", "TEMPORARY PART TIME")</f>
        <v xml:space="preserve">          6006 - TEMPORARY PART TIME</v>
      </c>
      <c r="C195" s="11"/>
      <c r="D195" s="7">
        <v>1728.86</v>
      </c>
      <c r="E195" s="2"/>
      <c r="F195" s="6">
        <f t="shared" si="45"/>
        <v>2.7321167333798023E-3</v>
      </c>
      <c r="G195" s="2"/>
      <c r="H195" s="7">
        <v>8044.72</v>
      </c>
      <c r="I195" s="2"/>
      <c r="J195" s="6">
        <f t="shared" si="46"/>
        <v>5.7160767971024184E-3</v>
      </c>
      <c r="K195" s="2"/>
      <c r="L195" s="7">
        <f t="shared" si="47"/>
        <v>-6315.8600000000006</v>
      </c>
      <c r="M195" s="2"/>
      <c r="N195" s="6">
        <f t="shared" si="48"/>
        <v>-0.7850938255153691</v>
      </c>
      <c r="O195" s="11"/>
      <c r="P195" s="7">
        <v>5704.41</v>
      </c>
      <c r="Q195" s="2"/>
      <c r="R195" s="6">
        <f t="shared" si="49"/>
        <v>1.806802029488311E-3</v>
      </c>
      <c r="S195" s="2"/>
      <c r="T195" s="7">
        <v>19270.54</v>
      </c>
      <c r="U195" s="2"/>
      <c r="V195" s="6">
        <f t="shared" si="50"/>
        <v>3.6126517864340881E-3</v>
      </c>
      <c r="W195" s="2"/>
      <c r="X195" s="7">
        <f t="shared" si="51"/>
        <v>-13566.130000000001</v>
      </c>
      <c r="Y195" s="2"/>
      <c r="Z195" s="6">
        <f t="shared" si="52"/>
        <v>-0.70398286711218261</v>
      </c>
    </row>
    <row r="196" spans="1:26" s="24" customFormat="1" hidden="1" outlineLevel="2" x14ac:dyDescent="0.25">
      <c r="A196" s="28"/>
      <c r="B196" s="11" t="str">
        <f>CONCATENATE("          ", "6007", " - ", "STUDENT HOURLY")</f>
        <v xml:space="preserve">          6007 - STUDENT HOURLY</v>
      </c>
      <c r="C196" s="11"/>
      <c r="D196" s="7">
        <v>19711.259999999998</v>
      </c>
      <c r="E196" s="2"/>
      <c r="F196" s="6">
        <f t="shared" si="45"/>
        <v>3.1149695916384185E-2</v>
      </c>
      <c r="G196" s="2"/>
      <c r="H196" s="7">
        <v>78682.31</v>
      </c>
      <c r="I196" s="2"/>
      <c r="J196" s="6">
        <f t="shared" si="46"/>
        <v>5.5906747100386289E-2</v>
      </c>
      <c r="K196" s="2"/>
      <c r="L196" s="7">
        <f t="shared" si="47"/>
        <v>-58971.05</v>
      </c>
      <c r="M196" s="2"/>
      <c r="N196" s="6">
        <f t="shared" si="48"/>
        <v>-0.74948295239425489</v>
      </c>
      <c r="O196" s="11"/>
      <c r="P196" s="7">
        <v>108202.22</v>
      </c>
      <c r="Q196" s="2"/>
      <c r="R196" s="6">
        <f t="shared" si="49"/>
        <v>3.4271728485705047E-2</v>
      </c>
      <c r="S196" s="2"/>
      <c r="T196" s="7">
        <v>282611.20000000001</v>
      </c>
      <c r="U196" s="2"/>
      <c r="V196" s="6">
        <f t="shared" si="50"/>
        <v>5.2981175231533804E-2</v>
      </c>
      <c r="W196" s="2"/>
      <c r="X196" s="7">
        <f t="shared" si="51"/>
        <v>-174408.98</v>
      </c>
      <c r="Y196" s="2"/>
      <c r="Z196" s="6">
        <f t="shared" si="52"/>
        <v>-0.61713399893564025</v>
      </c>
    </row>
    <row r="197" spans="1:26" s="24" customFormat="1" hidden="1" outlineLevel="2" x14ac:dyDescent="0.25">
      <c r="A197" s="28"/>
      <c r="B197" s="11" t="str">
        <f>CONCATENATE("          ", "6008", " - ", "STUDENT HOURLY-FICA EXEMPT")</f>
        <v xml:space="preserve">          6008 - STUDENT HOURLY-FICA EXEMPT</v>
      </c>
      <c r="C197" s="11"/>
      <c r="D197" s="7">
        <v>1055.67</v>
      </c>
      <c r="E197" s="2"/>
      <c r="F197" s="6">
        <f t="shared" si="45"/>
        <v>1.6682748585351366E-3</v>
      </c>
      <c r="G197" s="2"/>
      <c r="H197" s="7">
        <v>1662</v>
      </c>
      <c r="I197" s="2"/>
      <c r="J197" s="6">
        <f t="shared" si="46"/>
        <v>1.1809136473095669E-3</v>
      </c>
      <c r="K197" s="2"/>
      <c r="L197" s="7">
        <f t="shared" si="47"/>
        <v>-606.32999999999993</v>
      </c>
      <c r="M197" s="2"/>
      <c r="N197" s="6">
        <f t="shared" si="48"/>
        <v>-0.36481949458483748</v>
      </c>
      <c r="O197" s="11"/>
      <c r="P197" s="7">
        <v>1488.7</v>
      </c>
      <c r="Q197" s="2"/>
      <c r="R197" s="6">
        <f t="shared" si="49"/>
        <v>4.7152749912773606E-4</v>
      </c>
      <c r="S197" s="2"/>
      <c r="T197" s="7">
        <v>3624</v>
      </c>
      <c r="U197" s="2"/>
      <c r="V197" s="6">
        <f t="shared" si="50"/>
        <v>6.7939196691100168E-4</v>
      </c>
      <c r="W197" s="2"/>
      <c r="X197" s="7">
        <f t="shared" si="51"/>
        <v>-2135.3000000000002</v>
      </c>
      <c r="Y197" s="2"/>
      <c r="Z197" s="6">
        <f t="shared" si="52"/>
        <v>-0.58921081677704201</v>
      </c>
    </row>
    <row r="198" spans="1:26" s="27" customFormat="1" outlineLevel="1" collapsed="1" x14ac:dyDescent="0.25">
      <c r="A198" s="29"/>
      <c r="B198" s="14" t="str">
        <f>CONCATENATE("     ","Advertising/Promo                                 ")</f>
        <v xml:space="preserve">     Advertising/Promo                                 </v>
      </c>
      <c r="C198" s="14"/>
      <c r="D198" s="1">
        <f>SUM(OSRRefD22_2x_0)</f>
        <v>391.39</v>
      </c>
      <c r="E198" s="1"/>
      <c r="F198" s="5">
        <f t="shared" ref="F198:F206" si="53">IF(D$12=0,0,D198/D$12)</f>
        <v>6.1851345295600615E-4</v>
      </c>
      <c r="G198" s="1"/>
      <c r="H198" s="1">
        <f>SUM(OSRRefH22_2x_0)</f>
        <v>-84.58</v>
      </c>
      <c r="I198" s="1"/>
      <c r="J198" s="5">
        <f t="shared" ref="J198:J206" si="54">IF(H$12=0,0,H198/H$12)</f>
        <v>-6.0097278152492884E-5</v>
      </c>
      <c r="K198" s="1"/>
      <c r="L198" s="1">
        <f t="shared" ref="L198:L206" si="55">+D198-H198</f>
        <v>475.96999999999997</v>
      </c>
      <c r="M198" s="1"/>
      <c r="N198" s="5">
        <f t="shared" ref="N198:N206" si="56">IF(H198=0,0,L198/H198)</f>
        <v>-5.6274532986521635</v>
      </c>
      <c r="O198" s="14"/>
      <c r="P198" s="1">
        <f>SUM(OSRRefP22_2x_0)</f>
        <v>12642.47</v>
      </c>
      <c r="Q198" s="1"/>
      <c r="R198" s="5">
        <f t="shared" ref="R198:R206" si="57">IF(P$12=0,0,P198/P$12)</f>
        <v>4.0043475931332223E-3</v>
      </c>
      <c r="S198" s="1"/>
      <c r="T198" s="1">
        <f>SUM(OSRRefT22_2x_0)</f>
        <v>7808.08</v>
      </c>
      <c r="U198" s="1"/>
      <c r="V198" s="5">
        <f t="shared" ref="V198:V206" si="58">IF(T$12=0,0,T198/T$12)</f>
        <v>1.4637822375823549E-3</v>
      </c>
      <c r="W198" s="1"/>
      <c r="X198" s="1">
        <f t="shared" ref="X198:X206" si="59">+P198-T198</f>
        <v>4834.3899999999994</v>
      </c>
      <c r="Y198" s="1"/>
      <c r="Z198" s="5">
        <f t="shared" ref="Z198:Z206" si="60">IF(T198=0,0,X198/T198)</f>
        <v>0.61915221155520939</v>
      </c>
    </row>
    <row r="199" spans="1:26" s="24" customFormat="1" hidden="1" outlineLevel="2" x14ac:dyDescent="0.25">
      <c r="A199" s="28"/>
      <c r="B199" s="11" t="str">
        <f>CONCATENATE("          ", "6362", " - ", "ADVERTISING EXPENSE")</f>
        <v xml:space="preserve">          6362 - ADVERTISING EXPENSE</v>
      </c>
      <c r="C199" s="11"/>
      <c r="D199" s="7">
        <v>391.39</v>
      </c>
      <c r="E199" s="2"/>
      <c r="F199" s="6">
        <f t="shared" si="53"/>
        <v>6.1851345295600615E-4</v>
      </c>
      <c r="G199" s="2"/>
      <c r="H199" s="7">
        <v>-84.58</v>
      </c>
      <c r="I199" s="2"/>
      <c r="J199" s="6">
        <f t="shared" si="54"/>
        <v>-6.0097278152492884E-5</v>
      </c>
      <c r="K199" s="2"/>
      <c r="L199" s="7">
        <f t="shared" si="55"/>
        <v>475.96999999999997</v>
      </c>
      <c r="M199" s="2"/>
      <c r="N199" s="6">
        <f t="shared" si="56"/>
        <v>-5.6274532986521635</v>
      </c>
      <c r="O199" s="11"/>
      <c r="P199" s="7">
        <v>12642.47</v>
      </c>
      <c r="Q199" s="2"/>
      <c r="R199" s="6">
        <f t="shared" si="57"/>
        <v>4.0043475931332223E-3</v>
      </c>
      <c r="S199" s="2"/>
      <c r="T199" s="7">
        <v>7808.08</v>
      </c>
      <c r="U199" s="2"/>
      <c r="V199" s="6">
        <f t="shared" si="58"/>
        <v>1.4637822375823549E-3</v>
      </c>
      <c r="W199" s="2"/>
      <c r="X199" s="7">
        <f t="shared" si="59"/>
        <v>4834.3899999999994</v>
      </c>
      <c r="Y199" s="2"/>
      <c r="Z199" s="6">
        <f t="shared" si="60"/>
        <v>0.61915221155520939</v>
      </c>
    </row>
    <row r="200" spans="1:26" s="27" customFormat="1" outlineLevel="1" collapsed="1" x14ac:dyDescent="0.25">
      <c r="A200" s="29"/>
      <c r="B200" s="14" t="str">
        <f>CONCATENATE("     ","Bad Debts/Over/Short                              ")</f>
        <v xml:space="preserve">     Bad Debts/Over/Short                              </v>
      </c>
      <c r="C200" s="14"/>
      <c r="D200" s="1">
        <f>SUM(OSRRefD22_3x_0)</f>
        <v>8.2200000000000006</v>
      </c>
      <c r="E200" s="1"/>
      <c r="F200" s="5">
        <f t="shared" si="53"/>
        <v>1.2990062554736635E-5</v>
      </c>
      <c r="G200" s="1"/>
      <c r="H200" s="1">
        <f>SUM(OSRRefH22_3x_0)</f>
        <v>-82.82</v>
      </c>
      <c r="I200" s="1"/>
      <c r="J200" s="5">
        <f t="shared" si="54"/>
        <v>-5.8846731811178292E-5</v>
      </c>
      <c r="K200" s="1"/>
      <c r="L200" s="1">
        <f t="shared" si="55"/>
        <v>91.039999999999992</v>
      </c>
      <c r="M200" s="1"/>
      <c r="N200" s="5">
        <f t="shared" si="56"/>
        <v>-1.0992513885534896</v>
      </c>
      <c r="O200" s="14"/>
      <c r="P200" s="1">
        <f>SUM(OSRRefP22_3x_0)</f>
        <v>80.010000000000005</v>
      </c>
      <c r="Q200" s="1"/>
      <c r="R200" s="5">
        <f t="shared" si="57"/>
        <v>2.5342187952717245E-5</v>
      </c>
      <c r="S200" s="1"/>
      <c r="T200" s="1">
        <f>SUM(OSRRefT22_3x_0)</f>
        <v>-165.15</v>
      </c>
      <c r="U200" s="1"/>
      <c r="V200" s="5">
        <f t="shared" si="58"/>
        <v>-3.0960701803353185E-5</v>
      </c>
      <c r="W200" s="1"/>
      <c r="X200" s="1">
        <f t="shared" si="59"/>
        <v>245.16000000000003</v>
      </c>
      <c r="Y200" s="1"/>
      <c r="Z200" s="5">
        <f t="shared" si="60"/>
        <v>-1.4844686648501364</v>
      </c>
    </row>
    <row r="201" spans="1:26" s="24" customFormat="1" hidden="1" outlineLevel="2" x14ac:dyDescent="0.25">
      <c r="A201" s="28"/>
      <c r="B201" s="11" t="str">
        <f>CONCATENATE("          ", "6272", " - ", "CASH (OVER/SHORT)")</f>
        <v xml:space="preserve">          6272 - CASH (OVER/SHORT)</v>
      </c>
      <c r="C201" s="11"/>
      <c r="D201" s="7">
        <v>8.2200000000000006</v>
      </c>
      <c r="E201" s="2"/>
      <c r="F201" s="6">
        <f t="shared" si="53"/>
        <v>1.2990062554736635E-5</v>
      </c>
      <c r="G201" s="2"/>
      <c r="H201" s="7">
        <v>-82.82</v>
      </c>
      <c r="I201" s="2"/>
      <c r="J201" s="6">
        <f t="shared" si="54"/>
        <v>-5.8846731811178292E-5</v>
      </c>
      <c r="K201" s="2"/>
      <c r="L201" s="7">
        <f t="shared" si="55"/>
        <v>91.039999999999992</v>
      </c>
      <c r="M201" s="2"/>
      <c r="N201" s="6">
        <f t="shared" si="56"/>
        <v>-1.0992513885534896</v>
      </c>
      <c r="O201" s="11"/>
      <c r="P201" s="7">
        <v>80.010000000000005</v>
      </c>
      <c r="Q201" s="2"/>
      <c r="R201" s="6">
        <f t="shared" si="57"/>
        <v>2.5342187952717245E-5</v>
      </c>
      <c r="S201" s="2"/>
      <c r="T201" s="7">
        <v>-165.15</v>
      </c>
      <c r="U201" s="2"/>
      <c r="V201" s="6">
        <f t="shared" si="58"/>
        <v>-3.0960701803353185E-5</v>
      </c>
      <c r="W201" s="2"/>
      <c r="X201" s="7">
        <f t="shared" si="59"/>
        <v>245.16000000000003</v>
      </c>
      <c r="Y201" s="2"/>
      <c r="Z201" s="6">
        <f t="shared" si="60"/>
        <v>-1.4844686648501364</v>
      </c>
    </row>
    <row r="202" spans="1:26" s="27" customFormat="1" outlineLevel="1" collapsed="1" x14ac:dyDescent="0.25">
      <c r="A202" s="29"/>
      <c r="B202" s="14" t="str">
        <f>CONCATENATE("     ","Bank/card Fees                                    ")</f>
        <v xml:space="preserve">     Bank/card Fees                                    </v>
      </c>
      <c r="C202" s="14"/>
      <c r="D202" s="1">
        <f>SUM(OSRRefD22_4x_0)</f>
        <v>9050.2199999999993</v>
      </c>
      <c r="E202" s="1"/>
      <c r="F202" s="5">
        <f t="shared" si="53"/>
        <v>1.4302058872765033E-2</v>
      </c>
      <c r="G202" s="1"/>
      <c r="H202" s="1">
        <f>SUM(OSRRefH22_4x_0)</f>
        <v>20801.550000000003</v>
      </c>
      <c r="I202" s="1"/>
      <c r="J202" s="5">
        <f t="shared" si="54"/>
        <v>1.4780285367143396E-2</v>
      </c>
      <c r="K202" s="1"/>
      <c r="L202" s="1">
        <f t="shared" si="55"/>
        <v>-11751.330000000004</v>
      </c>
      <c r="M202" s="1"/>
      <c r="N202" s="5">
        <f t="shared" si="56"/>
        <v>-0.56492569063363074</v>
      </c>
      <c r="O202" s="14"/>
      <c r="P202" s="1">
        <f>SUM(OSRRefP22_4x_0)</f>
        <v>34247.769999999997</v>
      </c>
      <c r="Q202" s="1"/>
      <c r="R202" s="5">
        <f t="shared" si="57"/>
        <v>1.0847561858535569E-2</v>
      </c>
      <c r="S202" s="1"/>
      <c r="T202" s="1">
        <f>SUM(OSRRefT22_4x_0)</f>
        <v>60257.06</v>
      </c>
      <c r="U202" s="1"/>
      <c r="V202" s="5">
        <f t="shared" si="58"/>
        <v>1.1296402459623135E-2</v>
      </c>
      <c r="W202" s="1"/>
      <c r="X202" s="1">
        <f t="shared" si="59"/>
        <v>-26009.29</v>
      </c>
      <c r="Y202" s="1"/>
      <c r="Z202" s="5">
        <f t="shared" si="60"/>
        <v>-0.43163888181733395</v>
      </c>
    </row>
    <row r="203" spans="1:26" s="24" customFormat="1" hidden="1" outlineLevel="2" x14ac:dyDescent="0.25">
      <c r="A203" s="28"/>
      <c r="B203" s="11" t="str">
        <f>CONCATENATE("          ", "6381", " - ", "BANK/CREDIT CARD FEES")</f>
        <v xml:space="preserve">          6381 - BANK/CREDIT CARD FEES</v>
      </c>
      <c r="C203" s="11"/>
      <c r="D203" s="7">
        <v>9050.2199999999993</v>
      </c>
      <c r="E203" s="2"/>
      <c r="F203" s="6">
        <f t="shared" si="53"/>
        <v>1.4302058872765033E-2</v>
      </c>
      <c r="G203" s="2"/>
      <c r="H203" s="7">
        <v>20801.550000000003</v>
      </c>
      <c r="I203" s="2"/>
      <c r="J203" s="6">
        <f t="shared" si="54"/>
        <v>1.4780285367143396E-2</v>
      </c>
      <c r="K203" s="2"/>
      <c r="L203" s="7">
        <f t="shared" si="55"/>
        <v>-11751.330000000004</v>
      </c>
      <c r="M203" s="2"/>
      <c r="N203" s="6">
        <f t="shared" si="56"/>
        <v>-0.56492569063363074</v>
      </c>
      <c r="O203" s="11"/>
      <c r="P203" s="7">
        <v>34247.769999999997</v>
      </c>
      <c r="Q203" s="2"/>
      <c r="R203" s="6">
        <f t="shared" si="57"/>
        <v>1.0847561858535569E-2</v>
      </c>
      <c r="S203" s="2"/>
      <c r="T203" s="7">
        <v>60257.06</v>
      </c>
      <c r="U203" s="2"/>
      <c r="V203" s="6">
        <f t="shared" si="58"/>
        <v>1.1296402459623135E-2</v>
      </c>
      <c r="W203" s="2"/>
      <c r="X203" s="7">
        <f t="shared" si="59"/>
        <v>-26009.29</v>
      </c>
      <c r="Y203" s="2"/>
      <c r="Z203" s="6">
        <f t="shared" si="60"/>
        <v>-0.43163888181733395</v>
      </c>
    </row>
    <row r="204" spans="1:26" s="27" customFormat="1" outlineLevel="1" collapsed="1" x14ac:dyDescent="0.25">
      <c r="A204" s="29"/>
      <c r="B204" s="14" t="str">
        <f>CONCATENATE("     ","Depreciation                                      ")</f>
        <v xml:space="preserve">     Depreciation                                      </v>
      </c>
      <c r="C204" s="14"/>
      <c r="D204" s="1">
        <f>SUM(OSRRefD22_5x_0)</f>
        <v>31347.279999999999</v>
      </c>
      <c r="E204" s="1"/>
      <c r="F204" s="5">
        <f t="shared" si="53"/>
        <v>4.9538093445358221E-2</v>
      </c>
      <c r="G204" s="1"/>
      <c r="H204" s="1">
        <f>SUM(OSRRefH22_5x_0)</f>
        <v>29887.870000000003</v>
      </c>
      <c r="I204" s="1"/>
      <c r="J204" s="5">
        <f t="shared" si="54"/>
        <v>2.123645822624199E-2</v>
      </c>
      <c r="K204" s="1"/>
      <c r="L204" s="1">
        <f t="shared" si="55"/>
        <v>1459.4099999999962</v>
      </c>
      <c r="M204" s="1"/>
      <c r="N204" s="5">
        <f t="shared" si="56"/>
        <v>4.8829508425993422E-2</v>
      </c>
      <c r="O204" s="14"/>
      <c r="P204" s="1">
        <f>SUM(OSRRefP22_5x_0)</f>
        <v>93344.35</v>
      </c>
      <c r="Q204" s="1"/>
      <c r="R204" s="5">
        <f t="shared" si="57"/>
        <v>2.9565680065294614E-2</v>
      </c>
      <c r="S204" s="1"/>
      <c r="T204" s="1">
        <f>SUM(OSRRefT22_5x_0)</f>
        <v>89663.609999999986</v>
      </c>
      <c r="U204" s="1"/>
      <c r="V204" s="5">
        <f t="shared" si="58"/>
        <v>1.6809253961987018E-2</v>
      </c>
      <c r="W204" s="1"/>
      <c r="X204" s="1">
        <f t="shared" si="59"/>
        <v>3680.7400000000198</v>
      </c>
      <c r="Y204" s="1"/>
      <c r="Z204" s="5">
        <f t="shared" si="60"/>
        <v>4.1050544362423287E-2</v>
      </c>
    </row>
    <row r="205" spans="1:26" s="24" customFormat="1" hidden="1" outlineLevel="2" x14ac:dyDescent="0.25">
      <c r="A205" s="28"/>
      <c r="B205" s="11" t="str">
        <f>CONCATENATE("          ", "6321", " - ", "BUILDING DEPRECIATION")</f>
        <v xml:space="preserve">          6321 - BUILDING DEPRECIATION</v>
      </c>
      <c r="C205" s="11"/>
      <c r="D205" s="7">
        <v>16396.52</v>
      </c>
      <c r="E205" s="2"/>
      <c r="F205" s="6">
        <f t="shared" si="53"/>
        <v>2.5911413683697117E-2</v>
      </c>
      <c r="G205" s="2"/>
      <c r="H205" s="7">
        <v>16396.52</v>
      </c>
      <c r="I205" s="2"/>
      <c r="J205" s="6">
        <f t="shared" si="54"/>
        <v>1.1650345509256475E-2</v>
      </c>
      <c r="K205" s="2"/>
      <c r="L205" s="7">
        <f t="shared" si="55"/>
        <v>0</v>
      </c>
      <c r="M205" s="2"/>
      <c r="N205" s="6">
        <f t="shared" si="56"/>
        <v>0</v>
      </c>
      <c r="O205" s="11"/>
      <c r="P205" s="7">
        <v>49189.56</v>
      </c>
      <c r="Q205" s="2"/>
      <c r="R205" s="6">
        <f t="shared" si="57"/>
        <v>1.5580190911529334E-2</v>
      </c>
      <c r="S205" s="2"/>
      <c r="T205" s="7">
        <v>49189.56</v>
      </c>
      <c r="U205" s="2"/>
      <c r="V205" s="6">
        <f t="shared" si="58"/>
        <v>9.2215761368340879E-3</v>
      </c>
      <c r="W205" s="2"/>
      <c r="X205" s="7">
        <f t="shared" si="59"/>
        <v>0</v>
      </c>
      <c r="Y205" s="2"/>
      <c r="Z205" s="6">
        <f t="shared" si="60"/>
        <v>0</v>
      </c>
    </row>
    <row r="206" spans="1:26" s="24" customFormat="1" hidden="1" outlineLevel="2" x14ac:dyDescent="0.25">
      <c r="A206" s="28"/>
      <c r="B206" s="11" t="str">
        <f>CONCATENATE("          ", "6322", " - ", "EQUIPMENT DEPRECIATION EXPENSE")</f>
        <v xml:space="preserve">          6322 - EQUIPMENT DEPRECIATION EXPENSE</v>
      </c>
      <c r="C206" s="11"/>
      <c r="D206" s="7">
        <v>14950.76</v>
      </c>
      <c r="E206" s="2"/>
      <c r="F206" s="6">
        <f t="shared" si="53"/>
        <v>2.3626679761661103E-2</v>
      </c>
      <c r="G206" s="2"/>
      <c r="H206" s="7">
        <v>13491.35</v>
      </c>
      <c r="I206" s="2"/>
      <c r="J206" s="6">
        <f t="shared" si="54"/>
        <v>9.5861127169855152E-3</v>
      </c>
      <c r="K206" s="2"/>
      <c r="L206" s="7">
        <f t="shared" si="55"/>
        <v>1459.4099999999999</v>
      </c>
      <c r="M206" s="2"/>
      <c r="N206" s="6">
        <f t="shared" si="56"/>
        <v>0.10817375577684959</v>
      </c>
      <c r="O206" s="11"/>
      <c r="P206" s="7">
        <v>44154.79</v>
      </c>
      <c r="Q206" s="2"/>
      <c r="R206" s="6">
        <f t="shared" si="57"/>
        <v>1.3985489153765277E-2</v>
      </c>
      <c r="S206" s="2"/>
      <c r="T206" s="7">
        <v>40474.049999999996</v>
      </c>
      <c r="U206" s="2"/>
      <c r="V206" s="6">
        <f t="shared" si="58"/>
        <v>7.5876778251529322E-3</v>
      </c>
      <c r="W206" s="2"/>
      <c r="X206" s="7">
        <f t="shared" si="59"/>
        <v>3680.7400000000052</v>
      </c>
      <c r="Y206" s="2"/>
      <c r="Z206" s="6">
        <f t="shared" si="60"/>
        <v>9.0940738571998747E-2</v>
      </c>
    </row>
    <row r="207" spans="1:26" s="27" customFormat="1" outlineLevel="1" collapsed="1" x14ac:dyDescent="0.25">
      <c r="A207" s="29"/>
      <c r="B207" s="14" t="str">
        <f>CONCATENATE("     ","Discounts and Markdowns                           ")</f>
        <v xml:space="preserve">     Discounts and Markdowns                           </v>
      </c>
      <c r="C207" s="14"/>
      <c r="D207" s="1">
        <f>SUM(OSRRefD22_6x_0)</f>
        <v>830.95</v>
      </c>
      <c r="E207" s="1"/>
      <c r="F207" s="5">
        <f t="shared" ref="F207:F209" si="61">IF(D$12=0,0,D207/D$12)</f>
        <v>1.3131499367224338E-3</v>
      </c>
      <c r="G207" s="1"/>
      <c r="H207" s="1">
        <f>SUM(OSRRefH22_6x_0)</f>
        <v>1925.6699999999998</v>
      </c>
      <c r="I207" s="1"/>
      <c r="J207" s="5">
        <f t="shared" ref="J207:J209" si="62">IF(H$12=0,0,H207/H$12)</f>
        <v>1.3682611210677578E-3</v>
      </c>
      <c r="K207" s="1"/>
      <c r="L207" s="1">
        <f t="shared" ref="L207:L209" si="63">+D207-H207</f>
        <v>-1094.7199999999998</v>
      </c>
      <c r="M207" s="1"/>
      <c r="N207" s="5">
        <f t="shared" ref="N207:N209" si="64">IF(H207=0,0,L207/H207)</f>
        <v>-0.56848785098173615</v>
      </c>
      <c r="O207" s="14"/>
      <c r="P207" s="1">
        <f>SUM(OSRRefP22_6x_0)</f>
        <v>830.95</v>
      </c>
      <c r="Q207" s="1"/>
      <c r="R207" s="5">
        <f t="shared" ref="R207:R209" si="65">IF(P$12=0,0,P207/P$12)</f>
        <v>2.6319323933646287E-4</v>
      </c>
      <c r="S207" s="1"/>
      <c r="T207" s="1">
        <f>SUM(OSRRefT22_6x_0)</f>
        <v>131028.24999999999</v>
      </c>
      <c r="U207" s="1"/>
      <c r="V207" s="5">
        <f t="shared" ref="V207:V209" si="66">IF(T$12=0,0,T207/T$12)</f>
        <v>2.4563890863246812E-2</v>
      </c>
      <c r="W207" s="1"/>
      <c r="X207" s="1">
        <f t="shared" ref="X207:X209" si="67">+P207-T207</f>
        <v>-130197.29999999999</v>
      </c>
      <c r="Y207" s="1"/>
      <c r="Z207" s="5">
        <f t="shared" ref="Z207:Z209" si="68">IF(T207=0,0,X207/T207)</f>
        <v>-0.99365823782275964</v>
      </c>
    </row>
    <row r="208" spans="1:26" s="24" customFormat="1" hidden="1" outlineLevel="2" x14ac:dyDescent="0.25">
      <c r="A208" s="28"/>
      <c r="B208" s="11" t="str">
        <f>CONCATENATE("          ", "6382", " - ", "DISCOUNTS/MARK DOWNS")</f>
        <v xml:space="preserve">          6382 - DISCOUNTS/MARK DOWNS</v>
      </c>
      <c r="C208" s="11"/>
      <c r="D208" s="7">
        <v>830.95</v>
      </c>
      <c r="E208" s="2"/>
      <c r="F208" s="6">
        <f t="shared" si="61"/>
        <v>1.3131499367224338E-3</v>
      </c>
      <c r="G208" s="2"/>
      <c r="H208" s="7">
        <v>2323.9699999999998</v>
      </c>
      <c r="I208" s="2"/>
      <c r="J208" s="6">
        <f t="shared" si="62"/>
        <v>1.6512682845595751E-3</v>
      </c>
      <c r="K208" s="2"/>
      <c r="L208" s="7">
        <f t="shared" si="63"/>
        <v>-1493.0199999999998</v>
      </c>
      <c r="M208" s="2"/>
      <c r="N208" s="6">
        <f t="shared" si="64"/>
        <v>-0.64244374927387182</v>
      </c>
      <c r="O208" s="11"/>
      <c r="P208" s="7">
        <v>830.95</v>
      </c>
      <c r="Q208" s="2"/>
      <c r="R208" s="6">
        <f t="shared" si="65"/>
        <v>2.6319323933646287E-4</v>
      </c>
      <c r="S208" s="2"/>
      <c r="T208" s="7">
        <v>132676.10999999999</v>
      </c>
      <c r="U208" s="2"/>
      <c r="V208" s="6">
        <f t="shared" si="66"/>
        <v>2.4872815489790402E-2</v>
      </c>
      <c r="W208" s="2"/>
      <c r="X208" s="7">
        <f t="shared" si="67"/>
        <v>-131845.15999999997</v>
      </c>
      <c r="Y208" s="2"/>
      <c r="Z208" s="6">
        <f t="shared" si="68"/>
        <v>-0.99373700359469375</v>
      </c>
    </row>
    <row r="209" spans="1:26" s="24" customFormat="1" hidden="1" outlineLevel="2" x14ac:dyDescent="0.25">
      <c r="A209" s="28"/>
      <c r="B209" s="11" t="str">
        <f>CONCATENATE("          ", "9175", " - ", "EARNED DISCOUNTS")</f>
        <v xml:space="preserve">          9175 - EARNED DISCOUNTS</v>
      </c>
      <c r="C209" s="11"/>
      <c r="D209" s="7"/>
      <c r="E209" s="2"/>
      <c r="F209" s="6">
        <f t="shared" si="61"/>
        <v>0</v>
      </c>
      <c r="G209" s="2"/>
      <c r="H209" s="7">
        <v>-398.3</v>
      </c>
      <c r="I209" s="2"/>
      <c r="J209" s="6">
        <f t="shared" si="62"/>
        <v>-2.8300716349181741E-4</v>
      </c>
      <c r="K209" s="2"/>
      <c r="L209" s="7">
        <f t="shared" si="63"/>
        <v>398.3</v>
      </c>
      <c r="M209" s="2"/>
      <c r="N209" s="6">
        <f t="shared" si="64"/>
        <v>-1</v>
      </c>
      <c r="O209" s="11"/>
      <c r="P209" s="7"/>
      <c r="Q209" s="2"/>
      <c r="R209" s="6">
        <f t="shared" si="65"/>
        <v>0</v>
      </c>
      <c r="S209" s="2"/>
      <c r="T209" s="7">
        <v>-1647.86</v>
      </c>
      <c r="U209" s="2"/>
      <c r="V209" s="6">
        <f t="shared" si="66"/>
        <v>-3.0892462654358809E-4</v>
      </c>
      <c r="W209" s="2"/>
      <c r="X209" s="7">
        <f t="shared" si="67"/>
        <v>1647.86</v>
      </c>
      <c r="Y209" s="2"/>
      <c r="Z209" s="6">
        <f t="shared" si="68"/>
        <v>-1</v>
      </c>
    </row>
    <row r="210" spans="1:26" s="27" customFormat="1" outlineLevel="1" collapsed="1" x14ac:dyDescent="0.25">
      <c r="A210" s="29"/>
      <c r="B210" s="14" t="str">
        <f>CONCATENATE("     ","Donations                                         ")</f>
        <v xml:space="preserve">     Donations                                         </v>
      </c>
      <c r="C210" s="14"/>
      <c r="D210" s="1">
        <f>SUM(OSRRefD22_7x_0)</f>
        <v>0</v>
      </c>
      <c r="E210" s="1"/>
      <c r="F210" s="5">
        <f t="shared" ref="F210:F218" si="69">IF(D$12=0,0,D210/D$12)</f>
        <v>0</v>
      </c>
      <c r="G210" s="1"/>
      <c r="H210" s="1">
        <f>SUM(OSRRefH22_7x_0)</f>
        <v>1608.36</v>
      </c>
      <c r="I210" s="1"/>
      <c r="J210" s="5">
        <f t="shared" ref="J210:J218" si="70">IF(H$12=0,0,H210/H$12)</f>
        <v>1.1428004054072293E-3</v>
      </c>
      <c r="K210" s="1"/>
      <c r="L210" s="1">
        <f t="shared" ref="L210:L218" si="71">+D210-H210</f>
        <v>-1608.36</v>
      </c>
      <c r="M210" s="1"/>
      <c r="N210" s="5">
        <f t="shared" ref="N210:N218" si="72">IF(H210=0,0,L210/H210)</f>
        <v>-1</v>
      </c>
      <c r="O210" s="14"/>
      <c r="P210" s="1">
        <f>SUM(OSRRefP22_7x_0)</f>
        <v>0</v>
      </c>
      <c r="Q210" s="1"/>
      <c r="R210" s="5">
        <f t="shared" ref="R210:R218" si="73">IF(P$12=0,0,P210/P$12)</f>
        <v>0</v>
      </c>
      <c r="S210" s="1"/>
      <c r="T210" s="1">
        <f>SUM(OSRRefT22_7x_0)</f>
        <v>5225.34</v>
      </c>
      <c r="U210" s="1"/>
      <c r="V210" s="5">
        <f t="shared" ref="V210:V218" si="74">IF(T$12=0,0,T210/T$12)</f>
        <v>9.7959548023695739E-4</v>
      </c>
      <c r="W210" s="1"/>
      <c r="X210" s="1">
        <f t="shared" ref="X210:X218" si="75">+P210-T210</f>
        <v>-5225.34</v>
      </c>
      <c r="Y210" s="1"/>
      <c r="Z210" s="5">
        <f t="shared" ref="Z210:Z218" si="76">IF(T210=0,0,X210/T210)</f>
        <v>-1</v>
      </c>
    </row>
    <row r="211" spans="1:26" s="24" customFormat="1" hidden="1" outlineLevel="2" x14ac:dyDescent="0.25">
      <c r="A211" s="28"/>
      <c r="B211" s="11" t="str">
        <f>CONCATENATE("          ", "6399", " - ", "DONATION-ON CAMPUS")</f>
        <v xml:space="preserve">          6399 - DONATION-ON CAMPUS</v>
      </c>
      <c r="C211" s="11"/>
      <c r="D211" s="7"/>
      <c r="E211" s="2"/>
      <c r="F211" s="6">
        <f t="shared" si="69"/>
        <v>0</v>
      </c>
      <c r="G211" s="2"/>
      <c r="H211" s="7">
        <v>1608.36</v>
      </c>
      <c r="I211" s="2"/>
      <c r="J211" s="6">
        <f t="shared" si="70"/>
        <v>1.1428004054072293E-3</v>
      </c>
      <c r="K211" s="2"/>
      <c r="L211" s="7">
        <f t="shared" si="71"/>
        <v>-1608.36</v>
      </c>
      <c r="M211" s="2"/>
      <c r="N211" s="6">
        <f t="shared" si="72"/>
        <v>-1</v>
      </c>
      <c r="O211" s="11"/>
      <c r="P211" s="7"/>
      <c r="Q211" s="2"/>
      <c r="R211" s="6">
        <f t="shared" si="73"/>
        <v>0</v>
      </c>
      <c r="S211" s="2"/>
      <c r="T211" s="7">
        <v>5225.34</v>
      </c>
      <c r="U211" s="2"/>
      <c r="V211" s="6">
        <f t="shared" si="74"/>
        <v>9.7959548023695739E-4</v>
      </c>
      <c r="W211" s="2"/>
      <c r="X211" s="7">
        <f t="shared" si="75"/>
        <v>-5225.34</v>
      </c>
      <c r="Y211" s="2"/>
      <c r="Z211" s="6">
        <f t="shared" si="76"/>
        <v>-1</v>
      </c>
    </row>
    <row r="212" spans="1:26" s="27" customFormat="1" outlineLevel="1" collapsed="1" x14ac:dyDescent="0.25">
      <c r="A212" s="29"/>
      <c r="B212" s="14" t="str">
        <f>CONCATENATE("     ","Employees' Appreciation                           ")</f>
        <v xml:space="preserve">     Employees' Appreciation                           </v>
      </c>
      <c r="C212" s="14"/>
      <c r="D212" s="1">
        <f>SUM(OSRRefD22_8x_0)</f>
        <v>0</v>
      </c>
      <c r="E212" s="1"/>
      <c r="F212" s="5">
        <f t="shared" si="69"/>
        <v>0</v>
      </c>
      <c r="G212" s="1"/>
      <c r="H212" s="1">
        <f>SUM(OSRRefH22_8x_0)</f>
        <v>134.26</v>
      </c>
      <c r="I212" s="1"/>
      <c r="J212" s="5">
        <f t="shared" si="70"/>
        <v>9.5396790786872704E-5</v>
      </c>
      <c r="K212" s="1"/>
      <c r="L212" s="1">
        <f t="shared" si="71"/>
        <v>-134.26</v>
      </c>
      <c r="M212" s="1"/>
      <c r="N212" s="5">
        <f t="shared" si="72"/>
        <v>-1</v>
      </c>
      <c r="O212" s="14"/>
      <c r="P212" s="1">
        <f>SUM(OSRRefP22_8x_0)</f>
        <v>107.7</v>
      </c>
      <c r="Q212" s="1"/>
      <c r="R212" s="5">
        <f t="shared" si="73"/>
        <v>3.4112656449289425E-5</v>
      </c>
      <c r="S212" s="1"/>
      <c r="T212" s="1">
        <f>SUM(OSRRefT22_8x_0)</f>
        <v>585.13</v>
      </c>
      <c r="U212" s="1"/>
      <c r="V212" s="5">
        <f t="shared" si="74"/>
        <v>1.096944320084532E-4</v>
      </c>
      <c r="W212" s="1"/>
      <c r="X212" s="1">
        <f t="shared" si="75"/>
        <v>-477.43</v>
      </c>
      <c r="Y212" s="1"/>
      <c r="Z212" s="5">
        <f t="shared" si="76"/>
        <v>-0.81593833848888286</v>
      </c>
    </row>
    <row r="213" spans="1:26" s="24" customFormat="1" hidden="1" outlineLevel="2" x14ac:dyDescent="0.25">
      <c r="A213" s="28"/>
      <c r="B213" s="11" t="str">
        <f>CONCATENATE("          ", "6277", " - ", "EMPLOYEE APPRECIATION")</f>
        <v xml:space="preserve">          6277 - EMPLOYEE APPRECIATION</v>
      </c>
      <c r="C213" s="11"/>
      <c r="D213" s="7"/>
      <c r="E213" s="2"/>
      <c r="F213" s="6">
        <f t="shared" si="69"/>
        <v>0</v>
      </c>
      <c r="G213" s="2"/>
      <c r="H213" s="7">
        <v>134.26</v>
      </c>
      <c r="I213" s="2"/>
      <c r="J213" s="6">
        <f t="shared" si="70"/>
        <v>9.5396790786872704E-5</v>
      </c>
      <c r="K213" s="2"/>
      <c r="L213" s="7">
        <f t="shared" si="71"/>
        <v>-134.26</v>
      </c>
      <c r="M213" s="2"/>
      <c r="N213" s="6">
        <f t="shared" si="72"/>
        <v>-1</v>
      </c>
      <c r="O213" s="11"/>
      <c r="P213" s="7">
        <v>107.7</v>
      </c>
      <c r="Q213" s="2"/>
      <c r="R213" s="6">
        <f t="shared" si="73"/>
        <v>3.4112656449289425E-5</v>
      </c>
      <c r="S213" s="2"/>
      <c r="T213" s="7">
        <v>585.13</v>
      </c>
      <c r="U213" s="2"/>
      <c r="V213" s="6">
        <f t="shared" si="74"/>
        <v>1.096944320084532E-4</v>
      </c>
      <c r="W213" s="2"/>
      <c r="X213" s="7">
        <f t="shared" si="75"/>
        <v>-477.43</v>
      </c>
      <c r="Y213" s="2"/>
      <c r="Z213" s="6">
        <f t="shared" si="76"/>
        <v>-0.81593833848888286</v>
      </c>
    </row>
    <row r="214" spans="1:26" s="27" customFormat="1" outlineLevel="1" collapsed="1" x14ac:dyDescent="0.25">
      <c r="A214" s="29"/>
      <c r="B214" s="14" t="str">
        <f>CONCATENATE("     ","Equipment Rental                                  ")</f>
        <v xml:space="preserve">     Equipment Rental                                  </v>
      </c>
      <c r="C214" s="14"/>
      <c r="D214" s="1">
        <f>SUM(OSRRefD22_9x_0)</f>
        <v>1712.05</v>
      </c>
      <c r="E214" s="1"/>
      <c r="F214" s="5">
        <f t="shared" si="69"/>
        <v>2.7055518974254079E-3</v>
      </c>
      <c r="G214" s="1"/>
      <c r="H214" s="1">
        <f>SUM(OSRRefH22_9x_0)</f>
        <v>1296.9000000000001</v>
      </c>
      <c r="I214" s="1"/>
      <c r="J214" s="5">
        <f t="shared" si="70"/>
        <v>9.2149633525618376E-4</v>
      </c>
      <c r="K214" s="1"/>
      <c r="L214" s="1">
        <f t="shared" si="71"/>
        <v>415.14999999999986</v>
      </c>
      <c r="M214" s="1"/>
      <c r="N214" s="5">
        <f t="shared" si="72"/>
        <v>0.32010949186521692</v>
      </c>
      <c r="O214" s="14"/>
      <c r="P214" s="1">
        <f>SUM(OSRRefP22_9x_0)</f>
        <v>4488.37</v>
      </c>
      <c r="Q214" s="1"/>
      <c r="R214" s="5">
        <f t="shared" si="73"/>
        <v>1.4216362472358141E-3</v>
      </c>
      <c r="S214" s="1"/>
      <c r="T214" s="1">
        <f>SUM(OSRRefT22_9x_0)</f>
        <v>3890.7</v>
      </c>
      <c r="U214" s="1"/>
      <c r="V214" s="5">
        <f t="shared" si="74"/>
        <v>7.2939026646264742E-4</v>
      </c>
      <c r="W214" s="1"/>
      <c r="X214" s="1">
        <f t="shared" si="75"/>
        <v>597.67000000000007</v>
      </c>
      <c r="Y214" s="1"/>
      <c r="Z214" s="5">
        <f t="shared" si="76"/>
        <v>0.15361503071426738</v>
      </c>
    </row>
    <row r="215" spans="1:26" s="24" customFormat="1" hidden="1" outlineLevel="2" x14ac:dyDescent="0.25">
      <c r="A215" s="28"/>
      <c r="B215" s="11" t="str">
        <f>CONCATENATE("          ", "6351", " - ", "EQUIPMENT RENTAL")</f>
        <v xml:space="preserve">          6351 - EQUIPMENT RENTAL</v>
      </c>
      <c r="C215" s="11"/>
      <c r="D215" s="7">
        <v>1712.05</v>
      </c>
      <c r="E215" s="2"/>
      <c r="F215" s="6">
        <f t="shared" si="69"/>
        <v>2.7055518974254079E-3</v>
      </c>
      <c r="G215" s="2"/>
      <c r="H215" s="7">
        <v>1296.9000000000001</v>
      </c>
      <c r="I215" s="2"/>
      <c r="J215" s="6">
        <f t="shared" si="70"/>
        <v>9.2149633525618376E-4</v>
      </c>
      <c r="K215" s="2"/>
      <c r="L215" s="7">
        <f t="shared" si="71"/>
        <v>415.14999999999986</v>
      </c>
      <c r="M215" s="2"/>
      <c r="N215" s="6">
        <f t="shared" si="72"/>
        <v>0.32010949186521692</v>
      </c>
      <c r="O215" s="11"/>
      <c r="P215" s="7">
        <v>4488.37</v>
      </c>
      <c r="Q215" s="2"/>
      <c r="R215" s="6">
        <f t="shared" si="73"/>
        <v>1.4216362472358141E-3</v>
      </c>
      <c r="S215" s="2"/>
      <c r="T215" s="7">
        <v>3890.7</v>
      </c>
      <c r="U215" s="2"/>
      <c r="V215" s="6">
        <f t="shared" si="74"/>
        <v>7.2939026646264742E-4</v>
      </c>
      <c r="W215" s="2"/>
      <c r="X215" s="7">
        <f t="shared" si="75"/>
        <v>597.67000000000007</v>
      </c>
      <c r="Y215" s="2"/>
      <c r="Z215" s="6">
        <f t="shared" si="76"/>
        <v>0.15361503071426738</v>
      </c>
    </row>
    <row r="216" spans="1:26" s="27" customFormat="1" outlineLevel="1" collapsed="1" x14ac:dyDescent="0.25">
      <c r="A216" s="29"/>
      <c r="B216" s="14" t="str">
        <f>CONCATENATE("     ","Freight out/Postage                               ")</f>
        <v xml:space="preserve">     Freight out/Postage                               </v>
      </c>
      <c r="C216" s="14"/>
      <c r="D216" s="1">
        <f>SUM(OSRRefD22_10x_0)</f>
        <v>-5852.130000000001</v>
      </c>
      <c r="E216" s="1"/>
      <c r="F216" s="5">
        <f t="shared" si="69"/>
        <v>-9.2481185861862415E-3</v>
      </c>
      <c r="G216" s="1"/>
      <c r="H216" s="1">
        <f>SUM(OSRRefH22_10x_0)</f>
        <v>9430.5199999999986</v>
      </c>
      <c r="I216" s="1"/>
      <c r="J216" s="5">
        <f t="shared" si="70"/>
        <v>6.7007399333488659E-3</v>
      </c>
      <c r="K216" s="1"/>
      <c r="L216" s="1">
        <f t="shared" si="71"/>
        <v>-15282.65</v>
      </c>
      <c r="M216" s="1"/>
      <c r="N216" s="5">
        <f t="shared" si="72"/>
        <v>-1.620552207089323</v>
      </c>
      <c r="O216" s="14"/>
      <c r="P216" s="1">
        <f>SUM(OSRRefP22_10x_0)</f>
        <v>-80474.25</v>
      </c>
      <c r="Q216" s="1"/>
      <c r="R216" s="5">
        <f t="shared" si="73"/>
        <v>-2.5489233456492382E-2</v>
      </c>
      <c r="S216" s="1"/>
      <c r="T216" s="1">
        <f>SUM(OSRRefT22_10x_0)</f>
        <v>-5705.3200000000015</v>
      </c>
      <c r="U216" s="1"/>
      <c r="V216" s="5">
        <f t="shared" si="74"/>
        <v>-1.0695774218147565E-3</v>
      </c>
      <c r="W216" s="1"/>
      <c r="X216" s="1">
        <f t="shared" si="75"/>
        <v>-74768.929999999993</v>
      </c>
      <c r="Y216" s="1"/>
      <c r="Z216" s="5">
        <f t="shared" si="76"/>
        <v>13.105124690639609</v>
      </c>
    </row>
    <row r="217" spans="1:26" s="24" customFormat="1" hidden="1" outlineLevel="2" x14ac:dyDescent="0.25">
      <c r="A217" s="28"/>
      <c r="B217" s="11" t="str">
        <f>CONCATENATE("          ", "6305", " - ", "FREIGHT OUT")</f>
        <v xml:space="preserve">          6305 - FREIGHT OUT</v>
      </c>
      <c r="C217" s="11"/>
      <c r="D217" s="7">
        <v>5412.16</v>
      </c>
      <c r="E217" s="2"/>
      <c r="F217" s="6">
        <f t="shared" si="69"/>
        <v>8.5528341795916563E-3</v>
      </c>
      <c r="G217" s="2"/>
      <c r="H217" s="7">
        <v>10658.96</v>
      </c>
      <c r="I217" s="2"/>
      <c r="J217" s="6">
        <f t="shared" si="70"/>
        <v>7.5735928580786885E-3</v>
      </c>
      <c r="K217" s="2"/>
      <c r="L217" s="7">
        <f t="shared" si="71"/>
        <v>-5246.7999999999993</v>
      </c>
      <c r="M217" s="2"/>
      <c r="N217" s="6">
        <f t="shared" si="72"/>
        <v>-0.49224314567274852</v>
      </c>
      <c r="O217" s="11"/>
      <c r="P217" s="7">
        <v>25922.720000000001</v>
      </c>
      <c r="Q217" s="2"/>
      <c r="R217" s="6">
        <f t="shared" si="73"/>
        <v>8.2107041930466491E-3</v>
      </c>
      <c r="S217" s="2"/>
      <c r="T217" s="7">
        <v>14936.72</v>
      </c>
      <c r="U217" s="2"/>
      <c r="V217" s="6">
        <f t="shared" si="74"/>
        <v>2.8001897295802697E-3</v>
      </c>
      <c r="W217" s="2"/>
      <c r="X217" s="7">
        <f t="shared" si="75"/>
        <v>10986.000000000002</v>
      </c>
      <c r="Y217" s="2"/>
      <c r="Z217" s="6">
        <f t="shared" si="76"/>
        <v>0.73550284131991506</v>
      </c>
    </row>
    <row r="218" spans="1:26" s="24" customFormat="1" hidden="1" outlineLevel="2" x14ac:dyDescent="0.25">
      <c r="A218" s="28"/>
      <c r="B218" s="11" t="str">
        <f>CONCATENATE("          ", "6307", " - ", "POSTAGE")</f>
        <v xml:space="preserve">          6307 - POSTAGE</v>
      </c>
      <c r="C218" s="11"/>
      <c r="D218" s="7">
        <v>-11264.29</v>
      </c>
      <c r="E218" s="2"/>
      <c r="F218" s="6">
        <f t="shared" si="69"/>
        <v>-1.7800952765777898E-2</v>
      </c>
      <c r="G218" s="2"/>
      <c r="H218" s="7">
        <v>-1228.44</v>
      </c>
      <c r="I218" s="2"/>
      <c r="J218" s="6">
        <f t="shared" si="70"/>
        <v>-8.7285292472982215E-4</v>
      </c>
      <c r="K218" s="2"/>
      <c r="L218" s="7">
        <f t="shared" si="71"/>
        <v>-10035.85</v>
      </c>
      <c r="M218" s="2"/>
      <c r="N218" s="6">
        <f t="shared" si="72"/>
        <v>8.1695890723193649</v>
      </c>
      <c r="O218" s="11"/>
      <c r="P218" s="7">
        <v>-106396.97</v>
      </c>
      <c r="Q218" s="2"/>
      <c r="R218" s="6">
        <f t="shared" si="73"/>
        <v>-3.3699937649539033E-2</v>
      </c>
      <c r="S218" s="2"/>
      <c r="T218" s="7">
        <v>-20642.04</v>
      </c>
      <c r="U218" s="2"/>
      <c r="V218" s="6">
        <f t="shared" si="74"/>
        <v>-3.8697671513950259E-3</v>
      </c>
      <c r="W218" s="2"/>
      <c r="X218" s="7">
        <f t="shared" si="75"/>
        <v>-85754.93</v>
      </c>
      <c r="Y218" s="2"/>
      <c r="Z218" s="6">
        <f t="shared" si="76"/>
        <v>4.1543825125811207</v>
      </c>
    </row>
    <row r="219" spans="1:26" s="27" customFormat="1" outlineLevel="1" collapsed="1" x14ac:dyDescent="0.25">
      <c r="A219" s="29"/>
      <c r="B219" s="14" t="str">
        <f>CONCATENATE("     ","General                                           ")</f>
        <v xml:space="preserve">     General                                           </v>
      </c>
      <c r="C219" s="14"/>
      <c r="D219" s="1">
        <f>SUM(OSRRefD22_11x_0)</f>
        <v>0</v>
      </c>
      <c r="E219" s="1"/>
      <c r="F219" s="5">
        <f t="shared" ref="F219:F233" si="77">IF(D$12=0,0,D219/D$12)</f>
        <v>0</v>
      </c>
      <c r="G219" s="1"/>
      <c r="H219" s="1">
        <f>SUM(OSRRefH22_11x_0)</f>
        <v>-1366.16</v>
      </c>
      <c r="I219" s="1"/>
      <c r="J219" s="5">
        <f t="shared" ref="J219:J233" si="78">IF(H$12=0,0,H219/H$12)</f>
        <v>-9.7070817593768839E-4</v>
      </c>
      <c r="K219" s="1"/>
      <c r="L219" s="1">
        <f t="shared" ref="L219:L233" si="79">+D219-H219</f>
        <v>1366.16</v>
      </c>
      <c r="M219" s="1"/>
      <c r="N219" s="5">
        <f t="shared" ref="N219:N233" si="80">IF(H219=0,0,L219/H219)</f>
        <v>-1</v>
      </c>
      <c r="O219" s="14"/>
      <c r="P219" s="1">
        <f>SUM(OSRRefP22_11x_0)</f>
        <v>-3236.98</v>
      </c>
      <c r="Q219" s="1"/>
      <c r="R219" s="5">
        <f t="shared" ref="R219:R233" si="81">IF(P$12=0,0,P219/P$12)</f>
        <v>-1.025273785266675E-3</v>
      </c>
      <c r="S219" s="1"/>
      <c r="T219" s="1">
        <f>SUM(OSRRefT22_11x_0)</f>
        <v>-15701.74</v>
      </c>
      <c r="U219" s="1"/>
      <c r="V219" s="5">
        <f t="shared" ref="V219:V233" si="82">IF(T$12=0,0,T219/T$12)</f>
        <v>-2.9436081739859692E-3</v>
      </c>
      <c r="W219" s="1"/>
      <c r="X219" s="1">
        <f t="shared" ref="X219:X233" si="83">+P219-T219</f>
        <v>12464.76</v>
      </c>
      <c r="Y219" s="1"/>
      <c r="Z219" s="5">
        <f t="shared" ref="Z219:Z233" si="84">IF(T219=0,0,X219/T219)</f>
        <v>-0.79384577760171804</v>
      </c>
    </row>
    <row r="220" spans="1:26" s="24" customFormat="1" hidden="1" outlineLevel="2" x14ac:dyDescent="0.25">
      <c r="A220" s="28"/>
      <c r="B220" s="11" t="str">
        <f>CONCATENATE("          ", "6279", " - ", "GENERAL EXPENSE")</f>
        <v xml:space="preserve">          6279 - GENERAL EXPENSE</v>
      </c>
      <c r="C220" s="11"/>
      <c r="D220" s="7"/>
      <c r="E220" s="2"/>
      <c r="F220" s="6">
        <f t="shared" si="77"/>
        <v>0</v>
      </c>
      <c r="G220" s="2"/>
      <c r="H220" s="7">
        <v>-1366.16</v>
      </c>
      <c r="I220" s="2"/>
      <c r="J220" s="6">
        <f t="shared" si="78"/>
        <v>-9.7070817593768839E-4</v>
      </c>
      <c r="K220" s="2"/>
      <c r="L220" s="7">
        <f t="shared" si="79"/>
        <v>1366.16</v>
      </c>
      <c r="M220" s="2"/>
      <c r="N220" s="6">
        <f t="shared" si="80"/>
        <v>-1</v>
      </c>
      <c r="O220" s="11"/>
      <c r="P220" s="7">
        <v>-3236.98</v>
      </c>
      <c r="Q220" s="2"/>
      <c r="R220" s="6">
        <f t="shared" si="81"/>
        <v>-1.025273785266675E-3</v>
      </c>
      <c r="S220" s="2"/>
      <c r="T220" s="7">
        <v>-15701.74</v>
      </c>
      <c r="U220" s="2"/>
      <c r="V220" s="6">
        <f t="shared" si="82"/>
        <v>-2.9436081739859692E-3</v>
      </c>
      <c r="W220" s="2"/>
      <c r="X220" s="7">
        <f t="shared" si="83"/>
        <v>12464.76</v>
      </c>
      <c r="Y220" s="2"/>
      <c r="Z220" s="6">
        <f t="shared" si="84"/>
        <v>-0.79384577760171804</v>
      </c>
    </row>
    <row r="221" spans="1:26" s="27" customFormat="1" outlineLevel="1" collapsed="1" x14ac:dyDescent="0.25">
      <c r="A221" s="29"/>
      <c r="B221" s="14" t="str">
        <f>CONCATENATE("     ","Insurance                                         ")</f>
        <v xml:space="preserve">     Insurance                                         </v>
      </c>
      <c r="C221" s="14"/>
      <c r="D221" s="1">
        <f>SUM(OSRRefD22_12x_0)</f>
        <v>4044.74</v>
      </c>
      <c r="E221" s="1"/>
      <c r="F221" s="5">
        <f t="shared" si="77"/>
        <v>6.3919009267208579E-3</v>
      </c>
      <c r="G221" s="1"/>
      <c r="H221" s="1">
        <f>SUM(OSRRefH22_12x_0)</f>
        <v>4044.74</v>
      </c>
      <c r="I221" s="1"/>
      <c r="J221" s="5">
        <f t="shared" si="78"/>
        <v>2.8739402321413341E-3</v>
      </c>
      <c r="K221" s="1"/>
      <c r="L221" s="1">
        <f t="shared" si="79"/>
        <v>0</v>
      </c>
      <c r="M221" s="1"/>
      <c r="N221" s="5">
        <f t="shared" si="80"/>
        <v>0</v>
      </c>
      <c r="O221" s="14"/>
      <c r="P221" s="1">
        <f>SUM(OSRRefP22_12x_0)</f>
        <v>12134.22</v>
      </c>
      <c r="Q221" s="1"/>
      <c r="R221" s="5">
        <f t="shared" si="81"/>
        <v>3.8433656280417523E-3</v>
      </c>
      <c r="S221" s="1"/>
      <c r="T221" s="1">
        <f>SUM(OSRRefT22_12x_0)</f>
        <v>12134.22</v>
      </c>
      <c r="U221" s="1"/>
      <c r="V221" s="5">
        <f t="shared" si="82"/>
        <v>2.2748045233804675E-3</v>
      </c>
      <c r="W221" s="1"/>
      <c r="X221" s="1">
        <f t="shared" si="83"/>
        <v>0</v>
      </c>
      <c r="Y221" s="1"/>
      <c r="Z221" s="5">
        <f t="shared" si="84"/>
        <v>0</v>
      </c>
    </row>
    <row r="222" spans="1:26" s="24" customFormat="1" hidden="1" outlineLevel="2" x14ac:dyDescent="0.25">
      <c r="A222" s="28"/>
      <c r="B222" s="11" t="str">
        <f>CONCATENATE("          ", "6314", " - ", "LIABILITY INSURANCE")</f>
        <v xml:space="preserve">          6314 - LIABILITY INSURANCE</v>
      </c>
      <c r="C222" s="11"/>
      <c r="D222" s="7">
        <v>4044.74</v>
      </c>
      <c r="E222" s="2"/>
      <c r="F222" s="6">
        <f t="shared" si="77"/>
        <v>6.3919009267208579E-3</v>
      </c>
      <c r="G222" s="2"/>
      <c r="H222" s="7">
        <v>4044.74</v>
      </c>
      <c r="I222" s="2"/>
      <c r="J222" s="6">
        <f t="shared" si="78"/>
        <v>2.8739402321413341E-3</v>
      </c>
      <c r="K222" s="2"/>
      <c r="L222" s="7">
        <f t="shared" si="79"/>
        <v>0</v>
      </c>
      <c r="M222" s="2"/>
      <c r="N222" s="6">
        <f t="shared" si="80"/>
        <v>0</v>
      </c>
      <c r="O222" s="11"/>
      <c r="P222" s="7">
        <v>12134.22</v>
      </c>
      <c r="Q222" s="2"/>
      <c r="R222" s="6">
        <f t="shared" si="81"/>
        <v>3.8433656280417523E-3</v>
      </c>
      <c r="S222" s="2"/>
      <c r="T222" s="7">
        <v>12134.22</v>
      </c>
      <c r="U222" s="2"/>
      <c r="V222" s="6">
        <f t="shared" si="82"/>
        <v>2.2748045233804675E-3</v>
      </c>
      <c r="W222" s="2"/>
      <c r="X222" s="7">
        <f t="shared" si="83"/>
        <v>0</v>
      </c>
      <c r="Y222" s="2"/>
      <c r="Z222" s="6">
        <f t="shared" si="84"/>
        <v>0</v>
      </c>
    </row>
    <row r="223" spans="1:26" s="27" customFormat="1" outlineLevel="1" collapsed="1" x14ac:dyDescent="0.25">
      <c r="A223" s="29"/>
      <c r="B223" s="14" t="str">
        <f>CONCATENATE("     ","Inventory Adjustment                              ")</f>
        <v xml:space="preserve">     Inventory Adjustment                              </v>
      </c>
      <c r="C223" s="14"/>
      <c r="D223" s="1">
        <f>SUM(OSRRefD22_13x_0)</f>
        <v>3350</v>
      </c>
      <c r="E223" s="1"/>
      <c r="F223" s="5">
        <f t="shared" si="77"/>
        <v>5.2940035959084817E-3</v>
      </c>
      <c r="G223" s="1"/>
      <c r="H223" s="1">
        <f>SUM(OSRRefH22_13x_0)</f>
        <v>4250</v>
      </c>
      <c r="I223" s="1"/>
      <c r="J223" s="5">
        <f t="shared" si="78"/>
        <v>3.0197851991971476E-3</v>
      </c>
      <c r="K223" s="1"/>
      <c r="L223" s="1">
        <f t="shared" si="79"/>
        <v>-900</v>
      </c>
      <c r="M223" s="1"/>
      <c r="N223" s="5">
        <f t="shared" si="80"/>
        <v>-0.21176470588235294</v>
      </c>
      <c r="O223" s="14"/>
      <c r="P223" s="1">
        <f>SUM(OSRRefP22_13x_0)</f>
        <v>10050</v>
      </c>
      <c r="Q223" s="1"/>
      <c r="R223" s="5">
        <f t="shared" si="81"/>
        <v>3.1832144597526346E-3</v>
      </c>
      <c r="S223" s="1"/>
      <c r="T223" s="1">
        <f>SUM(OSRRefT22_13x_0)</f>
        <v>12650</v>
      </c>
      <c r="U223" s="1"/>
      <c r="V223" s="5">
        <f t="shared" si="82"/>
        <v>2.3714978977439766E-3</v>
      </c>
      <c r="W223" s="1"/>
      <c r="X223" s="1">
        <f t="shared" si="83"/>
        <v>-2600</v>
      </c>
      <c r="Y223" s="1"/>
      <c r="Z223" s="5">
        <f t="shared" si="84"/>
        <v>-0.20553359683794467</v>
      </c>
    </row>
    <row r="224" spans="1:26" s="24" customFormat="1" hidden="1" outlineLevel="2" x14ac:dyDescent="0.25">
      <c r="A224" s="28"/>
      <c r="B224" s="11" t="str">
        <f>CONCATENATE("          ", "6408", " - ", "INVENTORY ADJUSTMENT")</f>
        <v xml:space="preserve">          6408 - INVENTORY ADJUSTMENT</v>
      </c>
      <c r="C224" s="11"/>
      <c r="D224" s="7">
        <v>3350</v>
      </c>
      <c r="E224" s="2"/>
      <c r="F224" s="6">
        <f t="shared" si="77"/>
        <v>5.2940035959084817E-3</v>
      </c>
      <c r="G224" s="2"/>
      <c r="H224" s="7">
        <v>4250</v>
      </c>
      <c r="I224" s="2"/>
      <c r="J224" s="6">
        <f t="shared" si="78"/>
        <v>3.0197851991971476E-3</v>
      </c>
      <c r="K224" s="2"/>
      <c r="L224" s="7">
        <f t="shared" si="79"/>
        <v>-900</v>
      </c>
      <c r="M224" s="2"/>
      <c r="N224" s="6">
        <f t="shared" si="80"/>
        <v>-0.21176470588235294</v>
      </c>
      <c r="O224" s="11"/>
      <c r="P224" s="7">
        <v>10050</v>
      </c>
      <c r="Q224" s="2"/>
      <c r="R224" s="6">
        <f t="shared" si="81"/>
        <v>3.1832144597526346E-3</v>
      </c>
      <c r="S224" s="2"/>
      <c r="T224" s="7">
        <v>12650</v>
      </c>
      <c r="U224" s="2"/>
      <c r="V224" s="6">
        <f t="shared" si="82"/>
        <v>2.3714978977439766E-3</v>
      </c>
      <c r="W224" s="2"/>
      <c r="X224" s="7">
        <f t="shared" si="83"/>
        <v>-2600</v>
      </c>
      <c r="Y224" s="2"/>
      <c r="Z224" s="6">
        <f t="shared" si="84"/>
        <v>-0.20553359683794467</v>
      </c>
    </row>
    <row r="225" spans="1:26" s="27" customFormat="1" outlineLevel="1" collapsed="1" x14ac:dyDescent="0.25">
      <c r="A225" s="29"/>
      <c r="B225" s="14" t="str">
        <f>CONCATENATE("     ","Professional Services                             ")</f>
        <v xml:space="preserve">     Professional Services                             </v>
      </c>
      <c r="C225" s="14"/>
      <c r="D225" s="1">
        <f>SUM(OSRRefD22_14x_0)</f>
        <v>0</v>
      </c>
      <c r="E225" s="1"/>
      <c r="F225" s="5">
        <f t="shared" si="77"/>
        <v>0</v>
      </c>
      <c r="G225" s="1"/>
      <c r="H225" s="1">
        <f>SUM(OSRRefH22_14x_0)</f>
        <v>0</v>
      </c>
      <c r="I225" s="1"/>
      <c r="J225" s="5">
        <f t="shared" si="78"/>
        <v>0</v>
      </c>
      <c r="K225" s="1"/>
      <c r="L225" s="1">
        <f t="shared" si="79"/>
        <v>0</v>
      </c>
      <c r="M225" s="1"/>
      <c r="N225" s="5">
        <f t="shared" si="80"/>
        <v>0</v>
      </c>
      <c r="O225" s="14"/>
      <c r="P225" s="1">
        <f>SUM(OSRRefP22_14x_0)</f>
        <v>0</v>
      </c>
      <c r="Q225" s="1"/>
      <c r="R225" s="5">
        <f t="shared" si="81"/>
        <v>0</v>
      </c>
      <c r="S225" s="1"/>
      <c r="T225" s="1">
        <f>SUM(OSRRefT22_14x_0)</f>
        <v>6158.41</v>
      </c>
      <c r="U225" s="1"/>
      <c r="V225" s="5">
        <f t="shared" si="82"/>
        <v>1.1545182899956904E-3</v>
      </c>
      <c r="W225" s="1"/>
      <c r="X225" s="1">
        <f t="shared" si="83"/>
        <v>-6158.41</v>
      </c>
      <c r="Y225" s="1"/>
      <c r="Z225" s="5">
        <f t="shared" si="84"/>
        <v>-1</v>
      </c>
    </row>
    <row r="226" spans="1:26" s="24" customFormat="1" hidden="1" outlineLevel="2" x14ac:dyDescent="0.25">
      <c r="A226" s="28"/>
      <c r="B226" s="11" t="str">
        <f>CONCATENATE("          ", "6336", " - ", "PROFESSIONAL SERVICES")</f>
        <v xml:space="preserve">          6336 - PROFESSIONAL SERVICES</v>
      </c>
      <c r="C226" s="11"/>
      <c r="D226" s="7"/>
      <c r="E226" s="2"/>
      <c r="F226" s="6">
        <f t="shared" si="77"/>
        <v>0</v>
      </c>
      <c r="G226" s="2"/>
      <c r="H226" s="7"/>
      <c r="I226" s="2"/>
      <c r="J226" s="6">
        <f t="shared" si="78"/>
        <v>0</v>
      </c>
      <c r="K226" s="2"/>
      <c r="L226" s="7">
        <f t="shared" si="79"/>
        <v>0</v>
      </c>
      <c r="M226" s="2"/>
      <c r="N226" s="6">
        <f t="shared" si="80"/>
        <v>0</v>
      </c>
      <c r="O226" s="11"/>
      <c r="P226" s="7"/>
      <c r="Q226" s="2"/>
      <c r="R226" s="6">
        <f t="shared" si="81"/>
        <v>0</v>
      </c>
      <c r="S226" s="2"/>
      <c r="T226" s="7">
        <v>6158.41</v>
      </c>
      <c r="U226" s="2"/>
      <c r="V226" s="6">
        <f t="shared" si="82"/>
        <v>1.1545182899956904E-3</v>
      </c>
      <c r="W226" s="2"/>
      <c r="X226" s="7">
        <f t="shared" si="83"/>
        <v>-6158.41</v>
      </c>
      <c r="Y226" s="2"/>
      <c r="Z226" s="6">
        <f t="shared" si="84"/>
        <v>-1</v>
      </c>
    </row>
    <row r="227" spans="1:26" s="27" customFormat="1" outlineLevel="1" collapsed="1" x14ac:dyDescent="0.25">
      <c r="A227" s="29"/>
      <c r="B227" s="14" t="str">
        <f>CONCATENATE("     ","Rent                                              ")</f>
        <v xml:space="preserve">     Rent                                              </v>
      </c>
      <c r="C227" s="14"/>
      <c r="D227" s="1">
        <f>SUM(OSRRefD22_15x_0)</f>
        <v>6100</v>
      </c>
      <c r="E227" s="1"/>
      <c r="F227" s="5">
        <f t="shared" si="77"/>
        <v>9.6398274432960424E-3</v>
      </c>
      <c r="G227" s="1"/>
      <c r="H227" s="1">
        <f>SUM(OSRRefH22_15x_0)</f>
        <v>6100</v>
      </c>
      <c r="I227" s="1"/>
      <c r="J227" s="5">
        <f t="shared" si="78"/>
        <v>4.3342799329653178E-3</v>
      </c>
      <c r="K227" s="1"/>
      <c r="L227" s="1">
        <f t="shared" si="79"/>
        <v>0</v>
      </c>
      <c r="M227" s="1"/>
      <c r="N227" s="5">
        <f t="shared" si="80"/>
        <v>0</v>
      </c>
      <c r="O227" s="14"/>
      <c r="P227" s="1">
        <f>SUM(OSRRefP22_15x_0)</f>
        <v>18300</v>
      </c>
      <c r="Q227" s="1"/>
      <c r="R227" s="5">
        <f t="shared" si="81"/>
        <v>5.7963009565644985E-3</v>
      </c>
      <c r="S227" s="1"/>
      <c r="T227" s="1">
        <f>SUM(OSRRefT22_15x_0)</f>
        <v>18300</v>
      </c>
      <c r="U227" s="1"/>
      <c r="V227" s="5">
        <f t="shared" si="82"/>
        <v>3.4307044686731048E-3</v>
      </c>
      <c r="W227" s="1"/>
      <c r="X227" s="1">
        <f t="shared" si="83"/>
        <v>0</v>
      </c>
      <c r="Y227" s="1"/>
      <c r="Z227" s="5">
        <f t="shared" si="84"/>
        <v>0</v>
      </c>
    </row>
    <row r="228" spans="1:26" s="24" customFormat="1" hidden="1" outlineLevel="2" x14ac:dyDescent="0.25">
      <c r="A228" s="28"/>
      <c r="B228" s="11" t="str">
        <f>CONCATENATE("          ", "6273", " - ", "RENT")</f>
        <v xml:space="preserve">          6273 - RENT</v>
      </c>
      <c r="C228" s="11"/>
      <c r="D228" s="7">
        <v>6100</v>
      </c>
      <c r="E228" s="2"/>
      <c r="F228" s="6">
        <f t="shared" si="77"/>
        <v>9.6398274432960424E-3</v>
      </c>
      <c r="G228" s="2"/>
      <c r="H228" s="7">
        <v>6100</v>
      </c>
      <c r="I228" s="2"/>
      <c r="J228" s="6">
        <f t="shared" si="78"/>
        <v>4.3342799329653178E-3</v>
      </c>
      <c r="K228" s="2"/>
      <c r="L228" s="7">
        <f t="shared" si="79"/>
        <v>0</v>
      </c>
      <c r="M228" s="2"/>
      <c r="N228" s="6">
        <f t="shared" si="80"/>
        <v>0</v>
      </c>
      <c r="O228" s="11"/>
      <c r="P228" s="7">
        <v>18300</v>
      </c>
      <c r="Q228" s="2"/>
      <c r="R228" s="6">
        <f t="shared" si="81"/>
        <v>5.7963009565644985E-3</v>
      </c>
      <c r="S228" s="2"/>
      <c r="T228" s="7">
        <v>18300</v>
      </c>
      <c r="U228" s="2"/>
      <c r="V228" s="6">
        <f t="shared" si="82"/>
        <v>3.4307044686731048E-3</v>
      </c>
      <c r="W228" s="2"/>
      <c r="X228" s="7">
        <f t="shared" si="83"/>
        <v>0</v>
      </c>
      <c r="Y228" s="2"/>
      <c r="Z228" s="6">
        <f t="shared" si="84"/>
        <v>0</v>
      </c>
    </row>
    <row r="229" spans="1:26" s="27" customFormat="1" outlineLevel="1" collapsed="1" x14ac:dyDescent="0.25">
      <c r="A229" s="29"/>
      <c r="B229" s="14" t="str">
        <f>CONCATENATE("     ","Repair and Maintenance                            ")</f>
        <v xml:space="preserve">     Repair and Maintenance                            </v>
      </c>
      <c r="C229" s="14"/>
      <c r="D229" s="1">
        <f>SUM(OSRRefD22_16x_0)</f>
        <v>13339.48</v>
      </c>
      <c r="E229" s="1"/>
      <c r="F229" s="5">
        <f t="shared" si="77"/>
        <v>2.1080374652999785E-2</v>
      </c>
      <c r="G229" s="1"/>
      <c r="H229" s="1">
        <f>SUM(OSRRefH22_16x_0)</f>
        <v>10676.609999999999</v>
      </c>
      <c r="I229" s="1"/>
      <c r="J229" s="5">
        <f t="shared" si="78"/>
        <v>7.5861338483765306E-3</v>
      </c>
      <c r="K229" s="1"/>
      <c r="L229" s="1">
        <f t="shared" si="79"/>
        <v>2662.8700000000008</v>
      </c>
      <c r="M229" s="1"/>
      <c r="N229" s="5">
        <f t="shared" si="80"/>
        <v>0.24941156415753701</v>
      </c>
      <c r="O229" s="14"/>
      <c r="P229" s="1">
        <f>SUM(OSRRefP22_16x_0)</f>
        <v>86392.27</v>
      </c>
      <c r="Q229" s="1"/>
      <c r="R229" s="5">
        <f t="shared" si="81"/>
        <v>2.7363693838293904E-2</v>
      </c>
      <c r="S229" s="1"/>
      <c r="T229" s="1">
        <f>SUM(OSRRefT22_16x_0)</f>
        <v>48354.41</v>
      </c>
      <c r="U229" s="1"/>
      <c r="V229" s="5">
        <f t="shared" si="82"/>
        <v>9.0650104080356002E-3</v>
      </c>
      <c r="W229" s="1"/>
      <c r="X229" s="1">
        <f t="shared" si="83"/>
        <v>38037.86</v>
      </c>
      <c r="Y229" s="1"/>
      <c r="Z229" s="5">
        <f t="shared" si="84"/>
        <v>0.78664717447695043</v>
      </c>
    </row>
    <row r="230" spans="1:26" s="24" customFormat="1" hidden="1" outlineLevel="2" x14ac:dyDescent="0.25">
      <c r="A230" s="28"/>
      <c r="B230" s="11" t="str">
        <f>CONCATENATE("          ", "6371", " - ", "COMPUTER SOFTWARE MAINTENANCE")</f>
        <v xml:space="preserve">          6371 - COMPUTER SOFTWARE MAINTENANCE</v>
      </c>
      <c r="C230" s="11"/>
      <c r="D230" s="7"/>
      <c r="E230" s="2"/>
      <c r="F230" s="6">
        <f t="shared" si="77"/>
        <v>0</v>
      </c>
      <c r="G230" s="2"/>
      <c r="H230" s="7">
        <v>3662.15</v>
      </c>
      <c r="I230" s="2"/>
      <c r="J230" s="6">
        <f t="shared" si="78"/>
        <v>2.6020956158211376E-3</v>
      </c>
      <c r="K230" s="2"/>
      <c r="L230" s="7">
        <f t="shared" si="79"/>
        <v>-3662.15</v>
      </c>
      <c r="M230" s="2"/>
      <c r="N230" s="6">
        <f t="shared" si="80"/>
        <v>-1</v>
      </c>
      <c r="O230" s="11"/>
      <c r="P230" s="7">
        <v>58428.780000000006</v>
      </c>
      <c r="Q230" s="2"/>
      <c r="R230" s="6">
        <f t="shared" si="81"/>
        <v>1.8506600732508018E-2</v>
      </c>
      <c r="S230" s="2"/>
      <c r="T230" s="7">
        <v>12150.4</v>
      </c>
      <c r="U230" s="2"/>
      <c r="V230" s="6">
        <f t="shared" si="82"/>
        <v>2.2778377910473054E-3</v>
      </c>
      <c r="W230" s="2"/>
      <c r="X230" s="7">
        <f t="shared" si="83"/>
        <v>46278.380000000005</v>
      </c>
      <c r="Y230" s="2"/>
      <c r="Z230" s="6">
        <f t="shared" si="84"/>
        <v>3.8087947721885702</v>
      </c>
    </row>
    <row r="231" spans="1:26" s="24" customFormat="1" hidden="1" outlineLevel="2" x14ac:dyDescent="0.25">
      <c r="A231" s="28"/>
      <c r="B231" s="11" t="str">
        <f>CONCATENATE("          ", "6372", " - ", "COMPUTER HARDWARE MAINTENANCE")</f>
        <v xml:space="preserve">          6372 - COMPUTER HARDWARE MAINTENANCE</v>
      </c>
      <c r="C231" s="11"/>
      <c r="D231" s="7">
        <v>-9.09</v>
      </c>
      <c r="E231" s="2"/>
      <c r="F231" s="6">
        <f t="shared" si="77"/>
        <v>-1.4364923190091971E-5</v>
      </c>
      <c r="G231" s="2"/>
      <c r="H231" s="7"/>
      <c r="I231" s="2"/>
      <c r="J231" s="6">
        <f t="shared" si="78"/>
        <v>0</v>
      </c>
      <c r="K231" s="2"/>
      <c r="L231" s="7">
        <f t="shared" si="79"/>
        <v>-9.09</v>
      </c>
      <c r="M231" s="2"/>
      <c r="N231" s="6">
        <f t="shared" si="80"/>
        <v>0</v>
      </c>
      <c r="O231" s="11"/>
      <c r="P231" s="7">
        <v>-8.11</v>
      </c>
      <c r="Q231" s="2"/>
      <c r="R231" s="6">
        <f t="shared" si="81"/>
        <v>-2.5687432108053597E-6</v>
      </c>
      <c r="S231" s="2"/>
      <c r="T231" s="7"/>
      <c r="U231" s="2"/>
      <c r="V231" s="6">
        <f t="shared" si="82"/>
        <v>0</v>
      </c>
      <c r="W231" s="2"/>
      <c r="X231" s="7">
        <f t="shared" si="83"/>
        <v>-8.11</v>
      </c>
      <c r="Y231" s="2"/>
      <c r="Z231" s="6">
        <f t="shared" si="84"/>
        <v>0</v>
      </c>
    </row>
    <row r="232" spans="1:26" s="24" customFormat="1" hidden="1" outlineLevel="2" x14ac:dyDescent="0.25">
      <c r="A232" s="28"/>
      <c r="B232" s="11" t="str">
        <f>CONCATENATE("          ", "6373", " - ", "MAINTENANCE CONTRACTS")</f>
        <v xml:space="preserve">          6373 - MAINTENANCE CONTRACTS</v>
      </c>
      <c r="C232" s="11"/>
      <c r="D232" s="7">
        <v>12402.82</v>
      </c>
      <c r="E232" s="2"/>
      <c r="F232" s="6">
        <f t="shared" si="77"/>
        <v>1.9600171247583772E-2</v>
      </c>
      <c r="G232" s="2"/>
      <c r="H232" s="7">
        <v>6672.75</v>
      </c>
      <c r="I232" s="2"/>
      <c r="J232" s="6">
        <f t="shared" si="78"/>
        <v>4.7412403971630037E-3</v>
      </c>
      <c r="K232" s="2"/>
      <c r="L232" s="7">
        <f t="shared" si="79"/>
        <v>5730.07</v>
      </c>
      <c r="M232" s="2"/>
      <c r="N232" s="6">
        <f t="shared" si="80"/>
        <v>0.85872691169308002</v>
      </c>
      <c r="O232" s="11"/>
      <c r="P232" s="7">
        <v>25189.05</v>
      </c>
      <c r="Q232" s="2"/>
      <c r="R232" s="6">
        <f t="shared" si="81"/>
        <v>7.9783232027295613E-3</v>
      </c>
      <c r="S232" s="2"/>
      <c r="T232" s="7">
        <v>19048.190000000002</v>
      </c>
      <c r="U232" s="2"/>
      <c r="V232" s="6">
        <f t="shared" si="82"/>
        <v>3.5709677897887626E-3</v>
      </c>
      <c r="W232" s="2"/>
      <c r="X232" s="7">
        <f t="shared" si="83"/>
        <v>6140.8599999999969</v>
      </c>
      <c r="Y232" s="2"/>
      <c r="Z232" s="6">
        <f t="shared" si="84"/>
        <v>0.32238548649504212</v>
      </c>
    </row>
    <row r="233" spans="1:26" s="24" customFormat="1" hidden="1" outlineLevel="2" x14ac:dyDescent="0.25">
      <c r="A233" s="28"/>
      <c r="B233" s="11" t="str">
        <f>CONCATENATE("          ", "6375", " - ", "OUTSIDE REPAIRS &amp; MAINTENANCE")</f>
        <v xml:space="preserve">          6375 - OUTSIDE REPAIRS &amp; MAINTENANCE</v>
      </c>
      <c r="C233" s="11"/>
      <c r="D233" s="7">
        <v>945.75</v>
      </c>
      <c r="E233" s="2"/>
      <c r="F233" s="6">
        <f t="shared" si="77"/>
        <v>1.4945683286061036E-3</v>
      </c>
      <c r="G233" s="2"/>
      <c r="H233" s="7">
        <v>341.71</v>
      </c>
      <c r="I233" s="2"/>
      <c r="J233" s="6">
        <f t="shared" si="78"/>
        <v>2.4279783539238995E-4</v>
      </c>
      <c r="K233" s="2"/>
      <c r="L233" s="7">
        <f t="shared" si="79"/>
        <v>604.04</v>
      </c>
      <c r="M233" s="2"/>
      <c r="N233" s="6">
        <f t="shared" si="80"/>
        <v>1.7676977554066313</v>
      </c>
      <c r="O233" s="11"/>
      <c r="P233" s="7">
        <v>2782.55</v>
      </c>
      <c r="Q233" s="2"/>
      <c r="R233" s="6">
        <f t="shared" si="81"/>
        <v>8.8133864626713373E-4</v>
      </c>
      <c r="S233" s="2"/>
      <c r="T233" s="7">
        <v>17155.82</v>
      </c>
      <c r="U233" s="2"/>
      <c r="V233" s="6">
        <f t="shared" si="82"/>
        <v>3.2162048271995314E-3</v>
      </c>
      <c r="W233" s="2"/>
      <c r="X233" s="7">
        <f t="shared" si="83"/>
        <v>-14373.27</v>
      </c>
      <c r="Y233" s="2"/>
      <c r="Z233" s="6">
        <f t="shared" si="84"/>
        <v>-0.8378072281010176</v>
      </c>
    </row>
    <row r="234" spans="1:26" s="27" customFormat="1" outlineLevel="1" collapsed="1" x14ac:dyDescent="0.25">
      <c r="A234" s="29"/>
      <c r="B234" s="14" t="str">
        <f>CONCATENATE("     ","Royalty &amp; Commissions                             ")</f>
        <v xml:space="preserve">     Royalty &amp; Commissions                             </v>
      </c>
      <c r="C234" s="14"/>
      <c r="D234" s="1">
        <f>SUM(OSRRefD22_17x_0)</f>
        <v>62.6</v>
      </c>
      <c r="E234" s="1"/>
      <c r="F234" s="5">
        <f t="shared" ref="F234:F237" si="85">IF(D$12=0,0,D234/D$12)</f>
        <v>9.8926753762349542E-5</v>
      </c>
      <c r="G234" s="1"/>
      <c r="H234" s="1">
        <f>SUM(OSRRefH22_17x_0)</f>
        <v>10580.82</v>
      </c>
      <c r="I234" s="1"/>
      <c r="J234" s="5">
        <f t="shared" ref="J234:J237" si="86">IF(H$12=0,0,H234/H$12)</f>
        <v>7.5180714426750974E-3</v>
      </c>
      <c r="K234" s="1"/>
      <c r="L234" s="1">
        <f t="shared" ref="L234:L237" si="87">+D234-H234</f>
        <v>-10518.22</v>
      </c>
      <c r="M234" s="1"/>
      <c r="N234" s="5">
        <f t="shared" ref="N234:N237" si="88">IF(H234=0,0,L234/H234)</f>
        <v>-0.9940836343497006</v>
      </c>
      <c r="O234" s="14"/>
      <c r="P234" s="1">
        <f>SUM(OSRRefP22_17x_0)</f>
        <v>13307</v>
      </c>
      <c r="Q234" s="1"/>
      <c r="R234" s="5">
        <f t="shared" ref="R234:R237" si="89">IF(P$12=0,0,P234/P$12)</f>
        <v>4.2148293349182396E-3</v>
      </c>
      <c r="S234" s="1"/>
      <c r="T234" s="1">
        <f>SUM(OSRRefT22_17x_0)</f>
        <v>19452.440000000002</v>
      </c>
      <c r="U234" s="1"/>
      <c r="V234" s="5">
        <f t="shared" ref="V234:V237" si="90">IF(T$12=0,0,T234/T$12)</f>
        <v>3.6467526139123199E-3</v>
      </c>
      <c r="W234" s="1"/>
      <c r="X234" s="1">
        <f t="shared" ref="X234:X237" si="91">+P234-T234</f>
        <v>-6145.4400000000023</v>
      </c>
      <c r="Y234" s="1"/>
      <c r="Z234" s="5">
        <f t="shared" ref="Z234:Z237" si="92">IF(T234=0,0,X234/T234)</f>
        <v>-0.31592129316425094</v>
      </c>
    </row>
    <row r="235" spans="1:26" s="24" customFormat="1" hidden="1" outlineLevel="2" x14ac:dyDescent="0.25">
      <c r="A235" s="28"/>
      <c r="B235" s="11" t="str">
        <f>CONCATENATE("          ", "6253", " - ", "ROYALTY DUE ATHLETICS-LRG")</f>
        <v xml:space="preserve">          6253 - ROYALTY DUE ATHLETICS-LRG</v>
      </c>
      <c r="C235" s="11"/>
      <c r="D235" s="7"/>
      <c r="E235" s="2"/>
      <c r="F235" s="6">
        <f t="shared" si="85"/>
        <v>0</v>
      </c>
      <c r="G235" s="2"/>
      <c r="H235" s="7"/>
      <c r="I235" s="2"/>
      <c r="J235" s="6">
        <f t="shared" si="86"/>
        <v>0</v>
      </c>
      <c r="K235" s="2"/>
      <c r="L235" s="7">
        <f t="shared" si="87"/>
        <v>0</v>
      </c>
      <c r="M235" s="2"/>
      <c r="N235" s="6">
        <f t="shared" si="88"/>
        <v>0</v>
      </c>
      <c r="O235" s="11"/>
      <c r="P235" s="7">
        <v>7922.2</v>
      </c>
      <c r="Q235" s="2"/>
      <c r="R235" s="6">
        <f t="shared" si="89"/>
        <v>2.5092598600052062E-3</v>
      </c>
      <c r="S235" s="2"/>
      <c r="T235" s="7">
        <v>4366.95</v>
      </c>
      <c r="U235" s="2"/>
      <c r="V235" s="6">
        <f t="shared" si="90"/>
        <v>8.1867294423344338E-4</v>
      </c>
      <c r="W235" s="2"/>
      <c r="X235" s="7">
        <f t="shared" si="91"/>
        <v>3555.25</v>
      </c>
      <c r="Y235" s="2"/>
      <c r="Z235" s="6">
        <f t="shared" si="92"/>
        <v>0.81412656430689612</v>
      </c>
    </row>
    <row r="236" spans="1:26" s="24" customFormat="1" hidden="1" outlineLevel="2" x14ac:dyDescent="0.25">
      <c r="A236" s="28"/>
      <c r="B236" s="11" t="str">
        <f>CONCATENATE("          ", "6254", " - ", "ROYALTY &amp; COMMISSIONS")</f>
        <v xml:space="preserve">          6254 - ROYALTY &amp; COMMISSIONS</v>
      </c>
      <c r="C236" s="11"/>
      <c r="D236" s="7"/>
      <c r="E236" s="2"/>
      <c r="F236" s="6">
        <f t="shared" si="85"/>
        <v>0</v>
      </c>
      <c r="G236" s="2"/>
      <c r="H236" s="7">
        <v>365.38</v>
      </c>
      <c r="I236" s="2"/>
      <c r="J236" s="6">
        <f t="shared" si="86"/>
        <v>2.5961626260768327E-4</v>
      </c>
      <c r="K236" s="2"/>
      <c r="L236" s="7">
        <f t="shared" si="87"/>
        <v>-365.38</v>
      </c>
      <c r="M236" s="2"/>
      <c r="N236" s="6">
        <f t="shared" si="88"/>
        <v>-1</v>
      </c>
      <c r="O236" s="11"/>
      <c r="P236" s="7"/>
      <c r="Q236" s="2"/>
      <c r="R236" s="6">
        <f t="shared" si="89"/>
        <v>0</v>
      </c>
      <c r="S236" s="2"/>
      <c r="T236" s="7">
        <v>615.87</v>
      </c>
      <c r="U236" s="2"/>
      <c r="V236" s="6">
        <f t="shared" si="90"/>
        <v>1.1545726563506585E-4</v>
      </c>
      <c r="W236" s="2"/>
      <c r="X236" s="7">
        <f t="shared" si="91"/>
        <v>-615.87</v>
      </c>
      <c r="Y236" s="2"/>
      <c r="Z236" s="6">
        <f t="shared" si="92"/>
        <v>-1</v>
      </c>
    </row>
    <row r="237" spans="1:26" s="24" customFormat="1" hidden="1" outlineLevel="2" x14ac:dyDescent="0.25">
      <c r="A237" s="28"/>
      <c r="B237" s="11" t="str">
        <f>CONCATENATE("          ", "6259", " - ", "ROYALTY &amp; COMMISSIONS")</f>
        <v xml:space="preserve">          6259 - ROYALTY &amp; COMMISSIONS</v>
      </c>
      <c r="C237" s="11"/>
      <c r="D237" s="7">
        <v>62.6</v>
      </c>
      <c r="E237" s="2"/>
      <c r="F237" s="6">
        <f t="shared" si="85"/>
        <v>9.8926753762349542E-5</v>
      </c>
      <c r="G237" s="2"/>
      <c r="H237" s="7">
        <v>10215.44</v>
      </c>
      <c r="I237" s="2"/>
      <c r="J237" s="6">
        <f t="shared" si="86"/>
        <v>7.2584551800674146E-3</v>
      </c>
      <c r="K237" s="2"/>
      <c r="L237" s="7">
        <f t="shared" si="87"/>
        <v>-10152.84</v>
      </c>
      <c r="M237" s="2"/>
      <c r="N237" s="6">
        <f t="shared" si="88"/>
        <v>-0.99387202117578877</v>
      </c>
      <c r="O237" s="11"/>
      <c r="P237" s="7">
        <v>5384.8</v>
      </c>
      <c r="Q237" s="2"/>
      <c r="R237" s="6">
        <f t="shared" si="89"/>
        <v>1.7055694749130335E-3</v>
      </c>
      <c r="S237" s="2"/>
      <c r="T237" s="7">
        <v>14469.62</v>
      </c>
      <c r="U237" s="2"/>
      <c r="V237" s="6">
        <f t="shared" si="90"/>
        <v>2.7126224040438106E-3</v>
      </c>
      <c r="W237" s="2"/>
      <c r="X237" s="7">
        <f t="shared" si="91"/>
        <v>-9084.82</v>
      </c>
      <c r="Y237" s="2"/>
      <c r="Z237" s="6">
        <f t="shared" si="92"/>
        <v>-0.62785477434790959</v>
      </c>
    </row>
    <row r="238" spans="1:26" s="27" customFormat="1" outlineLevel="1" collapsed="1" x14ac:dyDescent="0.25">
      <c r="A238" s="29"/>
      <c r="B238" s="14" t="str">
        <f>CONCATENATE("     ","Services                                          ")</f>
        <v xml:space="preserve">     Services                                          </v>
      </c>
      <c r="C238" s="14"/>
      <c r="D238" s="1">
        <f>SUM(OSRRefD22_18x_0)</f>
        <v>4517.25</v>
      </c>
      <c r="E238" s="1"/>
      <c r="F238" s="5">
        <f t="shared" ref="F238:F242" si="93">IF(D$12=0,0,D238/D$12)</f>
        <v>7.138608281676893E-3</v>
      </c>
      <c r="G238" s="1"/>
      <c r="H238" s="1">
        <f>SUM(OSRRefH22_18x_0)</f>
        <v>3921.52</v>
      </c>
      <c r="I238" s="1"/>
      <c r="J238" s="5">
        <f t="shared" ref="J238:J242" si="94">IF(H$12=0,0,H238/H$12)</f>
        <v>2.7863877774954348E-3</v>
      </c>
      <c r="K238" s="1"/>
      <c r="L238" s="1">
        <f t="shared" ref="L238:L242" si="95">+D238-H238</f>
        <v>595.73</v>
      </c>
      <c r="M238" s="1"/>
      <c r="N238" s="5">
        <f t="shared" ref="N238:N242" si="96">IF(H238=0,0,L238/H238)</f>
        <v>0.15191303372161816</v>
      </c>
      <c r="O238" s="14"/>
      <c r="P238" s="1">
        <f>SUM(OSRRefP22_18x_0)</f>
        <v>8822.77</v>
      </c>
      <c r="Q238" s="1"/>
      <c r="R238" s="5">
        <f t="shared" ref="R238:R242" si="97">IF(P$12=0,0,P238/P$12)</f>
        <v>2.7945043819971893E-3</v>
      </c>
      <c r="S238" s="1"/>
      <c r="T238" s="1">
        <f>SUM(OSRRefT22_18x_0)</f>
        <v>13227.19</v>
      </c>
      <c r="U238" s="1"/>
      <c r="V238" s="5">
        <f t="shared" ref="V238:V242" si="98">IF(T$12=0,0,T238/T$12)</f>
        <v>2.4797038164474428E-3</v>
      </c>
      <c r="W238" s="1"/>
      <c r="X238" s="1">
        <f t="shared" ref="X238:X242" si="99">+P238-T238</f>
        <v>-4404.42</v>
      </c>
      <c r="Y238" s="1"/>
      <c r="Z238" s="5">
        <f t="shared" ref="Z238:Z242" si="100">IF(T238=0,0,X238/T238)</f>
        <v>-0.33298228875520802</v>
      </c>
    </row>
    <row r="239" spans="1:26" s="24" customFormat="1" hidden="1" outlineLevel="2" x14ac:dyDescent="0.25">
      <c r="A239" s="28"/>
      <c r="B239" s="11" t="str">
        <f>CONCATENATE("          ", "6282", " - ", "JANITORIAL/EXTERMINATOR EXPENS")</f>
        <v xml:space="preserve">          6282 - JANITORIAL/EXTERMINATOR EXPENS</v>
      </c>
      <c r="C239" s="11"/>
      <c r="D239" s="7">
        <v>266.5</v>
      </c>
      <c r="E239" s="2"/>
      <c r="F239" s="6">
        <f t="shared" si="93"/>
        <v>4.2114983830137624E-4</v>
      </c>
      <c r="G239" s="2"/>
      <c r="H239" s="7">
        <v>266.5</v>
      </c>
      <c r="I239" s="2"/>
      <c r="J239" s="6">
        <f t="shared" si="94"/>
        <v>1.8935829543200938E-4</v>
      </c>
      <c r="K239" s="2"/>
      <c r="L239" s="7">
        <f t="shared" si="95"/>
        <v>0</v>
      </c>
      <c r="M239" s="2"/>
      <c r="N239" s="6">
        <f t="shared" si="96"/>
        <v>0</v>
      </c>
      <c r="O239" s="11"/>
      <c r="P239" s="7">
        <v>742.94</v>
      </c>
      <c r="Q239" s="2"/>
      <c r="R239" s="6">
        <f t="shared" si="97"/>
        <v>2.3531714932623109E-4</v>
      </c>
      <c r="S239" s="2"/>
      <c r="T239" s="7">
        <v>799.5</v>
      </c>
      <c r="U239" s="2"/>
      <c r="V239" s="6">
        <f t="shared" si="98"/>
        <v>1.4988241654121024E-4</v>
      </c>
      <c r="W239" s="2"/>
      <c r="X239" s="7">
        <f t="shared" si="99"/>
        <v>-56.559999999999945</v>
      </c>
      <c r="Y239" s="2"/>
      <c r="Z239" s="6">
        <f t="shared" si="100"/>
        <v>-7.0744215134458971E-2</v>
      </c>
    </row>
    <row r="240" spans="1:26" s="24" customFormat="1" hidden="1" outlineLevel="2" x14ac:dyDescent="0.25">
      <c r="A240" s="28"/>
      <c r="B240" s="11" t="str">
        <f>CONCATENATE("          ", "6283", " - ", "PLANT SERVICE")</f>
        <v xml:space="preserve">          6283 - PLANT SERVICE</v>
      </c>
      <c r="C240" s="11"/>
      <c r="D240" s="7"/>
      <c r="E240" s="2"/>
      <c r="F240" s="6">
        <f t="shared" si="93"/>
        <v>0</v>
      </c>
      <c r="G240" s="2"/>
      <c r="H240" s="7">
        <v>180.66</v>
      </c>
      <c r="I240" s="2"/>
      <c r="J240" s="6">
        <f t="shared" si="94"/>
        <v>1.2836573978516628E-4</v>
      </c>
      <c r="K240" s="2"/>
      <c r="L240" s="7">
        <f t="shared" si="95"/>
        <v>-180.66</v>
      </c>
      <c r="M240" s="2"/>
      <c r="N240" s="6">
        <f t="shared" si="96"/>
        <v>-1</v>
      </c>
      <c r="O240" s="11"/>
      <c r="P240" s="7">
        <v>130</v>
      </c>
      <c r="Q240" s="2"/>
      <c r="R240" s="6">
        <f t="shared" si="97"/>
        <v>4.1175908434611191E-5</v>
      </c>
      <c r="S240" s="2"/>
      <c r="T240" s="7">
        <v>541.98</v>
      </c>
      <c r="U240" s="2"/>
      <c r="V240" s="6">
        <f t="shared" si="98"/>
        <v>1.016050933295874E-4</v>
      </c>
      <c r="W240" s="2"/>
      <c r="X240" s="7">
        <f t="shared" si="99"/>
        <v>-411.98</v>
      </c>
      <c r="Y240" s="2"/>
      <c r="Z240" s="6">
        <f t="shared" si="100"/>
        <v>-0.76013875050739876</v>
      </c>
    </row>
    <row r="241" spans="1:26" s="24" customFormat="1" hidden="1" outlineLevel="2" x14ac:dyDescent="0.25">
      <c r="A241" s="28"/>
      <c r="B241" s="11" t="str">
        <f>CONCATENATE("          ", "6284", " - ", "TRASH REMOVAL EXPENSE")</f>
        <v xml:space="preserve">          6284 - TRASH REMOVAL EXPENSE</v>
      </c>
      <c r="C241" s="11"/>
      <c r="D241" s="7">
        <v>142.57</v>
      </c>
      <c r="E241" s="2"/>
      <c r="F241" s="6">
        <f t="shared" si="93"/>
        <v>2.2530331124437976E-4</v>
      </c>
      <c r="G241" s="2"/>
      <c r="H241" s="7">
        <v>134.82</v>
      </c>
      <c r="I241" s="2"/>
      <c r="J241" s="6">
        <f t="shared" si="94"/>
        <v>9.5794691895472812E-5</v>
      </c>
      <c r="K241" s="2"/>
      <c r="L241" s="7">
        <f t="shared" si="95"/>
        <v>7.75</v>
      </c>
      <c r="M241" s="2"/>
      <c r="N241" s="6">
        <f t="shared" si="96"/>
        <v>5.7484052811155616E-2</v>
      </c>
      <c r="O241" s="11"/>
      <c r="P241" s="7">
        <v>427.71</v>
      </c>
      <c r="Q241" s="2"/>
      <c r="R241" s="6">
        <f t="shared" si="97"/>
        <v>1.3547190612744271E-4</v>
      </c>
      <c r="S241" s="2"/>
      <c r="T241" s="7">
        <v>404.46</v>
      </c>
      <c r="U241" s="2"/>
      <c r="V241" s="6">
        <f t="shared" si="98"/>
        <v>7.5824192863361957E-5</v>
      </c>
      <c r="W241" s="2"/>
      <c r="X241" s="7">
        <f t="shared" si="99"/>
        <v>23.25</v>
      </c>
      <c r="Y241" s="2"/>
      <c r="Z241" s="6">
        <f t="shared" si="100"/>
        <v>5.7484052811155616E-2</v>
      </c>
    </row>
    <row r="242" spans="1:26" s="24" customFormat="1" hidden="1" outlineLevel="2" x14ac:dyDescent="0.25">
      <c r="A242" s="28"/>
      <c r="B242" s="11" t="str">
        <f>CONCATENATE("          ", "6285", " - ", "JANITORIAL SERVICES")</f>
        <v xml:space="preserve">          6285 - JANITORIAL SERVICES</v>
      </c>
      <c r="C242" s="11"/>
      <c r="D242" s="7">
        <v>4108.18</v>
      </c>
      <c r="E242" s="2"/>
      <c r="F242" s="6">
        <f t="shared" si="93"/>
        <v>6.4921551321311371E-3</v>
      </c>
      <c r="G242" s="2"/>
      <c r="H242" s="7">
        <v>3339.54</v>
      </c>
      <c r="I242" s="2"/>
      <c r="J242" s="6">
        <f t="shared" si="94"/>
        <v>2.3728690503827866E-3</v>
      </c>
      <c r="K242" s="2"/>
      <c r="L242" s="7">
        <f t="shared" si="95"/>
        <v>768.64000000000033</v>
      </c>
      <c r="M242" s="2"/>
      <c r="N242" s="6">
        <f t="shared" si="96"/>
        <v>0.23016343568275879</v>
      </c>
      <c r="O242" s="11"/>
      <c r="P242" s="7">
        <v>7522.12</v>
      </c>
      <c r="Q242" s="2"/>
      <c r="R242" s="6">
        <f t="shared" si="97"/>
        <v>2.3825394181089042E-3</v>
      </c>
      <c r="S242" s="2"/>
      <c r="T242" s="7">
        <v>11481.25</v>
      </c>
      <c r="U242" s="2"/>
      <c r="V242" s="6">
        <f t="shared" si="98"/>
        <v>2.1523921137132831E-3</v>
      </c>
      <c r="W242" s="2"/>
      <c r="X242" s="7">
        <f t="shared" si="99"/>
        <v>-3959.13</v>
      </c>
      <c r="Y242" s="2"/>
      <c r="Z242" s="6">
        <f t="shared" si="100"/>
        <v>-0.34483440391943387</v>
      </c>
    </row>
    <row r="243" spans="1:26" s="27" customFormat="1" outlineLevel="1" collapsed="1" x14ac:dyDescent="0.25">
      <c r="A243" s="29"/>
      <c r="B243" s="14" t="str">
        <f>CONCATENATE("     ","Subscriptions &amp; Dues                              ")</f>
        <v xml:space="preserve">     Subscriptions &amp; Dues                              </v>
      </c>
      <c r="C243" s="14"/>
      <c r="D243" s="1">
        <f>SUM(OSRRefD22_19x_0)</f>
        <v>148.77000000000001</v>
      </c>
      <c r="E243" s="1"/>
      <c r="F243" s="5">
        <f t="shared" ref="F243:F245" si="101">IF(D$12=0,0,D243/D$12)</f>
        <v>2.3510116864576268E-4</v>
      </c>
      <c r="G243" s="1"/>
      <c r="H243" s="1">
        <f>SUM(OSRRefH22_19x_0)</f>
        <v>706.62</v>
      </c>
      <c r="I243" s="1"/>
      <c r="J243" s="5">
        <f t="shared" ref="J243:J245" si="102">IF(H$12=0,0,H243/H$12)</f>
        <v>5.0208014528392673E-4</v>
      </c>
      <c r="K243" s="1"/>
      <c r="L243" s="1">
        <f t="shared" ref="L243:L245" si="103">+D243-H243</f>
        <v>-557.85</v>
      </c>
      <c r="M243" s="1"/>
      <c r="N243" s="5">
        <f t="shared" ref="N243:N245" si="104">IF(H243=0,0,L243/H243)</f>
        <v>-0.78946251167529935</v>
      </c>
      <c r="O243" s="14"/>
      <c r="P243" s="1">
        <f>SUM(OSRRefP22_19x_0)</f>
        <v>783.77</v>
      </c>
      <c r="Q243" s="1"/>
      <c r="R243" s="5">
        <f t="shared" ref="R243:R245" si="105">IF(P$12=0,0,P243/P$12)</f>
        <v>2.4824955195227086E-4</v>
      </c>
      <c r="S243" s="1"/>
      <c r="T243" s="1">
        <f>SUM(OSRRefT22_19x_0)</f>
        <v>-3301.15</v>
      </c>
      <c r="U243" s="1"/>
      <c r="V243" s="5">
        <f t="shared" ref="V243:V245" si="106">IF(T$12=0,0,T243/T$12)</f>
        <v>-6.1886721621640551E-4</v>
      </c>
      <c r="W243" s="1"/>
      <c r="X243" s="1">
        <f t="shared" ref="X243:X245" si="107">+P243-T243</f>
        <v>4084.92</v>
      </c>
      <c r="Y243" s="1"/>
      <c r="Z243" s="5">
        <f t="shared" ref="Z243:Z245" si="108">IF(T243=0,0,X243/T243)</f>
        <v>-1.2374233221756055</v>
      </c>
    </row>
    <row r="244" spans="1:26" s="24" customFormat="1" hidden="1" outlineLevel="2" x14ac:dyDescent="0.25">
      <c r="A244" s="28"/>
      <c r="B244" s="11" t="str">
        <f>CONCATENATE("          ", "6258", " - ", "MEMBERSHIP DUES")</f>
        <v xml:space="preserve">          6258 - MEMBERSHIP DUES</v>
      </c>
      <c r="C244" s="11"/>
      <c r="D244" s="7">
        <v>73.040000000000006</v>
      </c>
      <c r="E244" s="2"/>
      <c r="F244" s="6">
        <f t="shared" si="101"/>
        <v>1.1542508138661359E-4</v>
      </c>
      <c r="G244" s="2"/>
      <c r="H244" s="7">
        <v>250</v>
      </c>
      <c r="I244" s="2"/>
      <c r="J244" s="6">
        <f t="shared" si="102"/>
        <v>1.7763442348218516E-4</v>
      </c>
      <c r="K244" s="2"/>
      <c r="L244" s="7">
        <f t="shared" si="103"/>
        <v>-176.95999999999998</v>
      </c>
      <c r="M244" s="2"/>
      <c r="N244" s="6">
        <f t="shared" si="104"/>
        <v>-0.70783999999999991</v>
      </c>
      <c r="O244" s="11"/>
      <c r="P244" s="7">
        <v>633.04</v>
      </c>
      <c r="Q244" s="2"/>
      <c r="R244" s="6">
        <f t="shared" si="105"/>
        <v>2.0050766981112515E-4</v>
      </c>
      <c r="S244" s="2"/>
      <c r="T244" s="7">
        <v>-4091.15</v>
      </c>
      <c r="U244" s="2"/>
      <c r="V244" s="6">
        <f t="shared" si="106"/>
        <v>-7.6696866595693839E-4</v>
      </c>
      <c r="W244" s="2"/>
      <c r="X244" s="7">
        <f t="shared" si="107"/>
        <v>4724.1900000000005</v>
      </c>
      <c r="Y244" s="2"/>
      <c r="Z244" s="6">
        <f t="shared" si="108"/>
        <v>-1.1547339989978369</v>
      </c>
    </row>
    <row r="245" spans="1:26" s="24" customFormat="1" hidden="1" outlineLevel="2" x14ac:dyDescent="0.25">
      <c r="A245" s="28"/>
      <c r="B245" s="11" t="str">
        <f>CONCATENATE("          ", "6275", " - ", "SUBSCRIPTIONS")</f>
        <v xml:space="preserve">          6275 - SUBSCRIPTIONS</v>
      </c>
      <c r="C245" s="11"/>
      <c r="D245" s="7">
        <v>75.73</v>
      </c>
      <c r="E245" s="2"/>
      <c r="F245" s="6">
        <f t="shared" si="101"/>
        <v>1.1967608725914907E-4</v>
      </c>
      <c r="G245" s="2"/>
      <c r="H245" s="7">
        <v>456.62</v>
      </c>
      <c r="I245" s="2"/>
      <c r="J245" s="6">
        <f t="shared" si="102"/>
        <v>3.2444572180174156E-4</v>
      </c>
      <c r="K245" s="2"/>
      <c r="L245" s="7">
        <f t="shared" si="103"/>
        <v>-380.89</v>
      </c>
      <c r="M245" s="2"/>
      <c r="N245" s="6">
        <f t="shared" si="104"/>
        <v>-0.83415093513205729</v>
      </c>
      <c r="O245" s="11"/>
      <c r="P245" s="7">
        <v>150.72999999999999</v>
      </c>
      <c r="Q245" s="2"/>
      <c r="R245" s="6">
        <f t="shared" si="105"/>
        <v>4.774188214114573E-5</v>
      </c>
      <c r="S245" s="2"/>
      <c r="T245" s="7">
        <v>790</v>
      </c>
      <c r="U245" s="2"/>
      <c r="V245" s="6">
        <f t="shared" si="106"/>
        <v>1.4810144974053294E-4</v>
      </c>
      <c r="W245" s="2"/>
      <c r="X245" s="7">
        <f t="shared" si="107"/>
        <v>-639.27</v>
      </c>
      <c r="Y245" s="2"/>
      <c r="Z245" s="6">
        <f t="shared" si="108"/>
        <v>-0.80920253164556954</v>
      </c>
    </row>
    <row r="246" spans="1:26" s="27" customFormat="1" outlineLevel="1" collapsed="1" x14ac:dyDescent="0.25">
      <c r="A246" s="29"/>
      <c r="B246" s="14" t="str">
        <f>CONCATENATE("     ","Supplies                                          ")</f>
        <v xml:space="preserve">     Supplies                                          </v>
      </c>
      <c r="C246" s="14"/>
      <c r="D246" s="1">
        <f>SUM(OSRRefD22_20x_0)</f>
        <v>13891.560000000001</v>
      </c>
      <c r="E246" s="1"/>
      <c r="F246" s="5">
        <f t="shared" ref="F246:F253" si="109">IF(D$12=0,0,D246/D$12)</f>
        <v>2.1952826445605506E-2</v>
      </c>
      <c r="G246" s="1"/>
      <c r="H246" s="1">
        <f>SUM(OSRRefH22_20x_0)</f>
        <v>20213.899999999998</v>
      </c>
      <c r="I246" s="1"/>
      <c r="J246" s="5">
        <f t="shared" ref="J246:J253" si="110">IF(H$12=0,0,H246/H$12)</f>
        <v>1.4362737891306168E-2</v>
      </c>
      <c r="K246" s="1"/>
      <c r="L246" s="1">
        <f t="shared" ref="L246:L253" si="111">+D246-H246</f>
        <v>-6322.3399999999965</v>
      </c>
      <c r="M246" s="1"/>
      <c r="N246" s="5">
        <f t="shared" ref="N246:N253" si="112">IF(H246=0,0,L246/H246)</f>
        <v>-0.3127719044815695</v>
      </c>
      <c r="O246" s="14"/>
      <c r="P246" s="1">
        <f>SUM(OSRRefP22_20x_0)</f>
        <v>34885.050000000003</v>
      </c>
      <c r="Q246" s="1"/>
      <c r="R246" s="5">
        <f t="shared" ref="R246:R253" si="113">IF(P$12=0,0,P246/P$12)</f>
        <v>1.1049412496437179E-2</v>
      </c>
      <c r="S246" s="1"/>
      <c r="T246" s="1">
        <f>SUM(OSRRefT22_20x_0)</f>
        <v>33426.160000000003</v>
      </c>
      <c r="U246" s="1"/>
      <c r="V246" s="5">
        <f t="shared" ref="V246:V253" si="114">IF(T$12=0,0,T246/T$12)</f>
        <v>6.2664085509607755E-3</v>
      </c>
      <c r="W246" s="1"/>
      <c r="X246" s="1">
        <f t="shared" ref="X246:X253" si="115">+P246-T246</f>
        <v>1458.8899999999994</v>
      </c>
      <c r="Y246" s="1"/>
      <c r="Z246" s="5">
        <f t="shared" ref="Z246:Z253" si="116">IF(T246=0,0,X246/T246)</f>
        <v>4.3645156966878616E-2</v>
      </c>
    </row>
    <row r="247" spans="1:26" s="24" customFormat="1" hidden="1" outlineLevel="2" x14ac:dyDescent="0.25">
      <c r="A247" s="28"/>
      <c r="B247" s="11" t="str">
        <f>CONCATENATE("          ", "6234", " - ", "EXPENDABLE SUPPLIES &amp; EQUIPMEN")</f>
        <v xml:space="preserve">          6234 - EXPENDABLE SUPPLIES &amp; EQUIPMEN</v>
      </c>
      <c r="C247" s="11"/>
      <c r="D247" s="7"/>
      <c r="E247" s="2"/>
      <c r="F247" s="6">
        <f t="shared" si="109"/>
        <v>0</v>
      </c>
      <c r="G247" s="2"/>
      <c r="H247" s="7"/>
      <c r="I247" s="2"/>
      <c r="J247" s="6">
        <f t="shared" si="110"/>
        <v>0</v>
      </c>
      <c r="K247" s="2"/>
      <c r="L247" s="7">
        <f t="shared" si="111"/>
        <v>0</v>
      </c>
      <c r="M247" s="2"/>
      <c r="N247" s="6">
        <f t="shared" si="112"/>
        <v>0</v>
      </c>
      <c r="O247" s="11"/>
      <c r="P247" s="7"/>
      <c r="Q247" s="2"/>
      <c r="R247" s="6">
        <f t="shared" si="113"/>
        <v>0</v>
      </c>
      <c r="S247" s="2"/>
      <c r="T247" s="7">
        <v>1716.1</v>
      </c>
      <c r="U247" s="2"/>
      <c r="V247" s="6">
        <f t="shared" si="114"/>
        <v>3.2171759227813741E-4</v>
      </c>
      <c r="W247" s="2"/>
      <c r="X247" s="7">
        <f t="shared" si="115"/>
        <v>-1716.1</v>
      </c>
      <c r="Y247" s="2"/>
      <c r="Z247" s="6">
        <f t="shared" si="116"/>
        <v>-1</v>
      </c>
    </row>
    <row r="248" spans="1:26" s="24" customFormat="1" hidden="1" outlineLevel="2" x14ac:dyDescent="0.25">
      <c r="A248" s="28"/>
      <c r="B248" s="11" t="str">
        <f>CONCATENATE("          ", "6235", " - ", "COVID-19 EXPENSES")</f>
        <v xml:space="preserve">          6235 - COVID-19 EXPENSES</v>
      </c>
      <c r="C248" s="11"/>
      <c r="D248" s="7">
        <v>2460.7800000000002</v>
      </c>
      <c r="E248" s="2"/>
      <c r="F248" s="6">
        <f t="shared" si="109"/>
        <v>3.8887696026088585E-3</v>
      </c>
      <c r="G248" s="2"/>
      <c r="H248" s="7"/>
      <c r="I248" s="2"/>
      <c r="J248" s="6">
        <f t="shared" si="110"/>
        <v>0</v>
      </c>
      <c r="K248" s="2"/>
      <c r="L248" s="7">
        <f t="shared" si="111"/>
        <v>2460.7800000000002</v>
      </c>
      <c r="M248" s="2"/>
      <c r="N248" s="6">
        <f t="shared" si="112"/>
        <v>0</v>
      </c>
      <c r="O248" s="11"/>
      <c r="P248" s="7">
        <v>9762.7900000000009</v>
      </c>
      <c r="Q248" s="2"/>
      <c r="R248" s="6">
        <f t="shared" si="113"/>
        <v>3.0922442085102911E-3</v>
      </c>
      <c r="S248" s="2"/>
      <c r="T248" s="7"/>
      <c r="U248" s="2"/>
      <c r="V248" s="6">
        <f t="shared" si="114"/>
        <v>0</v>
      </c>
      <c r="W248" s="2"/>
      <c r="X248" s="7">
        <f t="shared" si="115"/>
        <v>9762.7900000000009</v>
      </c>
      <c r="Y248" s="2"/>
      <c r="Z248" s="6">
        <f t="shared" si="116"/>
        <v>0</v>
      </c>
    </row>
    <row r="249" spans="1:26" s="24" customFormat="1" hidden="1" outlineLevel="2" x14ac:dyDescent="0.25">
      <c r="A249" s="28"/>
      <c r="B249" s="11" t="str">
        <f>CONCATENATE("          ", "6237", " - ", "JANITORIAL SUPPLIES")</f>
        <v xml:space="preserve">          6237 - JANITORIAL SUPPLIES</v>
      </c>
      <c r="C249" s="11"/>
      <c r="D249" s="7"/>
      <c r="E249" s="2"/>
      <c r="F249" s="6">
        <f t="shared" si="109"/>
        <v>0</v>
      </c>
      <c r="G249" s="2"/>
      <c r="H249" s="7">
        <v>1088.21</v>
      </c>
      <c r="I249" s="2"/>
      <c r="J249" s="6">
        <f t="shared" si="110"/>
        <v>7.732142239101949E-4</v>
      </c>
      <c r="K249" s="2"/>
      <c r="L249" s="7">
        <f t="shared" si="111"/>
        <v>-1088.21</v>
      </c>
      <c r="M249" s="2"/>
      <c r="N249" s="6">
        <f t="shared" si="112"/>
        <v>-1</v>
      </c>
      <c r="O249" s="11"/>
      <c r="P249" s="7">
        <v>139.31</v>
      </c>
      <c r="Q249" s="2"/>
      <c r="R249" s="6">
        <f t="shared" si="113"/>
        <v>4.4124736954043735E-5</v>
      </c>
      <c r="S249" s="2"/>
      <c r="T249" s="7">
        <v>1863.61</v>
      </c>
      <c r="U249" s="2"/>
      <c r="V249" s="6">
        <f t="shared" si="114"/>
        <v>3.4937131993791716E-4</v>
      </c>
      <c r="W249" s="2"/>
      <c r="X249" s="7">
        <f t="shared" si="115"/>
        <v>-1724.3</v>
      </c>
      <c r="Y249" s="2"/>
      <c r="Z249" s="6">
        <f t="shared" si="116"/>
        <v>-0.92524723520479069</v>
      </c>
    </row>
    <row r="250" spans="1:26" s="24" customFormat="1" hidden="1" outlineLevel="2" x14ac:dyDescent="0.25">
      <c r="A250" s="28"/>
      <c r="B250" s="11" t="str">
        <f>CONCATENATE("          ", "6241", " - ", "OFFICE EXPENSE")</f>
        <v xml:space="preserve">          6241 - OFFICE EXPENSE</v>
      </c>
      <c r="C250" s="11"/>
      <c r="D250" s="7">
        <v>4794.93</v>
      </c>
      <c r="E250" s="2"/>
      <c r="F250" s="6">
        <f t="shared" si="109"/>
        <v>7.5774258692923755E-3</v>
      </c>
      <c r="G250" s="2"/>
      <c r="H250" s="7">
        <v>2997.41</v>
      </c>
      <c r="I250" s="2"/>
      <c r="J250" s="6">
        <f t="shared" si="110"/>
        <v>2.1297727891589464E-3</v>
      </c>
      <c r="K250" s="2"/>
      <c r="L250" s="7">
        <f t="shared" si="111"/>
        <v>1797.5200000000004</v>
      </c>
      <c r="M250" s="2"/>
      <c r="N250" s="6">
        <f t="shared" si="112"/>
        <v>0.59969106662084948</v>
      </c>
      <c r="O250" s="11"/>
      <c r="P250" s="7">
        <v>8306.2800000000007</v>
      </c>
      <c r="Q250" s="2"/>
      <c r="R250" s="6">
        <f t="shared" si="113"/>
        <v>2.6309124977864791E-3</v>
      </c>
      <c r="S250" s="2"/>
      <c r="T250" s="7">
        <v>10195.92</v>
      </c>
      <c r="U250" s="2"/>
      <c r="V250" s="6">
        <f t="shared" si="114"/>
        <v>1.9114310549854362E-3</v>
      </c>
      <c r="W250" s="2"/>
      <c r="X250" s="7">
        <f t="shared" si="115"/>
        <v>-1889.6399999999994</v>
      </c>
      <c r="Y250" s="2"/>
      <c r="Z250" s="6">
        <f t="shared" si="116"/>
        <v>-0.18533295671209654</v>
      </c>
    </row>
    <row r="251" spans="1:26" s="24" customFormat="1" hidden="1" outlineLevel="2" x14ac:dyDescent="0.25">
      <c r="A251" s="28"/>
      <c r="B251" s="11" t="str">
        <f>CONCATENATE("          ", "6243", " - ", "PAPER SUPPLIES")</f>
        <v xml:space="preserve">          6243 - PAPER SUPPLIES</v>
      </c>
      <c r="C251" s="11"/>
      <c r="D251" s="7"/>
      <c r="E251" s="2"/>
      <c r="F251" s="6">
        <f t="shared" si="109"/>
        <v>0</v>
      </c>
      <c r="G251" s="2"/>
      <c r="H251" s="7">
        <v>318.66000000000003</v>
      </c>
      <c r="I251" s="2"/>
      <c r="J251" s="6">
        <f t="shared" si="110"/>
        <v>2.2641994154733251E-4</v>
      </c>
      <c r="K251" s="2"/>
      <c r="L251" s="7">
        <f t="shared" si="111"/>
        <v>-318.66000000000003</v>
      </c>
      <c r="M251" s="2"/>
      <c r="N251" s="6">
        <f t="shared" si="112"/>
        <v>-1</v>
      </c>
      <c r="O251" s="11"/>
      <c r="P251" s="7">
        <v>3124.69</v>
      </c>
      <c r="Q251" s="2"/>
      <c r="R251" s="6">
        <f t="shared" si="113"/>
        <v>9.8970730251188668E-4</v>
      </c>
      <c r="S251" s="2"/>
      <c r="T251" s="7">
        <v>2976.95</v>
      </c>
      <c r="U251" s="2"/>
      <c r="V251" s="6">
        <f t="shared" si="114"/>
        <v>5.5808938076592346E-4</v>
      </c>
      <c r="W251" s="2"/>
      <c r="X251" s="7">
        <f t="shared" si="115"/>
        <v>147.74000000000024</v>
      </c>
      <c r="Y251" s="2"/>
      <c r="Z251" s="6">
        <f t="shared" si="116"/>
        <v>4.962797494079519E-2</v>
      </c>
    </row>
    <row r="252" spans="1:26" s="24" customFormat="1" hidden="1" outlineLevel="2" x14ac:dyDescent="0.25">
      <c r="A252" s="28"/>
      <c r="B252" s="11" t="str">
        <f>CONCATENATE("          ", "6245", " - ", "PRINTING")</f>
        <v xml:space="preserve">          6245 - PRINTING</v>
      </c>
      <c r="C252" s="11"/>
      <c r="D252" s="7">
        <v>356.96</v>
      </c>
      <c r="E252" s="2"/>
      <c r="F252" s="6">
        <f t="shared" si="109"/>
        <v>5.641037383867139E-4</v>
      </c>
      <c r="G252" s="2"/>
      <c r="H252" s="7">
        <v>254.9</v>
      </c>
      <c r="I252" s="2"/>
      <c r="J252" s="6">
        <f t="shared" si="110"/>
        <v>1.8111605818243599E-4</v>
      </c>
      <c r="K252" s="2"/>
      <c r="L252" s="7">
        <f t="shared" si="111"/>
        <v>102.05999999999997</v>
      </c>
      <c r="M252" s="2"/>
      <c r="N252" s="6">
        <f t="shared" si="112"/>
        <v>0.4003923107100823</v>
      </c>
      <c r="O252" s="11"/>
      <c r="P252" s="7">
        <v>61.46</v>
      </c>
      <c r="Q252" s="2"/>
      <c r="R252" s="6">
        <f t="shared" si="113"/>
        <v>1.9466702556855414E-5</v>
      </c>
      <c r="S252" s="2"/>
      <c r="T252" s="7">
        <v>5240.01</v>
      </c>
      <c r="U252" s="2"/>
      <c r="V252" s="6">
        <f t="shared" si="114"/>
        <v>9.8234566791758227E-4</v>
      </c>
      <c r="W252" s="2"/>
      <c r="X252" s="7">
        <f t="shared" si="115"/>
        <v>-5178.55</v>
      </c>
      <c r="Y252" s="2"/>
      <c r="Z252" s="6">
        <f t="shared" si="116"/>
        <v>-0.98827101474997181</v>
      </c>
    </row>
    <row r="253" spans="1:26" s="24" customFormat="1" hidden="1" outlineLevel="2" x14ac:dyDescent="0.25">
      <c r="A253" s="28"/>
      <c r="B253" s="11" t="str">
        <f>CONCATENATE("          ", "6247", " - ", "STORE SUPPLIES")</f>
        <v xml:space="preserve">          6247 - STORE SUPPLIES</v>
      </c>
      <c r="C253" s="11"/>
      <c r="D253" s="7">
        <v>6278.89</v>
      </c>
      <c r="E253" s="2"/>
      <c r="F253" s="6">
        <f t="shared" si="109"/>
        <v>9.9225272353175558E-3</v>
      </c>
      <c r="G253" s="2"/>
      <c r="H253" s="7">
        <v>15554.72</v>
      </c>
      <c r="I253" s="2"/>
      <c r="J253" s="6">
        <f t="shared" si="110"/>
        <v>1.1052214878507259E-2</v>
      </c>
      <c r="K253" s="2"/>
      <c r="L253" s="7">
        <f t="shared" si="111"/>
        <v>-9275.8299999999981</v>
      </c>
      <c r="M253" s="2"/>
      <c r="N253" s="6">
        <f t="shared" si="112"/>
        <v>-0.59633538887231652</v>
      </c>
      <c r="O253" s="11"/>
      <c r="P253" s="7">
        <v>13490.52</v>
      </c>
      <c r="Q253" s="2"/>
      <c r="R253" s="6">
        <f t="shared" si="113"/>
        <v>4.2729570481176236E-3</v>
      </c>
      <c r="S253" s="2"/>
      <c r="T253" s="7">
        <v>11433.57</v>
      </c>
      <c r="U253" s="2"/>
      <c r="V253" s="6">
        <f t="shared" si="114"/>
        <v>2.1434535350757788E-3</v>
      </c>
      <c r="W253" s="2"/>
      <c r="X253" s="7">
        <f t="shared" si="115"/>
        <v>2056.9500000000007</v>
      </c>
      <c r="Y253" s="2"/>
      <c r="Z253" s="6">
        <f t="shared" si="116"/>
        <v>0.17990443929586303</v>
      </c>
    </row>
    <row r="254" spans="1:26" s="27" customFormat="1" outlineLevel="1" collapsed="1" x14ac:dyDescent="0.25">
      <c r="A254" s="29"/>
      <c r="B254" s="14" t="str">
        <f>CONCATENATE("     ","Telephone/Data Lines                              ")</f>
        <v xml:space="preserve">     Telephone/Data Lines                              </v>
      </c>
      <c r="C254" s="14"/>
      <c r="D254" s="1">
        <f>SUM(OSRRefD22_21x_0)</f>
        <v>5360.54</v>
      </c>
      <c r="E254" s="1"/>
      <c r="F254" s="5">
        <f t="shared" ref="F254:F256" si="117">IF(D$12=0,0,D254/D$12)</f>
        <v>8.4712591152272393E-3</v>
      </c>
      <c r="G254" s="1"/>
      <c r="H254" s="1">
        <f>SUM(OSRRefH22_21x_0)</f>
        <v>6329.03</v>
      </c>
      <c r="I254" s="1"/>
      <c r="J254" s="5">
        <f t="shared" ref="J254:J256" si="118">IF(H$12=0,0,H254/H$12)</f>
        <v>4.4970143810058169E-3</v>
      </c>
      <c r="K254" s="1"/>
      <c r="L254" s="1">
        <f t="shared" ref="L254:L256" si="119">+D254-H254</f>
        <v>-968.48999999999978</v>
      </c>
      <c r="M254" s="1"/>
      <c r="N254" s="5">
        <f t="shared" ref="N254:N256" si="120">IF(H254=0,0,L254/H254)</f>
        <v>-0.1530234490909349</v>
      </c>
      <c r="O254" s="14"/>
      <c r="P254" s="1">
        <f>SUM(OSRRefP22_21x_0)</f>
        <v>10442.34</v>
      </c>
      <c r="Q254" s="1"/>
      <c r="R254" s="5">
        <f t="shared" ref="R254:R256" si="121">IF(P$12=0,0,P254/P$12)</f>
        <v>3.3074833514082913E-3</v>
      </c>
      <c r="S254" s="1"/>
      <c r="T254" s="1">
        <f>SUM(OSRRefT22_21x_0)</f>
        <v>11177.7</v>
      </c>
      <c r="U254" s="1"/>
      <c r="V254" s="5">
        <f t="shared" ref="V254:V256" si="122">IF(T$12=0,0,T254/T$12)</f>
        <v>2.0954855376769054E-3</v>
      </c>
      <c r="W254" s="1"/>
      <c r="X254" s="1">
        <f t="shared" ref="X254:X256" si="123">+P254-T254</f>
        <v>-735.36000000000058</v>
      </c>
      <c r="Y254" s="1"/>
      <c r="Z254" s="5">
        <f t="shared" ref="Z254:Z256" si="124">IF(T254=0,0,X254/T254)</f>
        <v>-6.5788131726562754E-2</v>
      </c>
    </row>
    <row r="255" spans="1:26" s="24" customFormat="1" hidden="1" outlineLevel="2" x14ac:dyDescent="0.25">
      <c r="A255" s="28"/>
      <c r="B255" s="11" t="str">
        <f>CONCATENATE("          ", "6303", " - ", "DATA PHONE LINES")</f>
        <v xml:space="preserve">          6303 - DATA PHONE LINES</v>
      </c>
      <c r="C255" s="11"/>
      <c r="D255" s="7">
        <v>885</v>
      </c>
      <c r="E255" s="2"/>
      <c r="F255" s="6">
        <f t="shared" si="117"/>
        <v>1.3985651290683602E-3</v>
      </c>
      <c r="G255" s="2"/>
      <c r="H255" s="7">
        <v>295</v>
      </c>
      <c r="I255" s="2"/>
      <c r="J255" s="6">
        <f t="shared" si="118"/>
        <v>2.0960861970897849E-4</v>
      </c>
      <c r="K255" s="2"/>
      <c r="L255" s="7">
        <f t="shared" si="119"/>
        <v>590</v>
      </c>
      <c r="M255" s="2"/>
      <c r="N255" s="6">
        <f t="shared" si="120"/>
        <v>2</v>
      </c>
      <c r="O255" s="11"/>
      <c r="P255" s="7">
        <v>1180</v>
      </c>
      <c r="Q255" s="2"/>
      <c r="R255" s="6">
        <f t="shared" si="121"/>
        <v>3.7375055348339394E-4</v>
      </c>
      <c r="S255" s="2"/>
      <c r="T255" s="7">
        <v>885</v>
      </c>
      <c r="U255" s="2"/>
      <c r="V255" s="6">
        <f t="shared" si="122"/>
        <v>1.6591111774730589E-4</v>
      </c>
      <c r="W255" s="2"/>
      <c r="X255" s="7">
        <f t="shared" si="123"/>
        <v>295</v>
      </c>
      <c r="Y255" s="2"/>
      <c r="Z255" s="6">
        <f t="shared" si="124"/>
        <v>0.33333333333333331</v>
      </c>
    </row>
    <row r="256" spans="1:26" s="24" customFormat="1" hidden="1" outlineLevel="2" x14ac:dyDescent="0.25">
      <c r="A256" s="28"/>
      <c r="B256" s="11" t="str">
        <f>CONCATENATE("          ", "6309", " - ", "TELEPHONE")</f>
        <v xml:space="preserve">          6309 - TELEPHONE</v>
      </c>
      <c r="C256" s="11"/>
      <c r="D256" s="7">
        <v>4475.54</v>
      </c>
      <c r="E256" s="2"/>
      <c r="F256" s="6">
        <f t="shared" si="117"/>
        <v>7.0726939861588799E-3</v>
      </c>
      <c r="G256" s="2"/>
      <c r="H256" s="7">
        <v>6034.03</v>
      </c>
      <c r="I256" s="2"/>
      <c r="J256" s="6">
        <f t="shared" si="118"/>
        <v>4.2874057612968383E-3</v>
      </c>
      <c r="K256" s="2"/>
      <c r="L256" s="7">
        <f t="shared" si="119"/>
        <v>-1558.4899999999998</v>
      </c>
      <c r="M256" s="2"/>
      <c r="N256" s="6">
        <f t="shared" si="120"/>
        <v>-0.25828343578006735</v>
      </c>
      <c r="O256" s="11"/>
      <c r="P256" s="7">
        <v>9262.34</v>
      </c>
      <c r="Q256" s="2"/>
      <c r="R256" s="6">
        <f t="shared" si="121"/>
        <v>2.9337327979248973E-3</v>
      </c>
      <c r="S256" s="2"/>
      <c r="T256" s="7">
        <v>10292.700000000001</v>
      </c>
      <c r="U256" s="2"/>
      <c r="V256" s="6">
        <f t="shared" si="122"/>
        <v>1.9295744199295994E-3</v>
      </c>
      <c r="W256" s="2"/>
      <c r="X256" s="7">
        <f t="shared" si="123"/>
        <v>-1030.3600000000006</v>
      </c>
      <c r="Y256" s="2"/>
      <c r="Z256" s="6">
        <f t="shared" si="124"/>
        <v>-0.1001059002982697</v>
      </c>
    </row>
    <row r="257" spans="1:26" s="27" customFormat="1" outlineLevel="1" collapsed="1" x14ac:dyDescent="0.25">
      <c r="A257" s="29"/>
      <c r="B257" s="14" t="str">
        <f>CONCATENATE("     ","Training                                          ")</f>
        <v xml:space="preserve">     Training                                          </v>
      </c>
      <c r="C257" s="14"/>
      <c r="D257" s="1">
        <f>SUM(OSRRefD22_22x_0)</f>
        <v>0</v>
      </c>
      <c r="E257" s="1"/>
      <c r="F257" s="5">
        <f t="shared" ref="F257:F262" si="125">IF(D$12=0,0,D257/D$12)</f>
        <v>0</v>
      </c>
      <c r="G257" s="1"/>
      <c r="H257" s="1">
        <f>SUM(OSRRefH22_22x_0)</f>
        <v>-4902.29</v>
      </c>
      <c r="I257" s="1"/>
      <c r="J257" s="5">
        <f t="shared" ref="J257:J262" si="126">IF(H$12=0,0,H257/H$12)</f>
        <v>-3.4832618315699258E-3</v>
      </c>
      <c r="K257" s="1"/>
      <c r="L257" s="1">
        <f t="shared" ref="L257:L262" si="127">+D257-H257</f>
        <v>4902.29</v>
      </c>
      <c r="M257" s="1"/>
      <c r="N257" s="5">
        <f t="shared" ref="N257:N262" si="128">IF(H257=0,0,L257/H257)</f>
        <v>-1</v>
      </c>
      <c r="O257" s="14"/>
      <c r="P257" s="1">
        <f>SUM(OSRRefP22_22x_0)</f>
        <v>131.63</v>
      </c>
      <c r="Q257" s="1"/>
      <c r="R257" s="5">
        <f t="shared" ref="R257:R262" si="129">IF(P$12=0,0,P257/P$12)</f>
        <v>4.1692190978829776E-5</v>
      </c>
      <c r="S257" s="1"/>
      <c r="T257" s="1">
        <f>SUM(OSRRefT22_22x_0)</f>
        <v>2420.2399999999998</v>
      </c>
      <c r="U257" s="1"/>
      <c r="V257" s="5">
        <f t="shared" ref="V257:V262" si="130">IF(T$12=0,0,T257/T$12)</f>
        <v>4.5372285154433851E-4</v>
      </c>
      <c r="W257" s="1"/>
      <c r="X257" s="1">
        <f t="shared" ref="X257:X262" si="131">+P257-T257</f>
        <v>-2288.6099999999997</v>
      </c>
      <c r="Y257" s="1"/>
      <c r="Z257" s="5">
        <f t="shared" ref="Z257:Z262" si="132">IF(T257=0,0,X257/T257)</f>
        <v>-0.94561283178527744</v>
      </c>
    </row>
    <row r="258" spans="1:26" s="24" customFormat="1" hidden="1" outlineLevel="2" x14ac:dyDescent="0.25">
      <c r="A258" s="28"/>
      <c r="B258" s="11" t="str">
        <f>CONCATENATE("          ", "6376", " - ", "TRAINING")</f>
        <v xml:space="preserve">          6376 - TRAINING</v>
      </c>
      <c r="C258" s="11"/>
      <c r="D258" s="7"/>
      <c r="E258" s="2"/>
      <c r="F258" s="6">
        <f t="shared" si="125"/>
        <v>0</v>
      </c>
      <c r="G258" s="2"/>
      <c r="H258" s="7">
        <v>-4902.29</v>
      </c>
      <c r="I258" s="2"/>
      <c r="J258" s="6">
        <f t="shared" si="126"/>
        <v>-3.4832618315699258E-3</v>
      </c>
      <c r="K258" s="2"/>
      <c r="L258" s="7">
        <f t="shared" si="127"/>
        <v>4902.29</v>
      </c>
      <c r="M258" s="2"/>
      <c r="N258" s="6">
        <f t="shared" si="128"/>
        <v>-1</v>
      </c>
      <c r="O258" s="11"/>
      <c r="P258" s="7">
        <v>131.63</v>
      </c>
      <c r="Q258" s="2"/>
      <c r="R258" s="6">
        <f t="shared" si="129"/>
        <v>4.1692190978829776E-5</v>
      </c>
      <c r="S258" s="2"/>
      <c r="T258" s="7">
        <v>2420.2399999999998</v>
      </c>
      <c r="U258" s="2"/>
      <c r="V258" s="6">
        <f t="shared" si="130"/>
        <v>4.5372285154433851E-4</v>
      </c>
      <c r="W258" s="2"/>
      <c r="X258" s="7">
        <f t="shared" si="131"/>
        <v>-2288.6099999999997</v>
      </c>
      <c r="Y258" s="2"/>
      <c r="Z258" s="6">
        <f t="shared" si="132"/>
        <v>-0.94561283178527744</v>
      </c>
    </row>
    <row r="259" spans="1:26" s="27" customFormat="1" outlineLevel="1" collapsed="1" x14ac:dyDescent="0.25">
      <c r="A259" s="29"/>
      <c r="B259" s="14" t="str">
        <f>CONCATENATE("     ","Travel                                            ")</f>
        <v xml:space="preserve">     Travel                                            </v>
      </c>
      <c r="C259" s="14"/>
      <c r="D259" s="1">
        <f>SUM(OSRRefD22_23x_0)</f>
        <v>0</v>
      </c>
      <c r="E259" s="1"/>
      <c r="F259" s="5">
        <f t="shared" si="125"/>
        <v>0</v>
      </c>
      <c r="G259" s="1"/>
      <c r="H259" s="1">
        <f>SUM(OSRRefH22_23x_0)</f>
        <v>207.82999999999998</v>
      </c>
      <c r="I259" s="1"/>
      <c r="J259" s="5">
        <f t="shared" si="126"/>
        <v>1.4767104892921015E-4</v>
      </c>
      <c r="K259" s="1"/>
      <c r="L259" s="1">
        <f t="shared" si="127"/>
        <v>-207.82999999999998</v>
      </c>
      <c r="M259" s="1"/>
      <c r="N259" s="5">
        <f t="shared" si="128"/>
        <v>-1</v>
      </c>
      <c r="O259" s="14"/>
      <c r="P259" s="1">
        <f>SUM(OSRRefP22_23x_0)</f>
        <v>300.96999999999997</v>
      </c>
      <c r="Q259" s="1"/>
      <c r="R259" s="5">
        <f t="shared" si="129"/>
        <v>9.5328562781268696E-5</v>
      </c>
      <c r="S259" s="1"/>
      <c r="T259" s="1">
        <f>SUM(OSRRefT22_23x_0)</f>
        <v>613.86</v>
      </c>
      <c r="U259" s="1"/>
      <c r="V259" s="5">
        <f t="shared" si="130"/>
        <v>1.1508045055408044E-4</v>
      </c>
      <c r="W259" s="1"/>
      <c r="X259" s="1">
        <f t="shared" si="131"/>
        <v>-312.89000000000004</v>
      </c>
      <c r="Y259" s="1"/>
      <c r="Z259" s="5">
        <f t="shared" si="132"/>
        <v>-0.50970905418173529</v>
      </c>
    </row>
    <row r="260" spans="1:26" s="24" customFormat="1" hidden="1" outlineLevel="2" x14ac:dyDescent="0.25">
      <c r="A260" s="28"/>
      <c r="B260" s="11" t="str">
        <f>CONCATENATE("          ", "6292", " - ", "TRAVEL/CONFERENCE")</f>
        <v xml:space="preserve">          6292 - TRAVEL/CONFERENCE</v>
      </c>
      <c r="C260" s="11"/>
      <c r="D260" s="7"/>
      <c r="E260" s="2"/>
      <c r="F260" s="6">
        <f t="shared" si="125"/>
        <v>0</v>
      </c>
      <c r="G260" s="2"/>
      <c r="H260" s="7">
        <v>91.13</v>
      </c>
      <c r="I260" s="2"/>
      <c r="J260" s="6">
        <f t="shared" si="126"/>
        <v>6.475130004772613E-5</v>
      </c>
      <c r="K260" s="2"/>
      <c r="L260" s="7">
        <f t="shared" si="127"/>
        <v>-91.13</v>
      </c>
      <c r="M260" s="2"/>
      <c r="N260" s="6">
        <f t="shared" si="128"/>
        <v>-1</v>
      </c>
      <c r="O260" s="11"/>
      <c r="P260" s="7">
        <v>0.16</v>
      </c>
      <c r="Q260" s="2"/>
      <c r="R260" s="6">
        <f t="shared" si="129"/>
        <v>5.0678041150290699E-8</v>
      </c>
      <c r="S260" s="2"/>
      <c r="T260" s="7">
        <v>341.77</v>
      </c>
      <c r="U260" s="2"/>
      <c r="V260" s="6">
        <f t="shared" si="130"/>
        <v>6.4071686680787268E-5</v>
      </c>
      <c r="W260" s="2"/>
      <c r="X260" s="7">
        <f t="shared" si="131"/>
        <v>-341.60999999999996</v>
      </c>
      <c r="Y260" s="2"/>
      <c r="Z260" s="6">
        <f t="shared" si="132"/>
        <v>-0.99953184890423374</v>
      </c>
    </row>
    <row r="261" spans="1:26" s="24" customFormat="1" hidden="1" outlineLevel="2" x14ac:dyDescent="0.25">
      <c r="A261" s="28"/>
      <c r="B261" s="11" t="str">
        <f>CONCATENATE("          ", "6294", " - ", "TRAVEL OPERATIONAL")</f>
        <v xml:space="preserve">          6294 - TRAVEL OPERATIONAL</v>
      </c>
      <c r="C261" s="11"/>
      <c r="D261" s="7"/>
      <c r="E261" s="2"/>
      <c r="F261" s="6">
        <f t="shared" si="125"/>
        <v>0</v>
      </c>
      <c r="G261" s="2"/>
      <c r="H261" s="7">
        <v>33.43</v>
      </c>
      <c r="I261" s="2"/>
      <c r="J261" s="6">
        <f t="shared" si="126"/>
        <v>2.3753275108037799E-5</v>
      </c>
      <c r="K261" s="2"/>
      <c r="L261" s="7">
        <f t="shared" si="127"/>
        <v>-33.43</v>
      </c>
      <c r="M261" s="2"/>
      <c r="N261" s="6">
        <f t="shared" si="128"/>
        <v>-1</v>
      </c>
      <c r="O261" s="11"/>
      <c r="P261" s="7">
        <v>240.92</v>
      </c>
      <c r="Q261" s="2"/>
      <c r="R261" s="6">
        <f t="shared" si="129"/>
        <v>7.6308460462050218E-5</v>
      </c>
      <c r="S261" s="2"/>
      <c r="T261" s="7">
        <v>102.1</v>
      </c>
      <c r="U261" s="2"/>
      <c r="V261" s="6">
        <f t="shared" si="130"/>
        <v>1.9140706352542293E-5</v>
      </c>
      <c r="W261" s="2"/>
      <c r="X261" s="7">
        <f t="shared" si="131"/>
        <v>138.82</v>
      </c>
      <c r="Y261" s="2"/>
      <c r="Z261" s="6">
        <f t="shared" si="132"/>
        <v>1.3596474045053868</v>
      </c>
    </row>
    <row r="262" spans="1:26" s="24" customFormat="1" hidden="1" outlineLevel="2" x14ac:dyDescent="0.25">
      <c r="A262" s="28"/>
      <c r="B262" s="11" t="str">
        <f>CONCATENATE("          ", "6298", " - ", "VEHICLE MILEAGE")</f>
        <v xml:space="preserve">          6298 - VEHICLE MILEAGE</v>
      </c>
      <c r="C262" s="11"/>
      <c r="D262" s="7"/>
      <c r="E262" s="2"/>
      <c r="F262" s="6">
        <f t="shared" si="125"/>
        <v>0</v>
      </c>
      <c r="G262" s="2"/>
      <c r="H262" s="7">
        <v>83.27</v>
      </c>
      <c r="I262" s="2"/>
      <c r="J262" s="6">
        <f t="shared" si="126"/>
        <v>5.9166473773446231E-5</v>
      </c>
      <c r="K262" s="2"/>
      <c r="L262" s="7">
        <f t="shared" si="127"/>
        <v>-83.27</v>
      </c>
      <c r="M262" s="2"/>
      <c r="N262" s="6">
        <f t="shared" si="128"/>
        <v>-1</v>
      </c>
      <c r="O262" s="11"/>
      <c r="P262" s="7">
        <v>59.89</v>
      </c>
      <c r="Q262" s="2"/>
      <c r="R262" s="6">
        <f t="shared" si="129"/>
        <v>1.8969424278068188E-5</v>
      </c>
      <c r="S262" s="2"/>
      <c r="T262" s="7">
        <v>169.99</v>
      </c>
      <c r="U262" s="2"/>
      <c r="V262" s="6">
        <f t="shared" si="130"/>
        <v>3.1868057520750879E-5</v>
      </c>
      <c r="W262" s="2"/>
      <c r="X262" s="7">
        <f t="shared" si="131"/>
        <v>-110.10000000000001</v>
      </c>
      <c r="Y262" s="2"/>
      <c r="Z262" s="6">
        <f t="shared" si="132"/>
        <v>-0.64768515795046766</v>
      </c>
    </row>
    <row r="263" spans="1:26" s="27" customFormat="1" outlineLevel="1" collapsed="1" x14ac:dyDescent="0.25">
      <c r="A263" s="29"/>
      <c r="B263" s="14" t="str">
        <f>CONCATENATE("     ","Utilities                                         ")</f>
        <v xml:space="preserve">     Utilities                                         </v>
      </c>
      <c r="C263" s="14"/>
      <c r="D263" s="1">
        <f>SUM(OSRRefD22_24x_0)</f>
        <v>6161.01</v>
      </c>
      <c r="E263" s="1"/>
      <c r="F263" s="5">
        <f t="shared" ref="F263:F264" si="133">IF(D$12=0,0,D263/D$12)</f>
        <v>9.7362415207248119E-3</v>
      </c>
      <c r="G263" s="1"/>
      <c r="H263" s="1">
        <f>SUM(OSRRefH22_24x_0)</f>
        <v>5648.02</v>
      </c>
      <c r="I263" s="1"/>
      <c r="J263" s="5">
        <f t="shared" ref="J263:J264" si="134">IF(H$12=0,0,H263/H$12)</f>
        <v>4.013131106063406E-3</v>
      </c>
      <c r="K263" s="1"/>
      <c r="L263" s="1">
        <f t="shared" ref="L263:L264" si="135">+D263-H263</f>
        <v>512.98999999999978</v>
      </c>
      <c r="M263" s="1"/>
      <c r="N263" s="5">
        <f t="shared" ref="N263:N264" si="136">IF(H263=0,0,L263/H263)</f>
        <v>9.0826519736119868E-2</v>
      </c>
      <c r="O263" s="14"/>
      <c r="P263" s="1">
        <f>SUM(OSRRefP22_24x_0)</f>
        <v>18482.38</v>
      </c>
      <c r="Q263" s="1"/>
      <c r="R263" s="5">
        <f t="shared" ref="R263:R264" si="137">IF(P$12=0,0,P263/P$12)</f>
        <v>5.8540675887206869E-3</v>
      </c>
      <c r="S263" s="1"/>
      <c r="T263" s="1">
        <f>SUM(OSRRefT22_24x_0)</f>
        <v>11337.8</v>
      </c>
      <c r="U263" s="1"/>
      <c r="V263" s="5">
        <f t="shared" ref="V263:V264" si="138">IF(T$12=0,0,T263/T$12)</f>
        <v>2.1254995150230558E-3</v>
      </c>
      <c r="W263" s="1"/>
      <c r="X263" s="1">
        <f t="shared" ref="X263:X264" si="139">+P263-T263</f>
        <v>7144.5800000000017</v>
      </c>
      <c r="Y263" s="1"/>
      <c r="Z263" s="5">
        <f t="shared" ref="Z263:Z264" si="140">IF(T263=0,0,X263/T263)</f>
        <v>0.63015576214080349</v>
      </c>
    </row>
    <row r="264" spans="1:26" s="24" customFormat="1" hidden="1" outlineLevel="2" x14ac:dyDescent="0.25">
      <c r="A264" s="28"/>
      <c r="B264" s="11" t="str">
        <f>CONCATENATE("          ", "6274", " - ", "UTILITIES")</f>
        <v xml:space="preserve">          6274 - UTILITIES</v>
      </c>
      <c r="C264" s="11"/>
      <c r="D264" s="7">
        <v>6161.01</v>
      </c>
      <c r="E264" s="2"/>
      <c r="F264" s="6">
        <f t="shared" si="133"/>
        <v>9.7362415207248119E-3</v>
      </c>
      <c r="G264" s="2"/>
      <c r="H264" s="7">
        <v>5648.02</v>
      </c>
      <c r="I264" s="2"/>
      <c r="J264" s="6">
        <f t="shared" si="134"/>
        <v>4.013131106063406E-3</v>
      </c>
      <c r="K264" s="2"/>
      <c r="L264" s="7">
        <f t="shared" si="135"/>
        <v>512.98999999999978</v>
      </c>
      <c r="M264" s="2"/>
      <c r="N264" s="6">
        <f t="shared" si="136"/>
        <v>9.0826519736119868E-2</v>
      </c>
      <c r="O264" s="11"/>
      <c r="P264" s="7">
        <v>18482.38</v>
      </c>
      <c r="Q264" s="2"/>
      <c r="R264" s="6">
        <f t="shared" si="137"/>
        <v>5.8540675887206869E-3</v>
      </c>
      <c r="S264" s="2"/>
      <c r="T264" s="7">
        <v>11337.8</v>
      </c>
      <c r="U264" s="2"/>
      <c r="V264" s="6">
        <f t="shared" si="138"/>
        <v>2.1254995150230558E-3</v>
      </c>
      <c r="W264" s="2"/>
      <c r="X264" s="7">
        <f t="shared" si="139"/>
        <v>7144.5800000000017</v>
      </c>
      <c r="Y264" s="2"/>
      <c r="Z264" s="6">
        <f t="shared" si="140"/>
        <v>0.63015576214080349</v>
      </c>
    </row>
    <row r="265" spans="1:26" s="60" customFormat="1" x14ac:dyDescent="0.25">
      <c r="A265" s="37"/>
      <c r="B265" s="37"/>
      <c r="C265" s="37"/>
      <c r="D265" s="1"/>
      <c r="E265" s="1"/>
      <c r="F265" s="5"/>
      <c r="G265" s="1"/>
      <c r="H265" s="1"/>
      <c r="I265" s="1"/>
      <c r="J265" s="5"/>
      <c r="K265" s="1"/>
      <c r="L265" s="1"/>
      <c r="M265" s="1"/>
      <c r="N265" s="5"/>
      <c r="O265" s="37"/>
      <c r="P265" s="1"/>
      <c r="Q265" s="1"/>
      <c r="R265" s="5"/>
      <c r="S265" s="1"/>
      <c r="T265" s="1"/>
      <c r="U265" s="1"/>
      <c r="V265" s="5"/>
      <c r="W265" s="1"/>
      <c r="X265" s="1"/>
      <c r="Y265" s="1"/>
      <c r="Z265" s="5"/>
    </row>
    <row r="266" spans="1:26" s="23" customFormat="1" collapsed="1" x14ac:dyDescent="0.25">
      <c r="A266" s="10"/>
      <c r="B266" s="26" t="s">
        <v>0</v>
      </c>
      <c r="C266" s="10"/>
      <c r="D266" s="4">
        <f>SUM(OSRRefD25x_0)</f>
        <v>166946.43</v>
      </c>
      <c r="E266" s="4"/>
      <c r="F266" s="12">
        <f t="shared" ref="F266:F276" si="141">IF(D$12=0,0,D266/D$12)</f>
        <v>0.2638253733564429</v>
      </c>
      <c r="G266" s="4"/>
      <c r="H266" s="4">
        <f>SUM(OSRRefH25x_0)</f>
        <v>128496.1</v>
      </c>
      <c r="I266" s="4"/>
      <c r="J266" s="12">
        <f t="shared" ref="J266:J276" si="142">IF(H$12=0,0,H266/H$12)</f>
        <v>9.1301322572836852E-2</v>
      </c>
      <c r="K266" s="4"/>
      <c r="L266" s="4">
        <f t="shared" ref="L266:L276" si="143">+D266-H266</f>
        <v>38450.329999999987</v>
      </c>
      <c r="M266" s="4"/>
      <c r="N266" s="12">
        <f t="shared" ref="N266:N276" si="144">IF(H266=0,0,L266/H266)</f>
        <v>0.29923343976976724</v>
      </c>
      <c r="O266" s="10"/>
      <c r="P266" s="4">
        <f>SUM(OSRRefP25x_0)</f>
        <v>421172.92000000004</v>
      </c>
      <c r="Q266" s="4"/>
      <c r="R266" s="12">
        <f t="shared" ref="R266:R276" si="145">IF(P$12=0,0,P266/P$12)</f>
        <v>0.13340136606967559</v>
      </c>
      <c r="S266" s="4"/>
      <c r="T266" s="4">
        <f>SUM(OSRRefT25x_0)</f>
        <v>246689.41</v>
      </c>
      <c r="U266" s="4"/>
      <c r="V266" s="12">
        <f t="shared" ref="V266:V276" si="146">IF(T$12=0,0,T266/T$12)</f>
        <v>4.6246910451438888E-2</v>
      </c>
      <c r="W266" s="4"/>
      <c r="X266" s="4">
        <f t="shared" ref="X266:X276" si="147">+P266-T266</f>
        <v>174483.51000000004</v>
      </c>
      <c r="Y266" s="4"/>
      <c r="Z266" s="12">
        <f t="shared" ref="Z266:Z276" si="148">IF(T266=0,0,X266/T266)</f>
        <v>0.70730036607570645</v>
      </c>
    </row>
    <row r="267" spans="1:26" s="24" customFormat="1" hidden="1" outlineLevel="1" x14ac:dyDescent="0.25">
      <c r="A267" s="44"/>
      <c r="B267" s="11" t="str">
        <f>CONCATENATE("          ", "4098", " - ", "TAXABLE SALES-GRAD RENTALS")</f>
        <v xml:space="preserve">          4098 - TAXABLE SALES-GRAD RENTALS</v>
      </c>
      <c r="C267" s="11"/>
      <c r="D267" s="2">
        <f>0</f>
        <v>0</v>
      </c>
      <c r="E267" s="2"/>
      <c r="F267" s="19">
        <f t="shared" si="141"/>
        <v>0</v>
      </c>
      <c r="G267" s="2"/>
      <c r="H267" s="2">
        <f>0</f>
        <v>0</v>
      </c>
      <c r="I267" s="2"/>
      <c r="J267" s="19">
        <f t="shared" si="142"/>
        <v>0</v>
      </c>
      <c r="K267" s="2"/>
      <c r="L267" s="2">
        <f t="shared" si="143"/>
        <v>0</v>
      </c>
      <c r="M267" s="2"/>
      <c r="N267" s="19">
        <f t="shared" si="144"/>
        <v>0</v>
      </c>
      <c r="O267" s="11"/>
      <c r="P267" s="2">
        <f>0</f>
        <v>0</v>
      </c>
      <c r="Q267" s="2"/>
      <c r="R267" s="19">
        <f t="shared" si="145"/>
        <v>0</v>
      </c>
      <c r="S267" s="2"/>
      <c r="T267" s="2">
        <f>--1626.85</f>
        <v>1626.85</v>
      </c>
      <c r="U267" s="2"/>
      <c r="V267" s="19">
        <f t="shared" si="146"/>
        <v>3.0498587786124807E-4</v>
      </c>
      <c r="W267" s="2"/>
      <c r="X267" s="2">
        <f t="shared" si="147"/>
        <v>-1626.85</v>
      </c>
      <c r="Y267" s="2"/>
      <c r="Z267" s="19">
        <f t="shared" si="148"/>
        <v>-1</v>
      </c>
    </row>
    <row r="268" spans="1:26" s="24" customFormat="1" hidden="1" outlineLevel="1" x14ac:dyDescent="0.25">
      <c r="A268" s="44"/>
      <c r="B268" s="11" t="str">
        <f>CONCATENATE("          ", "4187", " - ", "NON-TAXABLE SALES-COMPUTER REP")</f>
        <v xml:space="preserve">          4187 - NON-TAXABLE SALES-COMPUTER REP</v>
      </c>
      <c r="C268" s="11"/>
      <c r="D268" s="2">
        <f>--125.14</f>
        <v>125.14</v>
      </c>
      <c r="E268" s="2"/>
      <c r="F268" s="19">
        <f t="shared" si="141"/>
        <v>1.9775868954984699E-4</v>
      </c>
      <c r="G268" s="2"/>
      <c r="H268" s="2">
        <f>--4892.54</f>
        <v>4892.54</v>
      </c>
      <c r="I268" s="2"/>
      <c r="J268" s="19">
        <f t="shared" si="142"/>
        <v>3.4763340890541206E-3</v>
      </c>
      <c r="K268" s="2"/>
      <c r="L268" s="2">
        <f t="shared" si="143"/>
        <v>-4767.3999999999996</v>
      </c>
      <c r="M268" s="2"/>
      <c r="N268" s="19">
        <f t="shared" si="144"/>
        <v>-0.97442228372174777</v>
      </c>
      <c r="O268" s="11"/>
      <c r="P268" s="2">
        <f>--145.13</f>
        <v>145.13</v>
      </c>
      <c r="Q268" s="2"/>
      <c r="R268" s="19">
        <f t="shared" si="145"/>
        <v>4.5968150700885559E-5</v>
      </c>
      <c r="S268" s="2"/>
      <c r="T268" s="2">
        <f>--7374.8</f>
        <v>7374.8</v>
      </c>
      <c r="U268" s="2"/>
      <c r="V268" s="19">
        <f t="shared" si="146"/>
        <v>1.3825551538563068E-3</v>
      </c>
      <c r="W268" s="2"/>
      <c r="X268" s="2">
        <f t="shared" si="147"/>
        <v>-7229.67</v>
      </c>
      <c r="Y268" s="2"/>
      <c r="Z268" s="19">
        <f t="shared" si="148"/>
        <v>-0.98032082225958672</v>
      </c>
    </row>
    <row r="269" spans="1:26" s="24" customFormat="1" hidden="1" outlineLevel="1" x14ac:dyDescent="0.25">
      <c r="A269" s="44"/>
      <c r="B269" s="11" t="str">
        <f>CONCATENATE("          ", "4197", " - ", "NON-TAXABLE SALES-RETURNED CHE")</f>
        <v xml:space="preserve">          4197 - NON-TAXABLE SALES-RETURNED CHE</v>
      </c>
      <c r="C269" s="11"/>
      <c r="D269" s="2">
        <f t="shared" ref="D269:D271" si="149">0</f>
        <v>0</v>
      </c>
      <c r="E269" s="2"/>
      <c r="F269" s="19">
        <f t="shared" si="141"/>
        <v>0</v>
      </c>
      <c r="G269" s="2"/>
      <c r="H269" s="2">
        <f>0</f>
        <v>0</v>
      </c>
      <c r="I269" s="2"/>
      <c r="J269" s="19">
        <f t="shared" si="142"/>
        <v>0</v>
      </c>
      <c r="K269" s="2"/>
      <c r="L269" s="2">
        <f t="shared" si="143"/>
        <v>0</v>
      </c>
      <c r="M269" s="2"/>
      <c r="N269" s="19">
        <f t="shared" si="144"/>
        <v>0</v>
      </c>
      <c r="O269" s="11"/>
      <c r="P269" s="2">
        <f t="shared" ref="P269:P271" si="150">0</f>
        <v>0</v>
      </c>
      <c r="Q269" s="2"/>
      <c r="R269" s="19">
        <f t="shared" si="145"/>
        <v>0</v>
      </c>
      <c r="S269" s="2"/>
      <c r="T269" s="2">
        <f>--30</f>
        <v>30</v>
      </c>
      <c r="U269" s="2"/>
      <c r="V269" s="19">
        <f t="shared" si="146"/>
        <v>5.6241056863493517E-6</v>
      </c>
      <c r="W269" s="2"/>
      <c r="X269" s="2">
        <f t="shared" si="147"/>
        <v>-30</v>
      </c>
      <c r="Y269" s="2"/>
      <c r="Z269" s="19">
        <f t="shared" si="148"/>
        <v>-1</v>
      </c>
    </row>
    <row r="270" spans="1:26" s="24" customFormat="1" hidden="1" outlineLevel="1" x14ac:dyDescent="0.25">
      <c r="A270" s="44"/>
      <c r="B270" s="11" t="str">
        <f>CONCATENATE("          ", "4198", " - ", "NON-TAXABLE SALES-GRAD RENTALS")</f>
        <v xml:space="preserve">          4198 - NON-TAXABLE SALES-GRAD RENTALS</v>
      </c>
      <c r="C270" s="11"/>
      <c r="D270" s="2">
        <f t="shared" si="149"/>
        <v>0</v>
      </c>
      <c r="E270" s="2"/>
      <c r="F270" s="19">
        <f t="shared" si="141"/>
        <v>0</v>
      </c>
      <c r="G270" s="2"/>
      <c r="H270" s="2">
        <f>--30</f>
        <v>30</v>
      </c>
      <c r="I270" s="2"/>
      <c r="J270" s="19">
        <f t="shared" si="142"/>
        <v>2.131613081786222E-5</v>
      </c>
      <c r="K270" s="2"/>
      <c r="L270" s="2">
        <f t="shared" si="143"/>
        <v>-30</v>
      </c>
      <c r="M270" s="2"/>
      <c r="N270" s="19">
        <f t="shared" si="144"/>
        <v>-1</v>
      </c>
      <c r="O270" s="11"/>
      <c r="P270" s="2">
        <f t="shared" si="150"/>
        <v>0</v>
      </c>
      <c r="Q270" s="2"/>
      <c r="R270" s="19">
        <f t="shared" si="145"/>
        <v>0</v>
      </c>
      <c r="S270" s="2"/>
      <c r="T270" s="2">
        <f>--495</f>
        <v>495</v>
      </c>
      <c r="U270" s="2"/>
      <c r="V270" s="19">
        <f t="shared" si="146"/>
        <v>9.2797743824764314E-5</v>
      </c>
      <c r="W270" s="2"/>
      <c r="X270" s="2">
        <f t="shared" si="147"/>
        <v>-495</v>
      </c>
      <c r="Y270" s="2"/>
      <c r="Z270" s="19">
        <f t="shared" si="148"/>
        <v>-1</v>
      </c>
    </row>
    <row r="271" spans="1:26" s="24" customFormat="1" hidden="1" outlineLevel="1" x14ac:dyDescent="0.25">
      <c r="A271" s="44"/>
      <c r="B271" s="11" t="str">
        <f>CONCATENATE("          ", "4387", " - ", "SALES RETURN NON TAXABLE-COMPU")</f>
        <v xml:space="preserve">          4387 - SALES RETURN NON TAXABLE-COMPU</v>
      </c>
      <c r="C271" s="11"/>
      <c r="D271" s="2">
        <f t="shared" si="149"/>
        <v>0</v>
      </c>
      <c r="E271" s="2"/>
      <c r="F271" s="19">
        <f t="shared" si="141"/>
        <v>0</v>
      </c>
      <c r="G271" s="2"/>
      <c r="H271" s="2">
        <f>-2989.2</f>
        <v>-2989.2</v>
      </c>
      <c r="I271" s="2"/>
      <c r="J271" s="19">
        <f t="shared" si="142"/>
        <v>-2.1239392746917915E-3</v>
      </c>
      <c r="K271" s="2"/>
      <c r="L271" s="2">
        <f t="shared" si="143"/>
        <v>2989.2</v>
      </c>
      <c r="M271" s="2"/>
      <c r="N271" s="19">
        <f t="shared" si="144"/>
        <v>-1</v>
      </c>
      <c r="O271" s="11"/>
      <c r="P271" s="2">
        <f t="shared" si="150"/>
        <v>0</v>
      </c>
      <c r="Q271" s="2"/>
      <c r="R271" s="19">
        <f t="shared" si="145"/>
        <v>0</v>
      </c>
      <c r="S271" s="2"/>
      <c r="T271" s="2">
        <f>-6440.7</f>
        <v>-6440.7</v>
      </c>
      <c r="U271" s="2"/>
      <c r="V271" s="19">
        <f t="shared" si="146"/>
        <v>-1.2074392498023423E-3</v>
      </c>
      <c r="W271" s="2"/>
      <c r="X271" s="2">
        <f t="shared" si="147"/>
        <v>6440.7</v>
      </c>
      <c r="Y271" s="2"/>
      <c r="Z271" s="19">
        <f t="shared" si="148"/>
        <v>-1</v>
      </c>
    </row>
    <row r="272" spans="1:26" s="24" customFormat="1" hidden="1" outlineLevel="1" x14ac:dyDescent="0.25">
      <c r="A272" s="44"/>
      <c r="B272" s="11" t="str">
        <f>CONCATENATE("          ", "9150", " - ", "MISC. INCOME")</f>
        <v xml:space="preserve">          9150 - MISC. INCOME</v>
      </c>
      <c r="C272" s="11"/>
      <c r="D272" s="2">
        <f>--18993.35</f>
        <v>18993.349999999999</v>
      </c>
      <c r="E272" s="2"/>
      <c r="F272" s="19">
        <f t="shared" si="141"/>
        <v>3.0015183044283092E-2</v>
      </c>
      <c r="G272" s="2"/>
      <c r="H272" s="2">
        <f>--42471.15</f>
        <v>42471.15</v>
      </c>
      <c r="I272" s="2"/>
      <c r="J272" s="19">
        <f t="shared" si="142"/>
        <v>3.0177352979501634E-2</v>
      </c>
      <c r="K272" s="2"/>
      <c r="L272" s="2">
        <f t="shared" si="143"/>
        <v>-23477.800000000003</v>
      </c>
      <c r="M272" s="2"/>
      <c r="N272" s="19">
        <f t="shared" si="144"/>
        <v>-0.55279407315318752</v>
      </c>
      <c r="O272" s="11"/>
      <c r="P272" s="2">
        <f>--110989.56</f>
        <v>110989.56</v>
      </c>
      <c r="Q272" s="2"/>
      <c r="R272" s="19">
        <f t="shared" si="145"/>
        <v>3.5154584305829115E-2</v>
      </c>
      <c r="S272" s="2"/>
      <c r="T272" s="2">
        <f>--138598.93</f>
        <v>138598.93</v>
      </c>
      <c r="U272" s="2"/>
      <c r="V272" s="19">
        <f t="shared" si="146"/>
        <v>2.5983167677831192E-2</v>
      </c>
      <c r="W272" s="2"/>
      <c r="X272" s="2">
        <f t="shared" si="147"/>
        <v>-27609.369999999995</v>
      </c>
      <c r="Y272" s="2"/>
      <c r="Z272" s="19">
        <f t="shared" si="148"/>
        <v>-0.19920334161309902</v>
      </c>
    </row>
    <row r="273" spans="1:26" s="24" customFormat="1" hidden="1" outlineLevel="1" x14ac:dyDescent="0.25">
      <c r="A273" s="44"/>
      <c r="B273" s="11" t="str">
        <f>CONCATENATE("          ", "9151", " - ", "MISC. INCOME")</f>
        <v xml:space="preserve">          9151 - MISC. INCOME</v>
      </c>
      <c r="C273" s="11"/>
      <c r="D273" s="2">
        <f>--147285.39</f>
        <v>147285.39000000001</v>
      </c>
      <c r="E273" s="2"/>
      <c r="F273" s="19">
        <f t="shared" si="141"/>
        <v>0.23275504008500994</v>
      </c>
      <c r="G273" s="2"/>
      <c r="H273" s="2">
        <f>--83458.02</f>
        <v>83458.02</v>
      </c>
      <c r="I273" s="2"/>
      <c r="J273" s="19">
        <f t="shared" si="142"/>
        <v>5.9300069070658719E-2</v>
      </c>
      <c r="K273" s="2"/>
      <c r="L273" s="2">
        <f t="shared" si="143"/>
        <v>63827.37000000001</v>
      </c>
      <c r="M273" s="2"/>
      <c r="N273" s="19">
        <f t="shared" si="144"/>
        <v>0.76478413937929524</v>
      </c>
      <c r="O273" s="11"/>
      <c r="P273" s="2">
        <f>--147285.39</f>
        <v>147285.39000000001</v>
      </c>
      <c r="Q273" s="2"/>
      <c r="R273" s="19">
        <f t="shared" si="145"/>
        <v>4.6650844095353847E-2</v>
      </c>
      <c r="S273" s="2"/>
      <c r="T273" s="2">
        <f>--83193.51</f>
        <v>83193.509999999995</v>
      </c>
      <c r="U273" s="2"/>
      <c r="V273" s="19">
        <f t="shared" si="146"/>
        <v>1.5596303088612056E-2</v>
      </c>
      <c r="W273" s="2"/>
      <c r="X273" s="2">
        <f t="shared" si="147"/>
        <v>64091.880000000019</v>
      </c>
      <c r="Y273" s="2"/>
      <c r="Z273" s="19">
        <f t="shared" si="148"/>
        <v>0.7703951906825427</v>
      </c>
    </row>
    <row r="274" spans="1:26" s="24" customFormat="1" hidden="1" outlineLevel="1" x14ac:dyDescent="0.25">
      <c r="A274" s="44"/>
      <c r="B274" s="11" t="str">
        <f>CONCATENATE("          ", "9152", " - ", "MISC. INCOME")</f>
        <v xml:space="preserve">          9152 - MISC. INCOME</v>
      </c>
      <c r="C274" s="11"/>
      <c r="D274" s="2">
        <f>--542.55</f>
        <v>542.54999999999995</v>
      </c>
      <c r="E274" s="2"/>
      <c r="F274" s="19">
        <f t="shared" si="141"/>
        <v>8.5739153760004379E-4</v>
      </c>
      <c r="G274" s="2"/>
      <c r="H274" s="2">
        <f>--633.59</f>
        <v>633.59</v>
      </c>
      <c r="I274" s="2"/>
      <c r="J274" s="19">
        <f t="shared" si="142"/>
        <v>4.5018957749631079E-4</v>
      </c>
      <c r="K274" s="2"/>
      <c r="L274" s="2">
        <f t="shared" si="143"/>
        <v>-91.040000000000077</v>
      </c>
      <c r="M274" s="2"/>
      <c r="N274" s="19">
        <f t="shared" si="144"/>
        <v>-0.14368913650783641</v>
      </c>
      <c r="O274" s="11"/>
      <c r="P274" s="2">
        <f>--2088.94</f>
        <v>2088.94</v>
      </c>
      <c r="Q274" s="2"/>
      <c r="R274" s="19">
        <f t="shared" si="145"/>
        <v>6.6164617050305157E-4</v>
      </c>
      <c r="S274" s="2"/>
      <c r="T274" s="2">
        <f>--641.02</f>
        <v>641.02</v>
      </c>
      <c r="U274" s="2"/>
      <c r="V274" s="19">
        <f t="shared" si="146"/>
        <v>1.2017214090212206E-4</v>
      </c>
      <c r="W274" s="2"/>
      <c r="X274" s="2">
        <f t="shared" si="147"/>
        <v>1447.92</v>
      </c>
      <c r="Y274" s="2"/>
      <c r="Z274" s="19">
        <f t="shared" si="148"/>
        <v>2.2587750772206796</v>
      </c>
    </row>
    <row r="275" spans="1:26" s="24" customFormat="1" hidden="1" outlineLevel="1" x14ac:dyDescent="0.25">
      <c r="A275" s="44"/>
      <c r="B275" s="11" t="str">
        <f>CONCATENATE("          ", "9160", " - ", "MISC. INCOME")</f>
        <v xml:space="preserve">          9160 - MISC. INCOME</v>
      </c>
      <c r="C275" s="11"/>
      <c r="D275" s="2">
        <f t="shared" ref="D275:D276" si="151">0</f>
        <v>0</v>
      </c>
      <c r="E275" s="2"/>
      <c r="F275" s="19">
        <f t="shared" si="141"/>
        <v>0</v>
      </c>
      <c r="G275" s="2"/>
      <c r="H275" s="2">
        <f t="shared" ref="H275:H276" si="152">0</f>
        <v>0</v>
      </c>
      <c r="I275" s="2"/>
      <c r="J275" s="19">
        <f t="shared" si="142"/>
        <v>0</v>
      </c>
      <c r="K275" s="2"/>
      <c r="L275" s="2">
        <f t="shared" si="143"/>
        <v>0</v>
      </c>
      <c r="M275" s="2"/>
      <c r="N275" s="19">
        <f t="shared" si="144"/>
        <v>0</v>
      </c>
      <c r="O275" s="11"/>
      <c r="P275" s="2">
        <f>0</f>
        <v>0</v>
      </c>
      <c r="Q275" s="2"/>
      <c r="R275" s="19">
        <f t="shared" si="145"/>
        <v>0</v>
      </c>
      <c r="S275" s="2"/>
      <c r="T275" s="2">
        <f>--21170</f>
        <v>21170</v>
      </c>
      <c r="U275" s="2"/>
      <c r="V275" s="19">
        <f t="shared" si="146"/>
        <v>3.968743912667193E-3</v>
      </c>
      <c r="W275" s="2"/>
      <c r="X275" s="2">
        <f t="shared" si="147"/>
        <v>-21170</v>
      </c>
      <c r="Y275" s="2"/>
      <c r="Z275" s="19">
        <f t="shared" si="148"/>
        <v>-1</v>
      </c>
    </row>
    <row r="276" spans="1:26" s="24" customFormat="1" hidden="1" outlineLevel="1" x14ac:dyDescent="0.25">
      <c r="A276" s="44"/>
      <c r="B276" s="11" t="str">
        <f>CONCATENATE("          ", "9163", " - ", "MISC. INCOME")</f>
        <v xml:space="preserve">          9163 - MISC. INCOME</v>
      </c>
      <c r="C276" s="11"/>
      <c r="D276" s="2">
        <f t="shared" si="151"/>
        <v>0</v>
      </c>
      <c r="E276" s="2"/>
      <c r="F276" s="19">
        <f t="shared" si="141"/>
        <v>0</v>
      </c>
      <c r="G276" s="2"/>
      <c r="H276" s="2">
        <f t="shared" si="152"/>
        <v>0</v>
      </c>
      <c r="I276" s="2"/>
      <c r="J276" s="19">
        <f t="shared" si="142"/>
        <v>0</v>
      </c>
      <c r="K276" s="2"/>
      <c r="L276" s="2">
        <f t="shared" si="143"/>
        <v>0</v>
      </c>
      <c r="M276" s="2"/>
      <c r="N276" s="19">
        <f t="shared" si="144"/>
        <v>0</v>
      </c>
      <c r="O276" s="11"/>
      <c r="P276" s="2">
        <f>--160663.9</f>
        <v>160663.9</v>
      </c>
      <c r="Q276" s="2"/>
      <c r="R276" s="19">
        <f t="shared" si="145"/>
        <v>5.0888323347288683E-2</v>
      </c>
      <c r="S276" s="2"/>
      <c r="T276" s="2">
        <f>0</f>
        <v>0</v>
      </c>
      <c r="U276" s="2"/>
      <c r="V276" s="19">
        <f t="shared" si="146"/>
        <v>0</v>
      </c>
      <c r="W276" s="2"/>
      <c r="X276" s="2">
        <f t="shared" si="147"/>
        <v>160663.9</v>
      </c>
      <c r="Y276" s="2"/>
      <c r="Z276" s="19">
        <f t="shared" si="148"/>
        <v>0</v>
      </c>
    </row>
    <row r="277" spans="1:26" x14ac:dyDescent="0.25">
      <c r="A277" s="9"/>
      <c r="B277" s="10"/>
      <c r="C277" s="10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0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x14ac:dyDescent="0.25">
      <c r="A278" s="10"/>
      <c r="B278" s="25" t="s">
        <v>3</v>
      </c>
      <c r="C278" s="25"/>
      <c r="D278" s="22">
        <f>+D176-D178+D266</f>
        <v>34339.07000000024</v>
      </c>
      <c r="E278" s="13"/>
      <c r="F278" s="21">
        <f>IF(D$12=0,0,D278/D$12)</f>
        <v>5.4266017928404284E-2</v>
      </c>
      <c r="G278" s="13"/>
      <c r="H278" s="22">
        <f>+H176-H178+H266</f>
        <v>252930.99999999916</v>
      </c>
      <c r="I278" s="13"/>
      <c r="J278" s="21">
        <f>IF(H$12=0,0,H278/H$12)</f>
        <v>0.17971700946308969</v>
      </c>
      <c r="K278" s="15"/>
      <c r="L278" s="22">
        <f>+D278-H278</f>
        <v>-218591.92999999892</v>
      </c>
      <c r="M278" s="15"/>
      <c r="N278" s="21">
        <f>IF(H278=0,0,L278/H278)</f>
        <v>-0.86423542389030861</v>
      </c>
      <c r="O278" s="26"/>
      <c r="P278" s="22">
        <f>+P176-P178+P266</f>
        <v>358317.6099999994</v>
      </c>
      <c r="Q278" s="13"/>
      <c r="R278" s="21">
        <f>IF(P$12=0,0,P278/P$12)</f>
        <v>0.11349271615283615</v>
      </c>
      <c r="S278" s="13"/>
      <c r="T278" s="22">
        <f>+T176-T178+T266</f>
        <v>680321.20999999961</v>
      </c>
      <c r="U278" s="13"/>
      <c r="V278" s="21">
        <f>IF(T$12=0,0,T278/T$12)</f>
        <v>0.12753994619016898</v>
      </c>
      <c r="W278" s="15"/>
      <c r="X278" s="22">
        <f>+P278-T278</f>
        <v>-322003.60000000021</v>
      </c>
      <c r="Y278" s="15"/>
      <c r="Z278" s="21">
        <f>IF(T278=0,0,X278/T278)</f>
        <v>-0.47331112901801253</v>
      </c>
    </row>
    <row r="279" spans="1:26" x14ac:dyDescent="0.25">
      <c r="A279" s="9"/>
      <c r="B279" s="10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x14ac:dyDescent="0.25">
      <c r="A280" s="51"/>
      <c r="B280" s="10" t="s">
        <v>13</v>
      </c>
      <c r="C280" s="10"/>
      <c r="D280" s="4">
        <v>158673.97</v>
      </c>
      <c r="E280" s="4"/>
      <c r="F280" s="12">
        <f>IF(D$12=0,0,D280/D$12)</f>
        <v>0.2507524082856939</v>
      </c>
      <c r="G280" s="4"/>
      <c r="H280" s="4">
        <v>83361.84</v>
      </c>
      <c r="I280" s="4"/>
      <c r="J280" s="12">
        <f>IF(H$12=0,0,H280/H$12)</f>
        <v>5.9231729555256643E-2</v>
      </c>
      <c r="K280" s="4"/>
      <c r="L280" s="4">
        <f>+D280-H280</f>
        <v>75312.13</v>
      </c>
      <c r="M280" s="4"/>
      <c r="N280" s="12">
        <f>IF(H280=0,0,L280/H280)</f>
        <v>0.90343651243782541</v>
      </c>
      <c r="O280" s="10"/>
      <c r="P280" s="4">
        <v>584884.44999999995</v>
      </c>
      <c r="Q280" s="4"/>
      <c r="R280" s="12">
        <f>IF(P$12=0,0,P280/P$12)</f>
        <v>0.18525498890790712</v>
      </c>
      <c r="S280" s="4"/>
      <c r="T280" s="4">
        <v>572961.75</v>
      </c>
      <c r="U280" s="4"/>
      <c r="V280" s="12">
        <f>IF(T$12=0,0,T280/T$12)</f>
        <v>0.10741324787452253</v>
      </c>
      <c r="W280" s="4"/>
      <c r="X280" s="4">
        <f>+P280-T280</f>
        <v>11922.699999999953</v>
      </c>
      <c r="Y280" s="4"/>
      <c r="Z280" s="12">
        <f>IF(T280=0,0,X280/T280)</f>
        <v>2.0808893438348987E-2</v>
      </c>
    </row>
    <row r="281" spans="1:26" x14ac:dyDescent="0.25">
      <c r="A281" s="9"/>
      <c r="B281" s="10"/>
      <c r="C281" s="10"/>
      <c r="D281" s="3"/>
      <c r="E281" s="3"/>
      <c r="F281" s="8"/>
      <c r="G281" s="3"/>
      <c r="H281" s="3"/>
      <c r="I281" s="3"/>
      <c r="J281" s="8"/>
      <c r="K281" s="3"/>
      <c r="L281" s="3"/>
      <c r="M281" s="3"/>
      <c r="N281" s="8"/>
      <c r="O281" s="10"/>
      <c r="P281" s="3"/>
      <c r="Q281" s="3"/>
      <c r="R281" s="8"/>
      <c r="S281" s="3"/>
      <c r="T281" s="3"/>
      <c r="U281" s="3"/>
      <c r="V281" s="8"/>
      <c r="W281" s="3"/>
      <c r="X281" s="3"/>
      <c r="Y281" s="3"/>
      <c r="Z281" s="8"/>
    </row>
    <row r="282" spans="1:26" s="23" customFormat="1" ht="15.75" thickBot="1" x14ac:dyDescent="0.3">
      <c r="A282" s="10"/>
      <c r="B282" s="25" t="s">
        <v>4</v>
      </c>
      <c r="C282" s="25"/>
      <c r="D282" s="33">
        <f>+D278-D280</f>
        <v>-124334.89999999976</v>
      </c>
      <c r="E282" s="13"/>
      <c r="F282" s="32">
        <f>IF(D$12=0,0,D282/D$12)</f>
        <v>-0.19648639035728963</v>
      </c>
      <c r="G282" s="13"/>
      <c r="H282" s="33">
        <f>+H278-H280</f>
        <v>169569.15999999916</v>
      </c>
      <c r="I282" s="13"/>
      <c r="J282" s="32">
        <f>IF(H$12=0,0,H282/H$12)</f>
        <v>0.12048527990783305</v>
      </c>
      <c r="K282" s="15"/>
      <c r="L282" s="33">
        <f>D282-H282</f>
        <v>-293904.05999999889</v>
      </c>
      <c r="M282" s="15"/>
      <c r="N282" s="32">
        <f>IF(H282=0,0,L282/H282)</f>
        <v>-1.7332400537928025</v>
      </c>
      <c r="O282" s="26"/>
      <c r="P282" s="33">
        <f>+P278-P280</f>
        <v>-226566.84000000055</v>
      </c>
      <c r="Q282" s="13"/>
      <c r="R282" s="32">
        <f>IF(P$12=0,0,P282/P$12)</f>
        <v>-7.176227275507098E-2</v>
      </c>
      <c r="S282" s="13"/>
      <c r="T282" s="33">
        <f>+T278-T280</f>
        <v>107359.45999999961</v>
      </c>
      <c r="U282" s="13"/>
      <c r="V282" s="32">
        <f>IF(T$12=0,0,T282/T$12)</f>
        <v>2.0126698315646455E-2</v>
      </c>
      <c r="W282" s="15"/>
      <c r="X282" s="33">
        <f>P282-T282</f>
        <v>-333926.30000000016</v>
      </c>
      <c r="Y282" s="15"/>
      <c r="Z282" s="32">
        <f>IF(T282=0,0,X282/T282)</f>
        <v>-3.1103574850320723</v>
      </c>
    </row>
    <row r="283" spans="1:26" ht="15.75" thickTop="1" x14ac:dyDescent="0.25">
      <c r="A283" s="9"/>
      <c r="B283" s="9"/>
      <c r="C283" s="9"/>
      <c r="D283" s="3"/>
      <c r="E283" s="3"/>
      <c r="F283" s="8"/>
      <c r="G283" s="3"/>
      <c r="H283" s="3"/>
      <c r="I283" s="3"/>
      <c r="J283" s="8"/>
      <c r="K283" s="3"/>
      <c r="L283" s="3"/>
      <c r="M283" s="3"/>
      <c r="N283" s="8"/>
      <c r="P283" s="3"/>
      <c r="Q283" s="3"/>
      <c r="R283" s="8"/>
      <c r="S283" s="3"/>
      <c r="T283" s="3"/>
      <c r="U283" s="3"/>
      <c r="V283" s="8"/>
      <c r="W283" s="3"/>
      <c r="X283" s="3"/>
      <c r="Y283" s="3"/>
      <c r="Z283" s="8"/>
    </row>
    <row r="284" spans="1:26" x14ac:dyDescent="0.25">
      <c r="A284" s="9"/>
      <c r="B284" s="9"/>
      <c r="C284" s="9"/>
      <c r="D284" s="3"/>
      <c r="E284" s="3"/>
      <c r="F284" s="8"/>
      <c r="G284" s="3"/>
      <c r="H284" s="3"/>
      <c r="I284" s="3"/>
      <c r="J284" s="8"/>
      <c r="K284" s="3"/>
      <c r="L284" s="3"/>
      <c r="M284" s="3"/>
      <c r="N284" s="8"/>
      <c r="P284" s="3"/>
      <c r="Q284" s="3"/>
      <c r="R284" s="8"/>
      <c r="S284" s="3"/>
      <c r="T284" s="3"/>
      <c r="U284" s="3"/>
      <c r="V284" s="8"/>
      <c r="W284" s="3"/>
      <c r="X284" s="3"/>
      <c r="Y284" s="3"/>
      <c r="Z284" s="8"/>
    </row>
    <row r="285" spans="1:26" s="23" customFormat="1" ht="15.75" thickBot="1" x14ac:dyDescent="0.3">
      <c r="A285" s="10"/>
      <c r="B285" s="25" t="s">
        <v>5</v>
      </c>
      <c r="C285" s="25"/>
      <c r="D285" s="34">
        <f>SUM(D282:D284)</f>
        <v>-124334.89999999976</v>
      </c>
      <c r="E285" s="13"/>
      <c r="F285" s="31">
        <f>IF(D$12=0,0,D285/D$12)</f>
        <v>-0.19648639035728963</v>
      </c>
      <c r="G285" s="13"/>
      <c r="H285" s="34">
        <f>SUM(H282:H284)</f>
        <v>169569.15999999916</v>
      </c>
      <c r="I285" s="13"/>
      <c r="J285" s="31">
        <f>IF(H$12=0,0,H285/H$12)</f>
        <v>0.12048527990783305</v>
      </c>
      <c r="K285" s="15"/>
      <c r="L285" s="34">
        <f>+D285-H285</f>
        <v>-293904.05999999889</v>
      </c>
      <c r="M285" s="15"/>
      <c r="N285" s="31">
        <f>IF(H285=0,0,L285/H285)</f>
        <v>-1.7332400537928025</v>
      </c>
      <c r="O285" s="26"/>
      <c r="P285" s="34">
        <f>SUM(P282:P284)</f>
        <v>-226566.84000000055</v>
      </c>
      <c r="Q285" s="13"/>
      <c r="R285" s="31">
        <f>IF(P$12=0,0,P285/P$12)</f>
        <v>-7.176227275507098E-2</v>
      </c>
      <c r="S285" s="13"/>
      <c r="T285" s="34">
        <f>SUM(T282:T284)</f>
        <v>107359.45999999961</v>
      </c>
      <c r="U285" s="13"/>
      <c r="V285" s="31">
        <f>IF(T$12=0,0,T285/T$12)</f>
        <v>2.0126698315646455E-2</v>
      </c>
      <c r="W285" s="15"/>
      <c r="X285" s="34">
        <f>+P285-T285</f>
        <v>-333926.30000000016</v>
      </c>
      <c r="Y285" s="15"/>
      <c r="Z285" s="31">
        <f>IF(T285=0,0,X285/T285)</f>
        <v>-3.1103574850320723</v>
      </c>
    </row>
    <row r="286" spans="1:26" ht="15.75" thickTop="1" x14ac:dyDescent="0.25">
      <c r="A286" s="9"/>
      <c r="C286" s="9"/>
      <c r="D286" s="18"/>
      <c r="E286" s="18"/>
      <c r="G286" s="18"/>
      <c r="H286" s="18"/>
      <c r="I286" s="18"/>
      <c r="J286" s="42"/>
      <c r="K286" s="18"/>
      <c r="L286" s="18"/>
      <c r="M286" s="18"/>
      <c r="P286" s="18"/>
      <c r="Q286" s="18"/>
      <c r="R286" s="42"/>
      <c r="S286" s="18"/>
      <c r="T286" s="18"/>
      <c r="U286" s="18"/>
      <c r="V286" s="42"/>
      <c r="W286" s="18"/>
      <c r="X286" s="18"/>
    </row>
    <row r="287" spans="1:26" x14ac:dyDescent="0.25">
      <c r="A287" s="9"/>
      <c r="B287" s="54">
        <v>44123.564666238424</v>
      </c>
      <c r="D287" s="18"/>
      <c r="E287" s="18"/>
      <c r="G287" s="18"/>
      <c r="H287" s="18"/>
      <c r="I287" s="18"/>
      <c r="J287" s="42"/>
      <c r="K287" s="18"/>
      <c r="L287" s="18"/>
      <c r="M287" s="18"/>
      <c r="P287" s="18"/>
      <c r="Q287" s="18"/>
      <c r="R287" s="42"/>
      <c r="S287" s="18"/>
      <c r="T287" s="18"/>
      <c r="U287" s="18"/>
      <c r="V287" s="42"/>
      <c r="W287" s="18"/>
      <c r="X287" s="18"/>
    </row>
    <row r="288" spans="1:26" x14ac:dyDescent="0.25">
      <c r="A288" s="9"/>
      <c r="B288" s="59" t="s">
        <v>313</v>
      </c>
      <c r="D288" s="18"/>
      <c r="E288" s="18"/>
      <c r="G288" s="18"/>
      <c r="H288" s="18"/>
      <c r="I288" s="18"/>
      <c r="J288" s="42"/>
      <c r="K288" s="18"/>
      <c r="L288" s="18"/>
      <c r="M288" s="18"/>
      <c r="P288" s="18"/>
      <c r="Q288" s="18"/>
      <c r="R288" s="42"/>
      <c r="S288" s="18"/>
      <c r="T288" s="18"/>
      <c r="U288" s="18"/>
      <c r="V288" s="42"/>
      <c r="W288" s="18"/>
      <c r="X288" s="18"/>
    </row>
    <row r="289" spans="1:24" x14ac:dyDescent="0.25">
      <c r="A289" s="9"/>
      <c r="B289" s="58"/>
      <c r="D289" s="18"/>
      <c r="E289" s="18"/>
      <c r="G289" s="18"/>
      <c r="H289" s="18"/>
      <c r="I289" s="18"/>
      <c r="J289" s="42"/>
      <c r="K289" s="18"/>
      <c r="L289" s="18"/>
      <c r="M289" s="18"/>
      <c r="P289" s="18"/>
      <c r="Q289" s="18"/>
      <c r="R289" s="42"/>
      <c r="S289" s="18"/>
      <c r="T289" s="18"/>
      <c r="U289" s="18"/>
      <c r="V289" s="42"/>
      <c r="W289" s="18"/>
      <c r="X289" s="18"/>
    </row>
    <row r="290" spans="1:24" x14ac:dyDescent="0.25">
      <c r="D290" s="18"/>
      <c r="E290" s="18"/>
      <c r="G290" s="18"/>
      <c r="H290" s="18"/>
      <c r="I290" s="18"/>
      <c r="J290" s="42"/>
      <c r="K290" s="18"/>
      <c r="L290" s="18"/>
      <c r="M290" s="18"/>
      <c r="P290" s="18"/>
      <c r="Q290" s="18"/>
      <c r="R290" s="42"/>
      <c r="S290" s="18"/>
      <c r="T290" s="18"/>
      <c r="U290" s="18"/>
      <c r="V290" s="42"/>
      <c r="W290" s="18"/>
      <c r="X290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109225.68000000001</v>
      </c>
      <c r="E18" s="20"/>
      <c r="F18" s="36">
        <f t="shared" ref="F18:F28" si="0">IF(D$12=0,0,D18/D$12)</f>
        <v>0</v>
      </c>
      <c r="G18" s="20"/>
      <c r="H18" s="20">
        <f>SUM(OSRRefH22x_0)</f>
        <v>140051.46999999997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-30825.789999999964</v>
      </c>
      <c r="M18" s="4"/>
      <c r="N18" s="36">
        <f t="shared" ref="N18:N28" si="3">IF(H18=0,0,L18/H18)</f>
        <v>-0.22010329488151728</v>
      </c>
      <c r="O18" s="10"/>
      <c r="P18" s="20">
        <f>SUM(OSRRefP22x_0)</f>
        <v>416605.04000000004</v>
      </c>
      <c r="Q18" s="20"/>
      <c r="R18" s="36">
        <f t="shared" ref="R18:R28" si="4">IF(P$12=0,0,P18/P$12)</f>
        <v>0</v>
      </c>
      <c r="S18" s="20"/>
      <c r="T18" s="20">
        <f>SUM(OSRRefT22x_0)</f>
        <v>425579.06000000006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-8974.0200000000186</v>
      </c>
      <c r="Y18" s="4"/>
      <c r="Z18" s="36">
        <f t="shared" ref="Z18:Z28" si="7">IF(T18=0,0,X18/T18)</f>
        <v>-2.108661079330364E-2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7682.21</v>
      </c>
      <c r="E19" s="1"/>
      <c r="F19" s="5">
        <f t="shared" si="0"/>
        <v>0</v>
      </c>
      <c r="G19" s="1"/>
      <c r="H19" s="1">
        <f>SUM(OSRRefH22_0x_0)</f>
        <v>15066.62</v>
      </c>
      <c r="I19" s="1"/>
      <c r="J19" s="5">
        <f t="shared" si="1"/>
        <v>0</v>
      </c>
      <c r="K19" s="1"/>
      <c r="L19" s="1">
        <f t="shared" si="2"/>
        <v>-7384.4100000000008</v>
      </c>
      <c r="M19" s="1"/>
      <c r="N19" s="5">
        <f t="shared" si="3"/>
        <v>-0.4901172260268063</v>
      </c>
      <c r="O19" s="14"/>
      <c r="P19" s="1">
        <f>SUM(OSRRefP22_0x_0)</f>
        <v>25769.170000000006</v>
      </c>
      <c r="Q19" s="1"/>
      <c r="R19" s="5">
        <f t="shared" si="4"/>
        <v>0</v>
      </c>
      <c r="S19" s="1"/>
      <c r="T19" s="1">
        <f>SUM(OSRRefT22_0x_0)</f>
        <v>44429.96</v>
      </c>
      <c r="U19" s="1"/>
      <c r="V19" s="5">
        <f t="shared" si="5"/>
        <v>0</v>
      </c>
      <c r="W19" s="1"/>
      <c r="X19" s="1">
        <f t="shared" si="6"/>
        <v>-18660.789999999994</v>
      </c>
      <c r="Y19" s="1"/>
      <c r="Z19" s="5">
        <f t="shared" si="7"/>
        <v>-0.42000465451690694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2054.27</v>
      </c>
      <c r="E20" s="2"/>
      <c r="F20" s="6">
        <f t="shared" si="0"/>
        <v>0</v>
      </c>
      <c r="G20" s="2"/>
      <c r="H20" s="7">
        <v>2401.4699999999998</v>
      </c>
      <c r="I20" s="2"/>
      <c r="J20" s="6">
        <f t="shared" si="1"/>
        <v>0</v>
      </c>
      <c r="K20" s="2"/>
      <c r="L20" s="7">
        <f t="shared" si="2"/>
        <v>-347.19999999999982</v>
      </c>
      <c r="M20" s="2"/>
      <c r="N20" s="6">
        <f t="shared" si="3"/>
        <v>-0.14457811257271583</v>
      </c>
      <c r="O20" s="11"/>
      <c r="P20" s="7">
        <v>8316.1200000000008</v>
      </c>
      <c r="Q20" s="2"/>
      <c r="R20" s="6">
        <f t="shared" si="4"/>
        <v>0</v>
      </c>
      <c r="S20" s="2"/>
      <c r="T20" s="7">
        <v>9019.52</v>
      </c>
      <c r="U20" s="2"/>
      <c r="V20" s="6">
        <f t="shared" si="5"/>
        <v>0</v>
      </c>
      <c r="W20" s="2"/>
      <c r="X20" s="7">
        <f t="shared" si="6"/>
        <v>-703.39999999999964</v>
      </c>
      <c r="Y20" s="2"/>
      <c r="Z20" s="6">
        <f t="shared" si="7"/>
        <v>-7.798641169374862E-2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859.27</v>
      </c>
      <c r="E21" s="2"/>
      <c r="F21" s="6">
        <f t="shared" si="0"/>
        <v>0</v>
      </c>
      <c r="G21" s="2"/>
      <c r="H21" s="7">
        <v>1144.92</v>
      </c>
      <c r="I21" s="2"/>
      <c r="J21" s="6">
        <f t="shared" si="1"/>
        <v>0</v>
      </c>
      <c r="K21" s="2"/>
      <c r="L21" s="7">
        <f t="shared" si="2"/>
        <v>-285.65000000000009</v>
      </c>
      <c r="M21" s="2"/>
      <c r="N21" s="6">
        <f t="shared" si="3"/>
        <v>-0.24949341438703146</v>
      </c>
      <c r="O21" s="11"/>
      <c r="P21" s="7">
        <v>2437.86</v>
      </c>
      <c r="Q21" s="2"/>
      <c r="R21" s="6">
        <f t="shared" si="4"/>
        <v>0</v>
      </c>
      <c r="S21" s="2"/>
      <c r="T21" s="7">
        <v>2235.0100000000002</v>
      </c>
      <c r="U21" s="2"/>
      <c r="V21" s="6">
        <f t="shared" si="5"/>
        <v>0</v>
      </c>
      <c r="W21" s="2"/>
      <c r="X21" s="7">
        <f t="shared" si="6"/>
        <v>202.84999999999991</v>
      </c>
      <c r="Y21" s="2"/>
      <c r="Z21" s="6">
        <f t="shared" si="7"/>
        <v>9.0760220312213313E-2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1567.82</v>
      </c>
      <c r="E22" s="2"/>
      <c r="F22" s="6">
        <f t="shared" si="0"/>
        <v>0</v>
      </c>
      <c r="G22" s="2"/>
      <c r="H22" s="7">
        <v>6083.47</v>
      </c>
      <c r="I22" s="2"/>
      <c r="J22" s="6">
        <f t="shared" si="1"/>
        <v>0</v>
      </c>
      <c r="K22" s="2"/>
      <c r="L22" s="7">
        <f t="shared" si="2"/>
        <v>-4515.6500000000005</v>
      </c>
      <c r="M22" s="2"/>
      <c r="N22" s="6">
        <f t="shared" si="3"/>
        <v>-0.74228195421363141</v>
      </c>
      <c r="O22" s="11"/>
      <c r="P22" s="7">
        <v>4947.54</v>
      </c>
      <c r="Q22" s="2"/>
      <c r="R22" s="6">
        <f t="shared" si="4"/>
        <v>0</v>
      </c>
      <c r="S22" s="2"/>
      <c r="T22" s="7">
        <v>17029.41</v>
      </c>
      <c r="U22" s="2"/>
      <c r="V22" s="6">
        <f t="shared" si="5"/>
        <v>0</v>
      </c>
      <c r="W22" s="2"/>
      <c r="X22" s="7">
        <f t="shared" si="6"/>
        <v>-12081.869999999999</v>
      </c>
      <c r="Y22" s="2"/>
      <c r="Z22" s="6">
        <f t="shared" si="7"/>
        <v>-0.70947085072236793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128.83000000000001</v>
      </c>
      <c r="E23" s="2"/>
      <c r="F23" s="6">
        <f t="shared" si="0"/>
        <v>0</v>
      </c>
      <c r="G23" s="2"/>
      <c r="H23" s="7">
        <v>200.81</v>
      </c>
      <c r="I23" s="2"/>
      <c r="J23" s="6">
        <f t="shared" si="1"/>
        <v>0</v>
      </c>
      <c r="K23" s="2"/>
      <c r="L23" s="7">
        <f t="shared" si="2"/>
        <v>-71.97999999999999</v>
      </c>
      <c r="M23" s="2"/>
      <c r="N23" s="6">
        <f t="shared" si="3"/>
        <v>-0.3584482844479856</v>
      </c>
      <c r="O23" s="11"/>
      <c r="P23" s="7">
        <v>374.69</v>
      </c>
      <c r="Q23" s="2"/>
      <c r="R23" s="6">
        <f t="shared" si="4"/>
        <v>0</v>
      </c>
      <c r="S23" s="2"/>
      <c r="T23" s="7">
        <v>431.6</v>
      </c>
      <c r="U23" s="2"/>
      <c r="V23" s="6">
        <f t="shared" si="5"/>
        <v>0</v>
      </c>
      <c r="W23" s="2"/>
      <c r="X23" s="7">
        <f t="shared" si="6"/>
        <v>-56.910000000000025</v>
      </c>
      <c r="Y23" s="2"/>
      <c r="Z23" s="6">
        <f t="shared" si="7"/>
        <v>-0.13185820203892498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1171.6300000000001</v>
      </c>
      <c r="E24" s="2"/>
      <c r="F24" s="6">
        <f t="shared" si="0"/>
        <v>0</v>
      </c>
      <c r="G24" s="2"/>
      <c r="H24" s="7">
        <v>1844.36</v>
      </c>
      <c r="I24" s="2"/>
      <c r="J24" s="6">
        <f t="shared" si="1"/>
        <v>0</v>
      </c>
      <c r="K24" s="2"/>
      <c r="L24" s="7">
        <f t="shared" si="2"/>
        <v>-672.72999999999979</v>
      </c>
      <c r="M24" s="2"/>
      <c r="N24" s="6">
        <f t="shared" si="3"/>
        <v>-0.36474983192001553</v>
      </c>
      <c r="O24" s="11"/>
      <c r="P24" s="7">
        <v>3702.6</v>
      </c>
      <c r="Q24" s="2"/>
      <c r="R24" s="6">
        <f t="shared" si="4"/>
        <v>0</v>
      </c>
      <c r="S24" s="2"/>
      <c r="T24" s="7">
        <v>5304.64</v>
      </c>
      <c r="U24" s="2"/>
      <c r="V24" s="6">
        <f t="shared" si="5"/>
        <v>0</v>
      </c>
      <c r="W24" s="2"/>
      <c r="X24" s="7">
        <f t="shared" si="6"/>
        <v>-1602.0400000000004</v>
      </c>
      <c r="Y24" s="2"/>
      <c r="Z24" s="6">
        <f t="shared" si="7"/>
        <v>-0.30200729927007303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982.38</v>
      </c>
      <c r="E26" s="2"/>
      <c r="F26" s="6">
        <f t="shared" si="0"/>
        <v>0</v>
      </c>
      <c r="G26" s="2"/>
      <c r="H26" s="7">
        <v>1864.04</v>
      </c>
      <c r="I26" s="2"/>
      <c r="J26" s="6">
        <f t="shared" si="1"/>
        <v>0</v>
      </c>
      <c r="K26" s="2"/>
      <c r="L26" s="7">
        <f t="shared" si="2"/>
        <v>-881.66</v>
      </c>
      <c r="M26" s="2"/>
      <c r="N26" s="6">
        <f t="shared" si="3"/>
        <v>-0.47298341237312502</v>
      </c>
      <c r="O26" s="11"/>
      <c r="P26" s="7">
        <v>3126.74</v>
      </c>
      <c r="Q26" s="2"/>
      <c r="R26" s="6">
        <f t="shared" si="4"/>
        <v>0</v>
      </c>
      <c r="S26" s="2"/>
      <c r="T26" s="7">
        <v>5605.12</v>
      </c>
      <c r="U26" s="2"/>
      <c r="V26" s="6">
        <f t="shared" si="5"/>
        <v>0</v>
      </c>
      <c r="W26" s="2"/>
      <c r="X26" s="7">
        <f t="shared" si="6"/>
        <v>-2478.38</v>
      </c>
      <c r="Y26" s="2"/>
      <c r="Z26" s="6">
        <f t="shared" si="7"/>
        <v>-0.44216359328613841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616.29</v>
      </c>
      <c r="E27" s="2"/>
      <c r="F27" s="6">
        <f t="shared" si="0"/>
        <v>0</v>
      </c>
      <c r="G27" s="2"/>
      <c r="H27" s="7">
        <v>1128.19</v>
      </c>
      <c r="I27" s="2"/>
      <c r="J27" s="6">
        <f t="shared" si="1"/>
        <v>0</v>
      </c>
      <c r="K27" s="2"/>
      <c r="L27" s="7">
        <f t="shared" si="2"/>
        <v>-511.90000000000009</v>
      </c>
      <c r="M27" s="2"/>
      <c r="N27" s="6">
        <f t="shared" si="3"/>
        <v>-0.45373562963685199</v>
      </c>
      <c r="O27" s="11"/>
      <c r="P27" s="7">
        <v>1990.91</v>
      </c>
      <c r="Q27" s="2"/>
      <c r="R27" s="6">
        <f t="shared" si="4"/>
        <v>0</v>
      </c>
      <c r="S27" s="2"/>
      <c r="T27" s="7">
        <v>3574.09</v>
      </c>
      <c r="U27" s="2"/>
      <c r="V27" s="6">
        <f t="shared" si="5"/>
        <v>0</v>
      </c>
      <c r="W27" s="2"/>
      <c r="X27" s="7">
        <f t="shared" si="6"/>
        <v>-1583.18</v>
      </c>
      <c r="Y27" s="2"/>
      <c r="Z27" s="6">
        <f t="shared" si="7"/>
        <v>-0.4429603059799837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301.72000000000003</v>
      </c>
      <c r="E28" s="2"/>
      <c r="F28" s="6">
        <f t="shared" si="0"/>
        <v>0</v>
      </c>
      <c r="G28" s="2"/>
      <c r="H28" s="7">
        <v>399.36</v>
      </c>
      <c r="I28" s="2"/>
      <c r="J28" s="6">
        <f t="shared" si="1"/>
        <v>0</v>
      </c>
      <c r="K28" s="2"/>
      <c r="L28" s="7">
        <f t="shared" si="2"/>
        <v>-97.639999999999986</v>
      </c>
      <c r="M28" s="2"/>
      <c r="N28" s="6">
        <f t="shared" si="3"/>
        <v>-0.24449118589743585</v>
      </c>
      <c r="O28" s="11"/>
      <c r="P28" s="7">
        <v>470.81</v>
      </c>
      <c r="Q28" s="2"/>
      <c r="R28" s="6">
        <f t="shared" si="4"/>
        <v>0</v>
      </c>
      <c r="S28" s="2"/>
      <c r="T28" s="7">
        <v>1230.57</v>
      </c>
      <c r="U28" s="2"/>
      <c r="V28" s="6">
        <f t="shared" si="5"/>
        <v>0</v>
      </c>
      <c r="W28" s="2"/>
      <c r="X28" s="7">
        <f t="shared" si="6"/>
        <v>-759.76</v>
      </c>
      <c r="Y28" s="2"/>
      <c r="Z28" s="6">
        <f t="shared" si="7"/>
        <v>-0.61740494242505506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38537.11</v>
      </c>
      <c r="E29" s="1"/>
      <c r="F29" s="5">
        <f t="shared" ref="F29:F36" si="8">IF(D$12=0,0,D29/D$12)</f>
        <v>0</v>
      </c>
      <c r="G29" s="1"/>
      <c r="H29" s="1">
        <f>SUM(OSRRefH22_1x_0)</f>
        <v>50504.520000000004</v>
      </c>
      <c r="I29" s="1"/>
      <c r="J29" s="5">
        <f t="shared" ref="J29:J36" si="9">IF(H$12=0,0,H29/H$12)</f>
        <v>0</v>
      </c>
      <c r="K29" s="1"/>
      <c r="L29" s="1">
        <f t="shared" ref="L29:L36" si="10">+D29-H29</f>
        <v>-11967.410000000003</v>
      </c>
      <c r="M29" s="1"/>
      <c r="N29" s="5">
        <f t="shared" ref="N29:N36" si="11">IF(H29=0,0,L29/H29)</f>
        <v>-0.23695720699850237</v>
      </c>
      <c r="O29" s="14"/>
      <c r="P29" s="1">
        <f>SUM(OSRRefP22_1x_0)</f>
        <v>147612.13</v>
      </c>
      <c r="Q29" s="1"/>
      <c r="R29" s="5">
        <f t="shared" ref="R29:R36" si="12">IF(P$12=0,0,P29/P$12)</f>
        <v>0</v>
      </c>
      <c r="S29" s="1"/>
      <c r="T29" s="1">
        <f>SUM(OSRRefT22_1x_0)</f>
        <v>165990.03999999998</v>
      </c>
      <c r="U29" s="1"/>
      <c r="V29" s="5">
        <f t="shared" ref="V29:V36" si="13">IF(T$12=0,0,T29/T$12)</f>
        <v>0</v>
      </c>
      <c r="W29" s="1"/>
      <c r="X29" s="1">
        <f t="shared" ref="X29:X36" si="14">+P29-T29</f>
        <v>-18377.909999999974</v>
      </c>
      <c r="Y29" s="1"/>
      <c r="Z29" s="5">
        <f t="shared" ref="Z29:Z36" si="15">IF(T29=0,0,X29/T29)</f>
        <v>-0.11071694422147242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4205.74</v>
      </c>
      <c r="E30" s="2"/>
      <c r="F30" s="6">
        <f t="shared" si="8"/>
        <v>0</v>
      </c>
      <c r="G30" s="2"/>
      <c r="H30" s="7">
        <v>10717.14</v>
      </c>
      <c r="I30" s="2"/>
      <c r="J30" s="6">
        <f t="shared" si="9"/>
        <v>0</v>
      </c>
      <c r="K30" s="2"/>
      <c r="L30" s="7">
        <f t="shared" si="10"/>
        <v>-6511.4</v>
      </c>
      <c r="M30" s="2"/>
      <c r="N30" s="6">
        <f t="shared" si="11"/>
        <v>-0.60756881033559329</v>
      </c>
      <c r="O30" s="11"/>
      <c r="P30" s="7">
        <v>13248.65</v>
      </c>
      <c r="Q30" s="2"/>
      <c r="R30" s="6">
        <f t="shared" si="12"/>
        <v>0</v>
      </c>
      <c r="S30" s="2"/>
      <c r="T30" s="7">
        <v>33758.700000000004</v>
      </c>
      <c r="U30" s="2"/>
      <c r="V30" s="6">
        <f t="shared" si="13"/>
        <v>0</v>
      </c>
      <c r="W30" s="2"/>
      <c r="X30" s="7">
        <f t="shared" si="14"/>
        <v>-20510.050000000003</v>
      </c>
      <c r="Y30" s="2"/>
      <c r="Z30" s="6">
        <f t="shared" si="15"/>
        <v>-0.60754857266423179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>
        <v>8712.9599999999991</v>
      </c>
      <c r="E31" s="2"/>
      <c r="F31" s="6">
        <f t="shared" si="8"/>
        <v>0</v>
      </c>
      <c r="G31" s="2"/>
      <c r="H31" s="7">
        <v>10127.67</v>
      </c>
      <c r="I31" s="2"/>
      <c r="J31" s="6">
        <f t="shared" si="9"/>
        <v>0</v>
      </c>
      <c r="K31" s="2"/>
      <c r="L31" s="7">
        <f t="shared" si="10"/>
        <v>-1414.7100000000009</v>
      </c>
      <c r="M31" s="2"/>
      <c r="N31" s="6">
        <f t="shared" si="11"/>
        <v>-0.13968760830477306</v>
      </c>
      <c r="O31" s="11"/>
      <c r="P31" s="7">
        <v>26789.18</v>
      </c>
      <c r="Q31" s="2"/>
      <c r="R31" s="6">
        <f t="shared" si="12"/>
        <v>0</v>
      </c>
      <c r="S31" s="2"/>
      <c r="T31" s="7">
        <v>26866.99</v>
      </c>
      <c r="U31" s="2"/>
      <c r="V31" s="6">
        <f t="shared" si="13"/>
        <v>0</v>
      </c>
      <c r="W31" s="2"/>
      <c r="X31" s="7">
        <f t="shared" si="14"/>
        <v>-77.81000000000131</v>
      </c>
      <c r="Y31" s="2"/>
      <c r="Z31" s="6">
        <f t="shared" si="15"/>
        <v>-2.8961189921163965E-3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-1647.01</v>
      </c>
      <c r="I32" s="2"/>
      <c r="J32" s="6">
        <f t="shared" si="9"/>
        <v>0</v>
      </c>
      <c r="K32" s="2"/>
      <c r="L32" s="7">
        <f t="shared" si="10"/>
        <v>1647.01</v>
      </c>
      <c r="M32" s="2"/>
      <c r="N32" s="6">
        <f t="shared" si="11"/>
        <v>-1</v>
      </c>
      <c r="O32" s="11"/>
      <c r="P32" s="7">
        <v>3465.6</v>
      </c>
      <c r="Q32" s="2"/>
      <c r="R32" s="6">
        <f t="shared" si="12"/>
        <v>0</v>
      </c>
      <c r="S32" s="2"/>
      <c r="T32" s="7">
        <v>-1647.01</v>
      </c>
      <c r="U32" s="2"/>
      <c r="V32" s="6">
        <f t="shared" si="13"/>
        <v>0</v>
      </c>
      <c r="W32" s="2"/>
      <c r="X32" s="7">
        <f t="shared" si="14"/>
        <v>5112.6099999999997</v>
      </c>
      <c r="Y32" s="2"/>
      <c r="Z32" s="6">
        <f t="shared" si="15"/>
        <v>-3.1041766595224072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11632.72</v>
      </c>
      <c r="E33" s="2"/>
      <c r="F33" s="6">
        <f t="shared" si="8"/>
        <v>0</v>
      </c>
      <c r="G33" s="2"/>
      <c r="H33" s="7">
        <v>7680.09</v>
      </c>
      <c r="I33" s="2"/>
      <c r="J33" s="6">
        <f t="shared" si="9"/>
        <v>0</v>
      </c>
      <c r="K33" s="2"/>
      <c r="L33" s="7">
        <f t="shared" si="10"/>
        <v>3952.6299999999992</v>
      </c>
      <c r="M33" s="2"/>
      <c r="N33" s="6">
        <f t="shared" si="11"/>
        <v>0.51465933341926973</v>
      </c>
      <c r="O33" s="11"/>
      <c r="P33" s="7">
        <v>31614.52</v>
      </c>
      <c r="Q33" s="2"/>
      <c r="R33" s="6">
        <f t="shared" si="12"/>
        <v>0</v>
      </c>
      <c r="S33" s="2"/>
      <c r="T33" s="7">
        <v>24167.57</v>
      </c>
      <c r="U33" s="2"/>
      <c r="V33" s="6">
        <f t="shared" si="13"/>
        <v>0</v>
      </c>
      <c r="W33" s="2"/>
      <c r="X33" s="7">
        <f t="shared" si="14"/>
        <v>7446.9500000000007</v>
      </c>
      <c r="Y33" s="2"/>
      <c r="Z33" s="6">
        <f t="shared" si="15"/>
        <v>0.30813813718135502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7">
        <v>1728.86</v>
      </c>
      <c r="E34" s="2"/>
      <c r="F34" s="6">
        <f t="shared" si="8"/>
        <v>0</v>
      </c>
      <c r="G34" s="2"/>
      <c r="H34" s="7">
        <v>3108.88</v>
      </c>
      <c r="I34" s="2"/>
      <c r="J34" s="6">
        <f t="shared" si="9"/>
        <v>0</v>
      </c>
      <c r="K34" s="2"/>
      <c r="L34" s="7">
        <f t="shared" si="10"/>
        <v>-1380.0200000000002</v>
      </c>
      <c r="M34" s="2"/>
      <c r="N34" s="6">
        <f t="shared" si="11"/>
        <v>-0.44389619412778886</v>
      </c>
      <c r="O34" s="11"/>
      <c r="P34" s="7">
        <v>5202.12</v>
      </c>
      <c r="Q34" s="2"/>
      <c r="R34" s="6">
        <f t="shared" si="12"/>
        <v>0</v>
      </c>
      <c r="S34" s="2"/>
      <c r="T34" s="7">
        <v>6836.01</v>
      </c>
      <c r="U34" s="2"/>
      <c r="V34" s="6">
        <f t="shared" si="13"/>
        <v>0</v>
      </c>
      <c r="W34" s="2"/>
      <c r="X34" s="7">
        <f t="shared" si="14"/>
        <v>-1633.8900000000003</v>
      </c>
      <c r="Y34" s="2"/>
      <c r="Z34" s="6">
        <f t="shared" si="15"/>
        <v>-0.23901223081885489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>
        <v>12256.83</v>
      </c>
      <c r="E35" s="2"/>
      <c r="F35" s="6">
        <f t="shared" si="8"/>
        <v>0</v>
      </c>
      <c r="G35" s="2"/>
      <c r="H35" s="7">
        <v>20268.75</v>
      </c>
      <c r="I35" s="2"/>
      <c r="J35" s="6">
        <f t="shared" si="9"/>
        <v>0</v>
      </c>
      <c r="K35" s="2"/>
      <c r="L35" s="7">
        <f t="shared" si="10"/>
        <v>-8011.92</v>
      </c>
      <c r="M35" s="2"/>
      <c r="N35" s="6">
        <f t="shared" si="11"/>
        <v>-0.39528436632747455</v>
      </c>
      <c r="O35" s="11"/>
      <c r="P35" s="7">
        <v>67292.06</v>
      </c>
      <c r="Q35" s="2"/>
      <c r="R35" s="6">
        <f t="shared" si="12"/>
        <v>0</v>
      </c>
      <c r="S35" s="2"/>
      <c r="T35" s="7">
        <v>75455.78</v>
      </c>
      <c r="U35" s="2"/>
      <c r="V35" s="6">
        <f t="shared" si="13"/>
        <v>0</v>
      </c>
      <c r="W35" s="2"/>
      <c r="X35" s="7">
        <f t="shared" si="14"/>
        <v>-8163.7200000000012</v>
      </c>
      <c r="Y35" s="2"/>
      <c r="Z35" s="6">
        <f t="shared" si="15"/>
        <v>-0.1081921093387412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249</v>
      </c>
      <c r="I36" s="2"/>
      <c r="J36" s="6">
        <f t="shared" si="9"/>
        <v>0</v>
      </c>
      <c r="K36" s="2"/>
      <c r="L36" s="7">
        <f t="shared" si="10"/>
        <v>-249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552</v>
      </c>
      <c r="U36" s="2"/>
      <c r="V36" s="6">
        <f t="shared" si="13"/>
        <v>0</v>
      </c>
      <c r="W36" s="2"/>
      <c r="X36" s="7">
        <f t="shared" si="14"/>
        <v>-552</v>
      </c>
      <c r="Y36" s="2"/>
      <c r="Z36" s="6">
        <f t="shared" si="15"/>
        <v>-1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16">IF(D$12=0,0,D37/D$12)</f>
        <v>0</v>
      </c>
      <c r="G37" s="1"/>
      <c r="H37" s="1">
        <f>SUM(OSRRefH22_2x_0)</f>
        <v>20.260000000000002</v>
      </c>
      <c r="I37" s="1"/>
      <c r="J37" s="5">
        <f t="shared" ref="J37:J45" si="17">IF(H$12=0,0,H37/H$12)</f>
        <v>0</v>
      </c>
      <c r="K37" s="1"/>
      <c r="L37" s="1">
        <f t="shared" ref="L37:L45" si="18">+D37-H37</f>
        <v>-20.260000000000002</v>
      </c>
      <c r="M37" s="1"/>
      <c r="N37" s="5">
        <f t="shared" ref="N37:N45" si="19">IF(H37=0,0,L37/H37)</f>
        <v>-1</v>
      </c>
      <c r="O37" s="14"/>
      <c r="P37" s="1">
        <f>SUM(OSRRefP22_2x_0)</f>
        <v>0</v>
      </c>
      <c r="Q37" s="1"/>
      <c r="R37" s="5">
        <f t="shared" ref="R37:R45" si="20">IF(P$12=0,0,P37/P$12)</f>
        <v>0</v>
      </c>
      <c r="S37" s="1"/>
      <c r="T37" s="1">
        <f>SUM(OSRRefT22_2x_0)</f>
        <v>796.05</v>
      </c>
      <c r="U37" s="1"/>
      <c r="V37" s="5">
        <f t="shared" ref="V37:V45" si="21">IF(T$12=0,0,T37/T$12)</f>
        <v>0</v>
      </c>
      <c r="W37" s="1"/>
      <c r="X37" s="1">
        <f t="shared" ref="X37:X45" si="22">+P37-T37</f>
        <v>-796.05</v>
      </c>
      <c r="Y37" s="1"/>
      <c r="Z37" s="5">
        <f t="shared" ref="Z37:Z45" si="23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16"/>
        <v>0</v>
      </c>
      <c r="G38" s="2"/>
      <c r="H38" s="7">
        <v>20.260000000000002</v>
      </c>
      <c r="I38" s="2"/>
      <c r="J38" s="6">
        <f t="shared" si="17"/>
        <v>0</v>
      </c>
      <c r="K38" s="2"/>
      <c r="L38" s="7">
        <f t="shared" si="18"/>
        <v>-20.260000000000002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796.05</v>
      </c>
      <c r="U38" s="2"/>
      <c r="V38" s="6">
        <f t="shared" si="21"/>
        <v>0</v>
      </c>
      <c r="W38" s="2"/>
      <c r="X38" s="7">
        <f t="shared" si="22"/>
        <v>-796.05</v>
      </c>
      <c r="Y38" s="2"/>
      <c r="Z38" s="6">
        <f t="shared" si="23"/>
        <v>-1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10.38</v>
      </c>
      <c r="E39" s="1"/>
      <c r="F39" s="5">
        <f t="shared" si="16"/>
        <v>0</v>
      </c>
      <c r="G39" s="1"/>
      <c r="H39" s="1">
        <f>SUM(OSRRefH22_3x_0)</f>
        <v>-52.41</v>
      </c>
      <c r="I39" s="1"/>
      <c r="J39" s="5">
        <f t="shared" si="17"/>
        <v>0</v>
      </c>
      <c r="K39" s="1"/>
      <c r="L39" s="1">
        <f t="shared" si="18"/>
        <v>62.79</v>
      </c>
      <c r="M39" s="1"/>
      <c r="N39" s="5">
        <f t="shared" si="19"/>
        <v>-1.1980538065254722</v>
      </c>
      <c r="O39" s="14"/>
      <c r="P39" s="1">
        <f>SUM(OSRRefP22_3x_0)</f>
        <v>78.209999999999994</v>
      </c>
      <c r="Q39" s="1"/>
      <c r="R39" s="5">
        <f t="shared" si="20"/>
        <v>0</v>
      </c>
      <c r="S39" s="1"/>
      <c r="T39" s="1">
        <f>SUM(OSRRefT22_3x_0)</f>
        <v>-155.58000000000001</v>
      </c>
      <c r="U39" s="1"/>
      <c r="V39" s="5">
        <f t="shared" si="21"/>
        <v>0</v>
      </c>
      <c r="W39" s="1"/>
      <c r="X39" s="1">
        <f t="shared" si="22"/>
        <v>233.79000000000002</v>
      </c>
      <c r="Y39" s="1"/>
      <c r="Z39" s="5">
        <f t="shared" si="23"/>
        <v>-1.5026995757809487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>
        <v>10.38</v>
      </c>
      <c r="E40" s="2"/>
      <c r="F40" s="6">
        <f t="shared" si="16"/>
        <v>0</v>
      </c>
      <c r="G40" s="2"/>
      <c r="H40" s="7">
        <v>-52.41</v>
      </c>
      <c r="I40" s="2"/>
      <c r="J40" s="6">
        <f t="shared" si="17"/>
        <v>0</v>
      </c>
      <c r="K40" s="2"/>
      <c r="L40" s="7">
        <f t="shared" si="18"/>
        <v>62.79</v>
      </c>
      <c r="M40" s="2"/>
      <c r="N40" s="6">
        <f t="shared" si="19"/>
        <v>-1.1980538065254722</v>
      </c>
      <c r="O40" s="11"/>
      <c r="P40" s="7">
        <v>78.209999999999994</v>
      </c>
      <c r="Q40" s="2"/>
      <c r="R40" s="6">
        <f t="shared" si="20"/>
        <v>0</v>
      </c>
      <c r="S40" s="2"/>
      <c r="T40" s="7">
        <v>-155.58000000000001</v>
      </c>
      <c r="U40" s="2"/>
      <c r="V40" s="6">
        <f t="shared" si="21"/>
        <v>0</v>
      </c>
      <c r="W40" s="2"/>
      <c r="X40" s="7">
        <f t="shared" si="22"/>
        <v>233.79000000000002</v>
      </c>
      <c r="Y40" s="2"/>
      <c r="Z40" s="6">
        <f t="shared" si="23"/>
        <v>-1.5026995757809487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8743.77</v>
      </c>
      <c r="E41" s="1"/>
      <c r="F41" s="5">
        <f t="shared" si="16"/>
        <v>0</v>
      </c>
      <c r="G41" s="1"/>
      <c r="H41" s="1">
        <f>SUM(OSRRefH22_4x_0)</f>
        <v>20260.43</v>
      </c>
      <c r="I41" s="1"/>
      <c r="J41" s="5">
        <f t="shared" si="17"/>
        <v>0</v>
      </c>
      <c r="K41" s="1"/>
      <c r="L41" s="1">
        <f t="shared" si="18"/>
        <v>-11516.66</v>
      </c>
      <c r="M41" s="1"/>
      <c r="N41" s="5">
        <f t="shared" si="19"/>
        <v>-0.56843117347460048</v>
      </c>
      <c r="O41" s="14"/>
      <c r="P41" s="1">
        <f>SUM(OSRRefP22_4x_0)</f>
        <v>33181.599999999999</v>
      </c>
      <c r="Q41" s="1"/>
      <c r="R41" s="5">
        <f t="shared" si="20"/>
        <v>0</v>
      </c>
      <c r="S41" s="1"/>
      <c r="T41" s="1">
        <f>SUM(OSRRefT22_4x_0)</f>
        <v>58234.28</v>
      </c>
      <c r="U41" s="1"/>
      <c r="V41" s="5">
        <f t="shared" si="21"/>
        <v>0</v>
      </c>
      <c r="W41" s="1"/>
      <c r="X41" s="1">
        <f t="shared" si="22"/>
        <v>-25052.68</v>
      </c>
      <c r="Y41" s="1"/>
      <c r="Z41" s="5">
        <f t="shared" si="23"/>
        <v>-0.43020502700471269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>
        <v>8743.77</v>
      </c>
      <c r="E42" s="2"/>
      <c r="F42" s="6">
        <f t="shared" si="16"/>
        <v>0</v>
      </c>
      <c r="G42" s="2"/>
      <c r="H42" s="7">
        <v>20260.43</v>
      </c>
      <c r="I42" s="2"/>
      <c r="J42" s="6">
        <f t="shared" si="17"/>
        <v>0</v>
      </c>
      <c r="K42" s="2"/>
      <c r="L42" s="7">
        <f t="shared" si="18"/>
        <v>-11516.66</v>
      </c>
      <c r="M42" s="2"/>
      <c r="N42" s="6">
        <f t="shared" si="19"/>
        <v>-0.56843117347460048</v>
      </c>
      <c r="O42" s="11"/>
      <c r="P42" s="7">
        <v>33181.599999999999</v>
      </c>
      <c r="Q42" s="2"/>
      <c r="R42" s="6">
        <f t="shared" si="20"/>
        <v>0</v>
      </c>
      <c r="S42" s="2"/>
      <c r="T42" s="7">
        <v>58234.28</v>
      </c>
      <c r="U42" s="2"/>
      <c r="V42" s="6">
        <f t="shared" si="21"/>
        <v>0</v>
      </c>
      <c r="W42" s="2"/>
      <c r="X42" s="7">
        <f t="shared" si="22"/>
        <v>-25052.68</v>
      </c>
      <c r="Y42" s="2"/>
      <c r="Z42" s="6">
        <f t="shared" si="23"/>
        <v>-0.43020502700471269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30896.959999999999</v>
      </c>
      <c r="E43" s="1"/>
      <c r="F43" s="5">
        <f t="shared" si="16"/>
        <v>0</v>
      </c>
      <c r="G43" s="1"/>
      <c r="H43" s="1">
        <f>SUM(OSRRefH22_5x_0)</f>
        <v>29607.43</v>
      </c>
      <c r="I43" s="1"/>
      <c r="J43" s="5">
        <f t="shared" si="17"/>
        <v>0</v>
      </c>
      <c r="K43" s="1"/>
      <c r="L43" s="1">
        <f t="shared" si="18"/>
        <v>1289.5299999999988</v>
      </c>
      <c r="M43" s="1"/>
      <c r="N43" s="5">
        <f t="shared" si="19"/>
        <v>4.3554269992363365E-2</v>
      </c>
      <c r="O43" s="14"/>
      <c r="P43" s="1">
        <f>SUM(OSRRefP22_5x_0)</f>
        <v>91993.39</v>
      </c>
      <c r="Q43" s="1"/>
      <c r="R43" s="5">
        <f t="shared" si="20"/>
        <v>0</v>
      </c>
      <c r="S43" s="1"/>
      <c r="T43" s="1">
        <f>SUM(OSRRefT22_5x_0)</f>
        <v>88822.29</v>
      </c>
      <c r="U43" s="1"/>
      <c r="V43" s="5">
        <f t="shared" si="21"/>
        <v>0</v>
      </c>
      <c r="W43" s="1"/>
      <c r="X43" s="1">
        <f t="shared" si="22"/>
        <v>3171.1000000000058</v>
      </c>
      <c r="Y43" s="1"/>
      <c r="Z43" s="5">
        <f t="shared" si="23"/>
        <v>3.57016239955084E-2</v>
      </c>
    </row>
    <row r="44" spans="1:26" s="24" customFormat="1" hidden="1" outlineLevel="2" x14ac:dyDescent="0.25">
      <c r="A44" s="28"/>
      <c r="B44" s="11" t="str">
        <f>CONCATENATE("          ", "6321", " - ", "BUILDING DEPRECIATION")</f>
        <v xml:space="preserve">          6321 - BUILDING DEPRECIATION</v>
      </c>
      <c r="C44" s="11"/>
      <c r="D44" s="7">
        <v>16396.52</v>
      </c>
      <c r="E44" s="2"/>
      <c r="F44" s="6">
        <f t="shared" si="16"/>
        <v>0</v>
      </c>
      <c r="G44" s="2"/>
      <c r="H44" s="7">
        <v>16396.52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49189.56</v>
      </c>
      <c r="Q44" s="2"/>
      <c r="R44" s="6">
        <f t="shared" si="20"/>
        <v>0</v>
      </c>
      <c r="S44" s="2"/>
      <c r="T44" s="7">
        <v>49189.56</v>
      </c>
      <c r="U44" s="2"/>
      <c r="V44" s="6">
        <f t="shared" si="21"/>
        <v>0</v>
      </c>
      <c r="W44" s="2"/>
      <c r="X44" s="7">
        <f t="shared" si="22"/>
        <v>0</v>
      </c>
      <c r="Y44" s="2"/>
      <c r="Z44" s="6">
        <f t="shared" si="23"/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14500.44</v>
      </c>
      <c r="E45" s="2"/>
      <c r="F45" s="6">
        <f t="shared" si="16"/>
        <v>0</v>
      </c>
      <c r="G45" s="2"/>
      <c r="H45" s="7">
        <v>13210.91</v>
      </c>
      <c r="I45" s="2"/>
      <c r="J45" s="6">
        <f t="shared" si="17"/>
        <v>0</v>
      </c>
      <c r="K45" s="2"/>
      <c r="L45" s="7">
        <f t="shared" si="18"/>
        <v>1289.5300000000007</v>
      </c>
      <c r="M45" s="2"/>
      <c r="N45" s="6">
        <f t="shared" si="19"/>
        <v>9.7610989704721374E-2</v>
      </c>
      <c r="O45" s="11"/>
      <c r="P45" s="7">
        <v>42803.83</v>
      </c>
      <c r="Q45" s="2"/>
      <c r="R45" s="6">
        <f t="shared" si="20"/>
        <v>0</v>
      </c>
      <c r="S45" s="2"/>
      <c r="T45" s="7">
        <v>39632.729999999996</v>
      </c>
      <c r="U45" s="2"/>
      <c r="V45" s="6">
        <f t="shared" si="21"/>
        <v>0</v>
      </c>
      <c r="W45" s="2"/>
      <c r="X45" s="7">
        <f t="shared" si="22"/>
        <v>3171.1000000000058</v>
      </c>
      <c r="Y45" s="2"/>
      <c r="Z45" s="6">
        <f t="shared" si="23"/>
        <v>8.0012151572702819E-2</v>
      </c>
    </row>
    <row r="46" spans="1:26" s="27" customFormat="1" outlineLevel="1" collapsed="1" x14ac:dyDescent="0.25">
      <c r="A46" s="29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SUM(OSRRefD22_6x_0)</f>
        <v>0</v>
      </c>
      <c r="E46" s="1"/>
      <c r="F46" s="5">
        <f t="shared" ref="F46:F48" si="24">IF(D$12=0,0,D46/D$12)</f>
        <v>0</v>
      </c>
      <c r="G46" s="1"/>
      <c r="H46" s="1">
        <f>SUM(OSRRefH22_6x_0)</f>
        <v>-212.10000000000002</v>
      </c>
      <c r="I46" s="1"/>
      <c r="J46" s="5">
        <f t="shared" ref="J46:J48" si="25">IF(H$12=0,0,H46/H$12)</f>
        <v>0</v>
      </c>
      <c r="K46" s="1"/>
      <c r="L46" s="1">
        <f t="shared" ref="L46:L48" si="26">+D46-H46</f>
        <v>212.10000000000002</v>
      </c>
      <c r="M46" s="1"/>
      <c r="N46" s="5">
        <f t="shared" ref="N46:N48" si="27">IF(H46=0,0,L46/H46)</f>
        <v>-1</v>
      </c>
      <c r="O46" s="14"/>
      <c r="P46" s="1">
        <f>SUM(OSRRefP22_6x_0)</f>
        <v>0</v>
      </c>
      <c r="Q46" s="1"/>
      <c r="R46" s="5">
        <f t="shared" ref="R46:R48" si="28">IF(P$12=0,0,P46/P$12)</f>
        <v>0</v>
      </c>
      <c r="S46" s="1"/>
      <c r="T46" s="1">
        <f>SUM(OSRRefT22_6x_0)</f>
        <v>-873.69</v>
      </c>
      <c r="U46" s="1"/>
      <c r="V46" s="5">
        <f t="shared" ref="V46:V48" si="29">IF(T$12=0,0,T46/T$12)</f>
        <v>0</v>
      </c>
      <c r="W46" s="1"/>
      <c r="X46" s="1">
        <f t="shared" ref="X46:X48" si="30">+P46-T46</f>
        <v>873.69</v>
      </c>
      <c r="Y46" s="1"/>
      <c r="Z46" s="5">
        <f t="shared" ref="Z46:Z48" si="31">IF(T46=0,0,X46/T46)</f>
        <v>-1</v>
      </c>
    </row>
    <row r="47" spans="1:26" s="24" customFormat="1" hidden="1" outlineLevel="2" x14ac:dyDescent="0.25">
      <c r="A47" s="28"/>
      <c r="B47" s="11" t="str">
        <f>CONCATENATE("          ", "6382", " - ", "DISCOUNTS/MARK DOWNS")</f>
        <v xml:space="preserve">          6382 - DISCOUNTS/MARK DOWNS</v>
      </c>
      <c r="C47" s="11"/>
      <c r="D47" s="7"/>
      <c r="E47" s="2"/>
      <c r="F47" s="6">
        <f t="shared" si="24"/>
        <v>0</v>
      </c>
      <c r="G47" s="2"/>
      <c r="H47" s="7">
        <v>137.5</v>
      </c>
      <c r="I47" s="2"/>
      <c r="J47" s="6">
        <f t="shared" si="25"/>
        <v>0</v>
      </c>
      <c r="K47" s="2"/>
      <c r="L47" s="7">
        <f t="shared" si="26"/>
        <v>-137.5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189.5</v>
      </c>
      <c r="U47" s="2"/>
      <c r="V47" s="6">
        <f t="shared" si="29"/>
        <v>0</v>
      </c>
      <c r="W47" s="2"/>
      <c r="X47" s="7">
        <f t="shared" si="30"/>
        <v>-189.5</v>
      </c>
      <c r="Y47" s="2"/>
      <c r="Z47" s="6">
        <f t="shared" si="31"/>
        <v>-1</v>
      </c>
    </row>
    <row r="48" spans="1:26" s="24" customFormat="1" hidden="1" outlineLevel="2" x14ac:dyDescent="0.25">
      <c r="A48" s="28"/>
      <c r="B48" s="11" t="str">
        <f>CONCATENATE("          ", "9175", " - ", "EARNED DISCOUNTS")</f>
        <v xml:space="preserve">          9175 - EARNED DISCOUNTS</v>
      </c>
      <c r="C48" s="11"/>
      <c r="D48" s="7"/>
      <c r="E48" s="2"/>
      <c r="F48" s="6">
        <f t="shared" si="24"/>
        <v>0</v>
      </c>
      <c r="G48" s="2"/>
      <c r="H48" s="7">
        <v>-349.6</v>
      </c>
      <c r="I48" s="2"/>
      <c r="J48" s="6">
        <f t="shared" si="25"/>
        <v>0</v>
      </c>
      <c r="K48" s="2"/>
      <c r="L48" s="7">
        <f t="shared" si="26"/>
        <v>349.6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-1063.19</v>
      </c>
      <c r="U48" s="2"/>
      <c r="V48" s="6">
        <f t="shared" si="29"/>
        <v>0</v>
      </c>
      <c r="W48" s="2"/>
      <c r="X48" s="7">
        <f t="shared" si="30"/>
        <v>1063.19</v>
      </c>
      <c r="Y48" s="2"/>
      <c r="Z48" s="6">
        <f t="shared" si="31"/>
        <v>-1</v>
      </c>
    </row>
    <row r="49" spans="1:26" s="27" customFormat="1" outlineLevel="1" collapsed="1" x14ac:dyDescent="0.25">
      <c r="A49" s="29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SUM(OSRRefD22_7x_0)</f>
        <v>0</v>
      </c>
      <c r="E49" s="1"/>
      <c r="F49" s="5">
        <f t="shared" ref="F49:F69" si="32">IF(D$12=0,0,D49/D$12)</f>
        <v>0</v>
      </c>
      <c r="G49" s="1"/>
      <c r="H49" s="1">
        <f>SUM(OSRRefH22_7x_0)</f>
        <v>1608.36</v>
      </c>
      <c r="I49" s="1"/>
      <c r="J49" s="5">
        <f t="shared" ref="J49:J69" si="33">IF(H$12=0,0,H49/H$12)</f>
        <v>0</v>
      </c>
      <c r="K49" s="1"/>
      <c r="L49" s="1">
        <f t="shared" ref="L49:L69" si="34">+D49-H49</f>
        <v>-1608.36</v>
      </c>
      <c r="M49" s="1"/>
      <c r="N49" s="5">
        <f t="shared" ref="N49:N69" si="35">IF(H49=0,0,L49/H49)</f>
        <v>-1</v>
      </c>
      <c r="O49" s="14"/>
      <c r="P49" s="1">
        <f>SUM(OSRRefP22_7x_0)</f>
        <v>0</v>
      </c>
      <c r="Q49" s="1"/>
      <c r="R49" s="5">
        <f t="shared" ref="R49:R69" si="36">IF(P$12=0,0,P49/P$12)</f>
        <v>0</v>
      </c>
      <c r="S49" s="1"/>
      <c r="T49" s="1">
        <f>SUM(OSRRefT22_7x_0)</f>
        <v>5225.34</v>
      </c>
      <c r="U49" s="1"/>
      <c r="V49" s="5">
        <f t="shared" ref="V49:V69" si="37">IF(T$12=0,0,T49/T$12)</f>
        <v>0</v>
      </c>
      <c r="W49" s="1"/>
      <c r="X49" s="1">
        <f t="shared" ref="X49:X69" si="38">+P49-T49</f>
        <v>-5225.34</v>
      </c>
      <c r="Y49" s="1"/>
      <c r="Z49" s="5">
        <f t="shared" ref="Z49:Z69" si="39">IF(T49=0,0,X49/T49)</f>
        <v>-1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32"/>
        <v>0</v>
      </c>
      <c r="G50" s="2"/>
      <c r="H50" s="7">
        <v>1608.36</v>
      </c>
      <c r="I50" s="2"/>
      <c r="J50" s="6">
        <f t="shared" si="33"/>
        <v>0</v>
      </c>
      <c r="K50" s="2"/>
      <c r="L50" s="7">
        <f t="shared" si="34"/>
        <v>-1608.36</v>
      </c>
      <c r="M50" s="2"/>
      <c r="N50" s="6">
        <f t="shared" si="35"/>
        <v>-1</v>
      </c>
      <c r="O50" s="11"/>
      <c r="P50" s="7"/>
      <c r="Q50" s="2"/>
      <c r="R50" s="6">
        <f t="shared" si="36"/>
        <v>0</v>
      </c>
      <c r="S50" s="2"/>
      <c r="T50" s="7">
        <v>5225.34</v>
      </c>
      <c r="U50" s="2"/>
      <c r="V50" s="6">
        <f t="shared" si="37"/>
        <v>0</v>
      </c>
      <c r="W50" s="2"/>
      <c r="X50" s="7">
        <f t="shared" si="38"/>
        <v>-5225.34</v>
      </c>
      <c r="Y50" s="2"/>
      <c r="Z50" s="6">
        <f t="shared" si="39"/>
        <v>-1</v>
      </c>
    </row>
    <row r="51" spans="1:26" s="27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SUM(OSRRefD22_8x_0)</f>
        <v>0</v>
      </c>
      <c r="E51" s="1"/>
      <c r="F51" s="5">
        <f t="shared" si="32"/>
        <v>0</v>
      </c>
      <c r="G51" s="1"/>
      <c r="H51" s="1">
        <f>SUM(OSRRefH22_8x_0)</f>
        <v>134.26</v>
      </c>
      <c r="I51" s="1"/>
      <c r="J51" s="5">
        <f t="shared" si="33"/>
        <v>0</v>
      </c>
      <c r="K51" s="1"/>
      <c r="L51" s="1">
        <f t="shared" si="34"/>
        <v>-134.26</v>
      </c>
      <c r="M51" s="1"/>
      <c r="N51" s="5">
        <f t="shared" si="35"/>
        <v>-1</v>
      </c>
      <c r="O51" s="14"/>
      <c r="P51" s="1">
        <f>SUM(OSRRefP22_8x_0)</f>
        <v>0</v>
      </c>
      <c r="Q51" s="1"/>
      <c r="R51" s="5">
        <f t="shared" si="36"/>
        <v>0</v>
      </c>
      <c r="S51" s="1"/>
      <c r="T51" s="1">
        <f>SUM(OSRRefT22_8x_0)</f>
        <v>451.22</v>
      </c>
      <c r="U51" s="1"/>
      <c r="V51" s="5">
        <f t="shared" si="37"/>
        <v>0</v>
      </c>
      <c r="W51" s="1"/>
      <c r="X51" s="1">
        <f t="shared" si="38"/>
        <v>-451.22</v>
      </c>
      <c r="Y51" s="1"/>
      <c r="Z51" s="5">
        <f t="shared" si="39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2"/>
        <v>0</v>
      </c>
      <c r="G52" s="2"/>
      <c r="H52" s="7">
        <v>134.26</v>
      </c>
      <c r="I52" s="2"/>
      <c r="J52" s="6">
        <f t="shared" si="33"/>
        <v>0</v>
      </c>
      <c r="K52" s="2"/>
      <c r="L52" s="7">
        <f t="shared" si="34"/>
        <v>-134.26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451.22</v>
      </c>
      <c r="U52" s="2"/>
      <c r="V52" s="6">
        <f t="shared" si="37"/>
        <v>0</v>
      </c>
      <c r="W52" s="2"/>
      <c r="X52" s="7">
        <f t="shared" si="38"/>
        <v>-451.22</v>
      </c>
      <c r="Y52" s="2"/>
      <c r="Z52" s="6">
        <f t="shared" si="39"/>
        <v>-1</v>
      </c>
    </row>
    <row r="53" spans="1:26" s="27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SUM(OSRRefD22_9x_0)</f>
        <v>415.15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415.15</v>
      </c>
      <c r="M53" s="1"/>
      <c r="N53" s="5">
        <f t="shared" si="35"/>
        <v>0</v>
      </c>
      <c r="O53" s="14"/>
      <c r="P53" s="1">
        <f>SUM(OSRRefP22_9x_0)</f>
        <v>597.66999999999996</v>
      </c>
      <c r="Q53" s="1"/>
      <c r="R53" s="5">
        <f t="shared" si="36"/>
        <v>0</v>
      </c>
      <c r="S53" s="1"/>
      <c r="T53" s="1">
        <f>SUM(OSRRefT22_9x_0)</f>
        <v>0</v>
      </c>
      <c r="U53" s="1"/>
      <c r="V53" s="5">
        <f t="shared" si="37"/>
        <v>0</v>
      </c>
      <c r="W53" s="1"/>
      <c r="X53" s="1">
        <f t="shared" si="38"/>
        <v>597.66999999999996</v>
      </c>
      <c r="Y53" s="1"/>
      <c r="Z53" s="5">
        <f t="shared" si="39"/>
        <v>0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7">
        <v>415.15</v>
      </c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415.15</v>
      </c>
      <c r="M54" s="2"/>
      <c r="N54" s="6">
        <f t="shared" si="35"/>
        <v>0</v>
      </c>
      <c r="O54" s="11"/>
      <c r="P54" s="7">
        <v>597.66999999999996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597.66999999999996</v>
      </c>
      <c r="Y54" s="2"/>
      <c r="Z54" s="6">
        <f t="shared" si="39"/>
        <v>0</v>
      </c>
    </row>
    <row r="55" spans="1:26" s="27" customFormat="1" outlineLevel="1" collapsed="1" x14ac:dyDescent="0.25">
      <c r="A55" s="29"/>
      <c r="B55" s="14" t="str">
        <f>CONCATENATE("     ","Freight out/Postage                               ")</f>
        <v xml:space="preserve">     Freight out/Postage                               </v>
      </c>
      <c r="C55" s="14"/>
      <c r="D55" s="1">
        <f>SUM(OSRRefD22_10x_0)</f>
        <v>315.95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315.95</v>
      </c>
      <c r="M55" s="1"/>
      <c r="N55" s="5">
        <f t="shared" si="35"/>
        <v>0</v>
      </c>
      <c r="O55" s="14"/>
      <c r="P55" s="1">
        <f>SUM(OSRRefP22_10x_0)</f>
        <v>631.9</v>
      </c>
      <c r="Q55" s="1"/>
      <c r="R55" s="5">
        <f t="shared" si="36"/>
        <v>0</v>
      </c>
      <c r="S55" s="1"/>
      <c r="T55" s="1">
        <f>SUM(OSRRefT22_10x_0)</f>
        <v>0</v>
      </c>
      <c r="U55" s="1"/>
      <c r="V55" s="5">
        <f t="shared" si="37"/>
        <v>0</v>
      </c>
      <c r="W55" s="1"/>
      <c r="X55" s="1">
        <f t="shared" si="38"/>
        <v>631.9</v>
      </c>
      <c r="Y55" s="1"/>
      <c r="Z55" s="5">
        <f t="shared" si="39"/>
        <v>0</v>
      </c>
    </row>
    <row r="56" spans="1:26" s="24" customFormat="1" hidden="1" outlineLevel="2" x14ac:dyDescent="0.25">
      <c r="A56" s="28"/>
      <c r="B56" s="11" t="str">
        <f>CONCATENATE("          ", "6307", " - ", "POSTAGE")</f>
        <v xml:space="preserve">          6307 - POSTAGE</v>
      </c>
      <c r="C56" s="11"/>
      <c r="D56" s="7">
        <v>315.95</v>
      </c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315.95</v>
      </c>
      <c r="M56" s="2"/>
      <c r="N56" s="6">
        <f t="shared" si="35"/>
        <v>0</v>
      </c>
      <c r="O56" s="11"/>
      <c r="P56" s="7">
        <v>631.9</v>
      </c>
      <c r="Q56" s="2"/>
      <c r="R56" s="6">
        <f t="shared" si="36"/>
        <v>0</v>
      </c>
      <c r="S56" s="2"/>
      <c r="T56" s="7"/>
      <c r="U56" s="2"/>
      <c r="V56" s="6">
        <f t="shared" si="37"/>
        <v>0</v>
      </c>
      <c r="W56" s="2"/>
      <c r="X56" s="7">
        <f t="shared" si="38"/>
        <v>631.9</v>
      </c>
      <c r="Y56" s="2"/>
      <c r="Z56" s="6">
        <f t="shared" si="39"/>
        <v>0</v>
      </c>
    </row>
    <row r="57" spans="1:26" s="27" customFormat="1" outlineLevel="1" collapsed="1" x14ac:dyDescent="0.25">
      <c r="A57" s="29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SUM(OSRRefD22_11x_0)</f>
        <v>0</v>
      </c>
      <c r="E57" s="1"/>
      <c r="F57" s="5">
        <f t="shared" si="32"/>
        <v>0</v>
      </c>
      <c r="G57" s="1"/>
      <c r="H57" s="1">
        <f>SUM(OSRRefH22_11x_0)</f>
        <v>53.67</v>
      </c>
      <c r="I57" s="1"/>
      <c r="J57" s="5">
        <f t="shared" si="33"/>
        <v>0</v>
      </c>
      <c r="K57" s="1"/>
      <c r="L57" s="1">
        <f t="shared" si="34"/>
        <v>-53.67</v>
      </c>
      <c r="M57" s="1"/>
      <c r="N57" s="5">
        <f t="shared" si="35"/>
        <v>-1</v>
      </c>
      <c r="O57" s="14"/>
      <c r="P57" s="1">
        <f>SUM(OSRRefP22_11x_0)</f>
        <v>867.81</v>
      </c>
      <c r="Q57" s="1"/>
      <c r="R57" s="5">
        <f t="shared" si="36"/>
        <v>0</v>
      </c>
      <c r="S57" s="1"/>
      <c r="T57" s="1">
        <f>SUM(OSRRefT22_11x_0)</f>
        <v>-14984.3</v>
      </c>
      <c r="U57" s="1"/>
      <c r="V57" s="5">
        <f t="shared" si="37"/>
        <v>0</v>
      </c>
      <c r="W57" s="1"/>
      <c r="X57" s="1">
        <f t="shared" si="38"/>
        <v>15852.109999999999</v>
      </c>
      <c r="Y57" s="1"/>
      <c r="Z57" s="5">
        <f t="shared" si="39"/>
        <v>-1.05791461729944</v>
      </c>
    </row>
    <row r="58" spans="1:26" s="24" customFormat="1" hidden="1" outlineLevel="2" x14ac:dyDescent="0.25">
      <c r="A58" s="28"/>
      <c r="B58" s="11" t="str">
        <f>CONCATENATE("          ", "6279", " - ", "GENERAL EXPENSE")</f>
        <v xml:space="preserve">          6279 - GENERAL EXPENSE</v>
      </c>
      <c r="C58" s="11"/>
      <c r="D58" s="7"/>
      <c r="E58" s="2"/>
      <c r="F58" s="6">
        <f t="shared" si="32"/>
        <v>0</v>
      </c>
      <c r="G58" s="2"/>
      <c r="H58" s="7">
        <v>53.67</v>
      </c>
      <c r="I58" s="2"/>
      <c r="J58" s="6">
        <f t="shared" si="33"/>
        <v>0</v>
      </c>
      <c r="K58" s="2"/>
      <c r="L58" s="7">
        <f t="shared" si="34"/>
        <v>-53.67</v>
      </c>
      <c r="M58" s="2"/>
      <c r="N58" s="6">
        <f t="shared" si="35"/>
        <v>-1</v>
      </c>
      <c r="O58" s="11"/>
      <c r="P58" s="7">
        <v>867.81</v>
      </c>
      <c r="Q58" s="2"/>
      <c r="R58" s="6">
        <f t="shared" si="36"/>
        <v>0</v>
      </c>
      <c r="S58" s="2"/>
      <c r="T58" s="7">
        <v>-14984.3</v>
      </c>
      <c r="U58" s="2"/>
      <c r="V58" s="6">
        <f t="shared" si="37"/>
        <v>0</v>
      </c>
      <c r="W58" s="2"/>
      <c r="X58" s="7">
        <f t="shared" si="38"/>
        <v>15852.109999999999</v>
      </c>
      <c r="Y58" s="2"/>
      <c r="Z58" s="6">
        <f t="shared" si="39"/>
        <v>-1.05791461729944</v>
      </c>
    </row>
    <row r="59" spans="1:26" s="27" customFormat="1" outlineLevel="1" collapsed="1" x14ac:dyDescent="0.25">
      <c r="A59" s="29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SUM(OSRRefD22_12x_0)</f>
        <v>3883.56</v>
      </c>
      <c r="E59" s="1"/>
      <c r="F59" s="5">
        <f t="shared" si="32"/>
        <v>0</v>
      </c>
      <c r="G59" s="1"/>
      <c r="H59" s="1">
        <f>SUM(OSRRefH22_12x_0)</f>
        <v>3883.56</v>
      </c>
      <c r="I59" s="1"/>
      <c r="J59" s="5">
        <f t="shared" si="33"/>
        <v>0</v>
      </c>
      <c r="K59" s="1"/>
      <c r="L59" s="1">
        <f t="shared" si="34"/>
        <v>0</v>
      </c>
      <c r="M59" s="1"/>
      <c r="N59" s="5">
        <f t="shared" si="35"/>
        <v>0</v>
      </c>
      <c r="O59" s="14"/>
      <c r="P59" s="1">
        <f>SUM(OSRRefP22_12x_0)</f>
        <v>11650.68</v>
      </c>
      <c r="Q59" s="1"/>
      <c r="R59" s="5">
        <f t="shared" si="36"/>
        <v>0</v>
      </c>
      <c r="S59" s="1"/>
      <c r="T59" s="1">
        <f>SUM(OSRRefT22_12x_0)</f>
        <v>11650.68</v>
      </c>
      <c r="U59" s="1"/>
      <c r="V59" s="5">
        <f t="shared" si="37"/>
        <v>0</v>
      </c>
      <c r="W59" s="1"/>
      <c r="X59" s="1">
        <f t="shared" si="38"/>
        <v>0</v>
      </c>
      <c r="Y59" s="1"/>
      <c r="Z59" s="5">
        <f t="shared" si="39"/>
        <v>0</v>
      </c>
    </row>
    <row r="60" spans="1:26" s="24" customFormat="1" hidden="1" outlineLevel="2" x14ac:dyDescent="0.25">
      <c r="A60" s="28"/>
      <c r="B60" s="11" t="str">
        <f>CONCATENATE("          ", "6314", " - ", "LIABILITY INSURANCE")</f>
        <v xml:space="preserve">          6314 - LIABILITY INSURANCE</v>
      </c>
      <c r="C60" s="11"/>
      <c r="D60" s="7">
        <v>3883.56</v>
      </c>
      <c r="E60" s="2"/>
      <c r="F60" s="6">
        <f t="shared" si="32"/>
        <v>0</v>
      </c>
      <c r="G60" s="2"/>
      <c r="H60" s="7">
        <v>3883.56</v>
      </c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11650.68</v>
      </c>
      <c r="Q60" s="2"/>
      <c r="R60" s="6">
        <f t="shared" si="36"/>
        <v>0</v>
      </c>
      <c r="S60" s="2"/>
      <c r="T60" s="7">
        <v>11650.68</v>
      </c>
      <c r="U60" s="2"/>
      <c r="V60" s="6">
        <f t="shared" si="37"/>
        <v>0</v>
      </c>
      <c r="W60" s="2"/>
      <c r="X60" s="7">
        <f t="shared" si="38"/>
        <v>0</v>
      </c>
      <c r="Y60" s="2"/>
      <c r="Z60" s="6">
        <f t="shared" si="39"/>
        <v>0</v>
      </c>
    </row>
    <row r="61" spans="1:26" s="27" customFormat="1" outlineLevel="1" collapsed="1" x14ac:dyDescent="0.25">
      <c r="A61" s="29"/>
      <c r="B61" s="14" t="str">
        <f>CONCATENATE("     ","Professional Services                             ")</f>
        <v xml:space="preserve">     Professional Services                             </v>
      </c>
      <c r="C61" s="14"/>
      <c r="D61" s="1">
        <f>SUM(OSRRefD22_13x_0)</f>
        <v>0</v>
      </c>
      <c r="E61" s="1"/>
      <c r="F61" s="5">
        <f t="shared" si="32"/>
        <v>0</v>
      </c>
      <c r="G61" s="1"/>
      <c r="H61" s="1">
        <f>SUM(OSRRefH22_13x_0)</f>
        <v>0</v>
      </c>
      <c r="I61" s="1"/>
      <c r="J61" s="5">
        <f t="shared" si="33"/>
        <v>0</v>
      </c>
      <c r="K61" s="1"/>
      <c r="L61" s="1">
        <f t="shared" si="34"/>
        <v>0</v>
      </c>
      <c r="M61" s="1"/>
      <c r="N61" s="5">
        <f t="shared" si="35"/>
        <v>0</v>
      </c>
      <c r="O61" s="14"/>
      <c r="P61" s="1">
        <f>SUM(OSRRefP22_13x_0)</f>
        <v>0</v>
      </c>
      <c r="Q61" s="1"/>
      <c r="R61" s="5">
        <f t="shared" si="36"/>
        <v>0</v>
      </c>
      <c r="S61" s="1"/>
      <c r="T61" s="1">
        <f>SUM(OSRRefT22_13x_0)</f>
        <v>4658.41</v>
      </c>
      <c r="U61" s="1"/>
      <c r="V61" s="5">
        <f t="shared" si="37"/>
        <v>0</v>
      </c>
      <c r="W61" s="1"/>
      <c r="X61" s="1">
        <f t="shared" si="38"/>
        <v>-4658.41</v>
      </c>
      <c r="Y61" s="1"/>
      <c r="Z61" s="5">
        <f t="shared" si="39"/>
        <v>-1</v>
      </c>
    </row>
    <row r="62" spans="1:26" s="24" customFormat="1" hidden="1" outlineLevel="2" x14ac:dyDescent="0.25">
      <c r="A62" s="28"/>
      <c r="B62" s="11" t="str">
        <f>CONCATENATE("          ", "6336", " - ", "PROFESSIONAL SERVICES")</f>
        <v xml:space="preserve">          6336 - PROFESSIONAL SERVICES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4658.41</v>
      </c>
      <c r="U62" s="2"/>
      <c r="V62" s="6">
        <f t="shared" si="37"/>
        <v>0</v>
      </c>
      <c r="W62" s="2"/>
      <c r="X62" s="7">
        <f t="shared" si="38"/>
        <v>-4658.41</v>
      </c>
      <c r="Y62" s="2"/>
      <c r="Z62" s="6">
        <f t="shared" si="39"/>
        <v>-1</v>
      </c>
    </row>
    <row r="63" spans="1:26" s="27" customFormat="1" outlineLevel="1" collapsed="1" x14ac:dyDescent="0.25">
      <c r="A63" s="29"/>
      <c r="B63" s="14" t="str">
        <f>CONCATENATE("     ","Rent                                              ")</f>
        <v xml:space="preserve">     Rent                                              </v>
      </c>
      <c r="C63" s="14"/>
      <c r="D63" s="1">
        <f>SUM(OSRRefD22_14x_0)</f>
        <v>-800</v>
      </c>
      <c r="E63" s="1"/>
      <c r="F63" s="5">
        <f t="shared" si="32"/>
        <v>0</v>
      </c>
      <c r="G63" s="1"/>
      <c r="H63" s="1">
        <f>SUM(OSRRefH22_14x_0)</f>
        <v>-800</v>
      </c>
      <c r="I63" s="1"/>
      <c r="J63" s="5">
        <f t="shared" si="33"/>
        <v>0</v>
      </c>
      <c r="K63" s="1"/>
      <c r="L63" s="1">
        <f t="shared" si="34"/>
        <v>0</v>
      </c>
      <c r="M63" s="1"/>
      <c r="N63" s="5">
        <f t="shared" si="35"/>
        <v>0</v>
      </c>
      <c r="O63" s="14"/>
      <c r="P63" s="1">
        <f>SUM(OSRRefP22_14x_0)</f>
        <v>-2400</v>
      </c>
      <c r="Q63" s="1"/>
      <c r="R63" s="5">
        <f t="shared" si="36"/>
        <v>0</v>
      </c>
      <c r="S63" s="1"/>
      <c r="T63" s="1">
        <f>SUM(OSRRefT22_14x_0)</f>
        <v>-2400</v>
      </c>
      <c r="U63" s="1"/>
      <c r="V63" s="5">
        <f t="shared" si="37"/>
        <v>0</v>
      </c>
      <c r="W63" s="1"/>
      <c r="X63" s="1">
        <f t="shared" si="38"/>
        <v>0</v>
      </c>
      <c r="Y63" s="1"/>
      <c r="Z63" s="5">
        <f t="shared" si="39"/>
        <v>0</v>
      </c>
    </row>
    <row r="64" spans="1:26" s="24" customFormat="1" hidden="1" outlineLevel="2" x14ac:dyDescent="0.25">
      <c r="A64" s="28"/>
      <c r="B64" s="11" t="str">
        <f>CONCATENATE("          ", "6273", " - ", "RENT")</f>
        <v xml:space="preserve">          6273 - RENT</v>
      </c>
      <c r="C64" s="11"/>
      <c r="D64" s="7">
        <v>-800</v>
      </c>
      <c r="E64" s="2"/>
      <c r="F64" s="6">
        <f t="shared" si="32"/>
        <v>0</v>
      </c>
      <c r="G64" s="2"/>
      <c r="H64" s="7">
        <v>-800</v>
      </c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>
        <v>-2400</v>
      </c>
      <c r="Q64" s="2"/>
      <c r="R64" s="6">
        <f t="shared" si="36"/>
        <v>0</v>
      </c>
      <c r="S64" s="2"/>
      <c r="T64" s="7">
        <v>-2400</v>
      </c>
      <c r="U64" s="2"/>
      <c r="V64" s="6">
        <f t="shared" si="37"/>
        <v>0</v>
      </c>
      <c r="W64" s="2"/>
      <c r="X64" s="7">
        <f t="shared" si="38"/>
        <v>0</v>
      </c>
      <c r="Y64" s="2"/>
      <c r="Z64" s="6">
        <f t="shared" si="39"/>
        <v>0</v>
      </c>
    </row>
    <row r="65" spans="1:26" s="27" customFormat="1" outlineLevel="1" collapsed="1" x14ac:dyDescent="0.25">
      <c r="A65" s="29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SUM(OSRRefD22_15x_0)</f>
        <v>5917.67</v>
      </c>
      <c r="E65" s="1"/>
      <c r="F65" s="5">
        <f t="shared" si="32"/>
        <v>0</v>
      </c>
      <c r="G65" s="1"/>
      <c r="H65" s="1">
        <f>SUM(OSRRefH22_15x_0)</f>
        <v>3994.06</v>
      </c>
      <c r="I65" s="1"/>
      <c r="J65" s="5">
        <f t="shared" si="33"/>
        <v>0</v>
      </c>
      <c r="K65" s="1"/>
      <c r="L65" s="1">
        <f t="shared" si="34"/>
        <v>1923.6100000000001</v>
      </c>
      <c r="M65" s="1"/>
      <c r="N65" s="5">
        <f t="shared" si="35"/>
        <v>0.48161770228789758</v>
      </c>
      <c r="O65" s="14"/>
      <c r="P65" s="1">
        <f>SUM(OSRRefP22_15x_0)</f>
        <v>67265.88</v>
      </c>
      <c r="Q65" s="1"/>
      <c r="R65" s="5">
        <f t="shared" si="36"/>
        <v>0</v>
      </c>
      <c r="S65" s="1"/>
      <c r="T65" s="1">
        <f>SUM(OSRRefT22_15x_0)</f>
        <v>29812.42</v>
      </c>
      <c r="U65" s="1"/>
      <c r="V65" s="5">
        <f t="shared" si="37"/>
        <v>0</v>
      </c>
      <c r="W65" s="1"/>
      <c r="X65" s="1">
        <f t="shared" si="38"/>
        <v>37453.460000000006</v>
      </c>
      <c r="Y65" s="1"/>
      <c r="Z65" s="5">
        <f t="shared" si="39"/>
        <v>1.2563039162872389</v>
      </c>
    </row>
    <row r="66" spans="1:26" s="24" customFormat="1" hidden="1" outlineLevel="2" x14ac:dyDescent="0.25">
      <c r="A66" s="28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32"/>
        <v>0</v>
      </c>
      <c r="G66" s="2"/>
      <c r="H66" s="7">
        <v>3662.15</v>
      </c>
      <c r="I66" s="2"/>
      <c r="J66" s="6">
        <f t="shared" si="33"/>
        <v>0</v>
      </c>
      <c r="K66" s="2"/>
      <c r="L66" s="7">
        <f t="shared" si="34"/>
        <v>-3662.15</v>
      </c>
      <c r="M66" s="2"/>
      <c r="N66" s="6">
        <f t="shared" si="35"/>
        <v>-1</v>
      </c>
      <c r="O66" s="11"/>
      <c r="P66" s="7">
        <v>58428.780000000006</v>
      </c>
      <c r="Q66" s="2"/>
      <c r="R66" s="6">
        <f t="shared" si="36"/>
        <v>0</v>
      </c>
      <c r="S66" s="2"/>
      <c r="T66" s="7">
        <v>12150.4</v>
      </c>
      <c r="U66" s="2"/>
      <c r="V66" s="6">
        <f t="shared" si="37"/>
        <v>0</v>
      </c>
      <c r="W66" s="2"/>
      <c r="X66" s="7">
        <f t="shared" si="38"/>
        <v>46278.380000000005</v>
      </c>
      <c r="Y66" s="2"/>
      <c r="Z66" s="6">
        <f t="shared" si="39"/>
        <v>3.8087947721885702</v>
      </c>
    </row>
    <row r="67" spans="1:26" s="24" customFormat="1" hidden="1" outlineLevel="2" x14ac:dyDescent="0.25">
      <c r="A67" s="28"/>
      <c r="B67" s="11" t="str">
        <f>CONCATENATE("          ", "6372", " - ", "COMPUTER HARDWARE MAINTENANCE")</f>
        <v xml:space="preserve">          6372 - COMPUTER HARDWARE MAINTENANCE</v>
      </c>
      <c r="C67" s="11"/>
      <c r="D67" s="7">
        <v>-9.09</v>
      </c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-9.09</v>
      </c>
      <c r="M67" s="2"/>
      <c r="N67" s="6">
        <f t="shared" si="35"/>
        <v>0</v>
      </c>
      <c r="O67" s="11"/>
      <c r="P67" s="7">
        <v>-8.11</v>
      </c>
      <c r="Q67" s="2"/>
      <c r="R67" s="6">
        <f t="shared" si="36"/>
        <v>0</v>
      </c>
      <c r="S67" s="2"/>
      <c r="T67" s="7"/>
      <c r="U67" s="2"/>
      <c r="V67" s="6">
        <f t="shared" si="37"/>
        <v>0</v>
      </c>
      <c r="W67" s="2"/>
      <c r="X67" s="7">
        <f t="shared" si="38"/>
        <v>-8.11</v>
      </c>
      <c r="Y67" s="2"/>
      <c r="Z67" s="6">
        <f t="shared" si="39"/>
        <v>0</v>
      </c>
    </row>
    <row r="68" spans="1:26" s="24" customFormat="1" hidden="1" outlineLevel="2" x14ac:dyDescent="0.25">
      <c r="A68" s="28"/>
      <c r="B68" s="11" t="str">
        <f>CONCATENATE("          ", "6373", " - ", "MAINTENANCE CONTRACTS")</f>
        <v xml:space="preserve">          6373 - MAINTENANCE CONTRACTS</v>
      </c>
      <c r="C68" s="11"/>
      <c r="D68" s="7">
        <v>5006.12</v>
      </c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5006.12</v>
      </c>
      <c r="M68" s="2"/>
      <c r="N68" s="6">
        <f t="shared" si="35"/>
        <v>0</v>
      </c>
      <c r="O68" s="11"/>
      <c r="P68" s="7">
        <v>6087.77</v>
      </c>
      <c r="Q68" s="2"/>
      <c r="R68" s="6">
        <f t="shared" si="36"/>
        <v>0</v>
      </c>
      <c r="S68" s="2"/>
      <c r="T68" s="7">
        <v>516</v>
      </c>
      <c r="U68" s="2"/>
      <c r="V68" s="6">
        <f t="shared" si="37"/>
        <v>0</v>
      </c>
      <c r="W68" s="2"/>
      <c r="X68" s="7">
        <f t="shared" si="38"/>
        <v>5571.77</v>
      </c>
      <c r="Y68" s="2"/>
      <c r="Z68" s="6">
        <f t="shared" si="39"/>
        <v>10.798003875968993</v>
      </c>
    </row>
    <row r="69" spans="1:26" s="24" customFormat="1" hidden="1" outlineLevel="2" x14ac:dyDescent="0.25">
      <c r="A69" s="28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920.64</v>
      </c>
      <c r="E69" s="2"/>
      <c r="F69" s="6">
        <f t="shared" si="32"/>
        <v>0</v>
      </c>
      <c r="G69" s="2"/>
      <c r="H69" s="7">
        <v>331.91</v>
      </c>
      <c r="I69" s="2"/>
      <c r="J69" s="6">
        <f t="shared" si="33"/>
        <v>0</v>
      </c>
      <c r="K69" s="2"/>
      <c r="L69" s="7">
        <f t="shared" si="34"/>
        <v>588.73</v>
      </c>
      <c r="M69" s="2"/>
      <c r="N69" s="6">
        <f t="shared" si="35"/>
        <v>1.773763972161128</v>
      </c>
      <c r="O69" s="11"/>
      <c r="P69" s="7">
        <v>2757.44</v>
      </c>
      <c r="Q69" s="2"/>
      <c r="R69" s="6">
        <f t="shared" si="36"/>
        <v>0</v>
      </c>
      <c r="S69" s="2"/>
      <c r="T69" s="7">
        <v>17146.02</v>
      </c>
      <c r="U69" s="2"/>
      <c r="V69" s="6">
        <f t="shared" si="37"/>
        <v>0</v>
      </c>
      <c r="W69" s="2"/>
      <c r="X69" s="7">
        <f t="shared" si="38"/>
        <v>-14388.58</v>
      </c>
      <c r="Y69" s="2"/>
      <c r="Z69" s="6">
        <f t="shared" si="39"/>
        <v>-0.8391790048069464</v>
      </c>
    </row>
    <row r="70" spans="1:26" s="27" customFormat="1" outlineLevel="1" collapsed="1" x14ac:dyDescent="0.25">
      <c r="A70" s="29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SUM(OSRRefD22_16x_0)</f>
        <v>4330.68</v>
      </c>
      <c r="E70" s="1"/>
      <c r="F70" s="5">
        <f t="shared" ref="F70:F73" si="40">IF(D$12=0,0,D70/D$12)</f>
        <v>0</v>
      </c>
      <c r="G70" s="1"/>
      <c r="H70" s="1">
        <f>SUM(OSRRefH22_16x_0)</f>
        <v>3447.04</v>
      </c>
      <c r="I70" s="1"/>
      <c r="J70" s="5">
        <f t="shared" ref="J70:J73" si="41">IF(H$12=0,0,H70/H$12)</f>
        <v>0</v>
      </c>
      <c r="K70" s="1"/>
      <c r="L70" s="1">
        <f t="shared" ref="L70:L73" si="42">+D70-H70</f>
        <v>883.64000000000033</v>
      </c>
      <c r="M70" s="1"/>
      <c r="N70" s="5">
        <f t="shared" ref="N70:N73" si="43">IF(H70=0,0,L70/H70)</f>
        <v>0.25634747493501681</v>
      </c>
      <c r="O70" s="14"/>
      <c r="P70" s="1">
        <f>SUM(OSRRefP22_16x_0)</f>
        <v>8957.3000000000011</v>
      </c>
      <c r="Q70" s="1"/>
      <c r="R70" s="5">
        <f t="shared" ref="R70:R73" si="44">IF(P$12=0,0,P70/P$12)</f>
        <v>0</v>
      </c>
      <c r="S70" s="1"/>
      <c r="T70" s="1">
        <f>SUM(OSRRefT22_16x_0)</f>
        <v>11807.12</v>
      </c>
      <c r="U70" s="1"/>
      <c r="V70" s="5">
        <f t="shared" ref="V70:V73" si="45">IF(T$12=0,0,T70/T$12)</f>
        <v>0</v>
      </c>
      <c r="W70" s="1"/>
      <c r="X70" s="1">
        <f t="shared" ref="X70:X73" si="46">+P70-T70</f>
        <v>-2849.8199999999997</v>
      </c>
      <c r="Y70" s="1"/>
      <c r="Z70" s="5">
        <f t="shared" ref="Z70:Z73" si="47">IF(T70=0,0,X70/T70)</f>
        <v>-0.24136453258711688</v>
      </c>
    </row>
    <row r="71" spans="1:26" s="24" customFormat="1" hidden="1" outlineLevel="2" x14ac:dyDescent="0.25">
      <c r="A71" s="28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222.5</v>
      </c>
      <c r="E71" s="2"/>
      <c r="F71" s="6">
        <f t="shared" si="40"/>
        <v>0</v>
      </c>
      <c r="G71" s="2"/>
      <c r="H71" s="7">
        <v>222.5</v>
      </c>
      <c r="I71" s="2"/>
      <c r="J71" s="6">
        <f t="shared" si="41"/>
        <v>0</v>
      </c>
      <c r="K71" s="2"/>
      <c r="L71" s="7">
        <f t="shared" si="42"/>
        <v>0</v>
      </c>
      <c r="M71" s="2"/>
      <c r="N71" s="6">
        <f t="shared" si="43"/>
        <v>0</v>
      </c>
      <c r="O71" s="11"/>
      <c r="P71" s="7">
        <v>610.94000000000005</v>
      </c>
      <c r="Q71" s="2"/>
      <c r="R71" s="6">
        <f t="shared" si="44"/>
        <v>0</v>
      </c>
      <c r="S71" s="2"/>
      <c r="T71" s="7">
        <v>667.5</v>
      </c>
      <c r="U71" s="2"/>
      <c r="V71" s="6">
        <f t="shared" si="45"/>
        <v>0</v>
      </c>
      <c r="W71" s="2"/>
      <c r="X71" s="7">
        <f t="shared" si="46"/>
        <v>-56.559999999999945</v>
      </c>
      <c r="Y71" s="2"/>
      <c r="Z71" s="6">
        <f t="shared" si="47"/>
        <v>-8.4734082397003668E-2</v>
      </c>
    </row>
    <row r="72" spans="1:26" s="24" customFormat="1" hidden="1" outlineLevel="2" x14ac:dyDescent="0.25">
      <c r="A72" s="28"/>
      <c r="B72" s="11" t="str">
        <f>CONCATENATE("          ", "6283", " - ", "PLANT SERVICE")</f>
        <v xml:space="preserve">          6283 - PLANT SERVICE</v>
      </c>
      <c r="C72" s="11"/>
      <c r="D72" s="7"/>
      <c r="E72" s="2"/>
      <c r="F72" s="6">
        <f t="shared" si="40"/>
        <v>0</v>
      </c>
      <c r="G72" s="2"/>
      <c r="H72" s="7">
        <v>121.11</v>
      </c>
      <c r="I72" s="2"/>
      <c r="J72" s="6">
        <f t="shared" si="41"/>
        <v>0</v>
      </c>
      <c r="K72" s="2"/>
      <c r="L72" s="7">
        <f t="shared" si="42"/>
        <v>-121.11</v>
      </c>
      <c r="M72" s="2"/>
      <c r="N72" s="6">
        <f t="shared" si="43"/>
        <v>-1</v>
      </c>
      <c r="O72" s="11"/>
      <c r="P72" s="7">
        <v>130</v>
      </c>
      <c r="Q72" s="2"/>
      <c r="R72" s="6">
        <f t="shared" si="44"/>
        <v>0</v>
      </c>
      <c r="S72" s="2"/>
      <c r="T72" s="7">
        <v>363.33</v>
      </c>
      <c r="U72" s="2"/>
      <c r="V72" s="6">
        <f t="shared" si="45"/>
        <v>0</v>
      </c>
      <c r="W72" s="2"/>
      <c r="X72" s="7">
        <f t="shared" si="46"/>
        <v>-233.32999999999998</v>
      </c>
      <c r="Y72" s="2"/>
      <c r="Z72" s="6">
        <f t="shared" si="47"/>
        <v>-0.6421985522802961</v>
      </c>
    </row>
    <row r="73" spans="1:26" s="24" customFormat="1" hidden="1" outlineLevel="2" x14ac:dyDescent="0.25">
      <c r="A73" s="28"/>
      <c r="B73" s="11" t="str">
        <f>CONCATENATE("          ", "6285", " - ", "JANITORIAL SERVICES")</f>
        <v xml:space="preserve">          6285 - JANITORIAL SERVICES</v>
      </c>
      <c r="C73" s="11"/>
      <c r="D73" s="7">
        <v>4108.18</v>
      </c>
      <c r="E73" s="2"/>
      <c r="F73" s="6">
        <f t="shared" si="40"/>
        <v>0</v>
      </c>
      <c r="G73" s="2"/>
      <c r="H73" s="7">
        <v>3103.43</v>
      </c>
      <c r="I73" s="2"/>
      <c r="J73" s="6">
        <f t="shared" si="41"/>
        <v>0</v>
      </c>
      <c r="K73" s="2"/>
      <c r="L73" s="7">
        <f t="shared" si="42"/>
        <v>1004.7500000000005</v>
      </c>
      <c r="M73" s="2"/>
      <c r="N73" s="6">
        <f t="shared" si="43"/>
        <v>0.32375468433314125</v>
      </c>
      <c r="O73" s="11"/>
      <c r="P73" s="7">
        <v>8216.36</v>
      </c>
      <c r="Q73" s="2"/>
      <c r="R73" s="6">
        <f t="shared" si="44"/>
        <v>0</v>
      </c>
      <c r="S73" s="2"/>
      <c r="T73" s="7">
        <v>10776.29</v>
      </c>
      <c r="U73" s="2"/>
      <c r="V73" s="6">
        <f t="shared" si="45"/>
        <v>0</v>
      </c>
      <c r="W73" s="2"/>
      <c r="X73" s="7">
        <f t="shared" si="46"/>
        <v>-2559.9300000000003</v>
      </c>
      <c r="Y73" s="2"/>
      <c r="Z73" s="6">
        <f t="shared" si="47"/>
        <v>-0.23755207033218298</v>
      </c>
    </row>
    <row r="74" spans="1:26" s="27" customFormat="1" outlineLevel="1" collapsed="1" x14ac:dyDescent="0.25">
      <c r="A74" s="29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SUM(OSRRefD22_17x_0)</f>
        <v>0</v>
      </c>
      <c r="E74" s="1"/>
      <c r="F74" s="5">
        <f t="shared" ref="F74:F82" si="48">IF(D$12=0,0,D74/D$12)</f>
        <v>0</v>
      </c>
      <c r="G74" s="1"/>
      <c r="H74" s="1">
        <f>SUM(OSRRefH22_17x_0)</f>
        <v>159.97999999999999</v>
      </c>
      <c r="I74" s="1"/>
      <c r="J74" s="5">
        <f t="shared" ref="J74:J82" si="49">IF(H$12=0,0,H74/H$12)</f>
        <v>0</v>
      </c>
      <c r="K74" s="1"/>
      <c r="L74" s="1">
        <f t="shared" ref="L74:L82" si="50">+D74-H74</f>
        <v>-159.97999999999999</v>
      </c>
      <c r="M74" s="1"/>
      <c r="N74" s="5">
        <f t="shared" ref="N74:N82" si="51">IF(H74=0,0,L74/H74)</f>
        <v>-1</v>
      </c>
      <c r="O74" s="14"/>
      <c r="P74" s="1">
        <f>SUM(OSRRefP22_17x_0)</f>
        <v>0</v>
      </c>
      <c r="Q74" s="1"/>
      <c r="R74" s="5">
        <f t="shared" ref="R74:R82" si="52">IF(P$12=0,0,P74/P$12)</f>
        <v>0</v>
      </c>
      <c r="S74" s="1"/>
      <c r="T74" s="1">
        <f>SUM(OSRRefT22_17x_0)</f>
        <v>479.94</v>
      </c>
      <c r="U74" s="1"/>
      <c r="V74" s="5">
        <f t="shared" ref="V74:V82" si="53">IF(T$12=0,0,T74/T$12)</f>
        <v>0</v>
      </c>
      <c r="W74" s="1"/>
      <c r="X74" s="1">
        <f t="shared" ref="X74:X82" si="54">+P74-T74</f>
        <v>-479.94</v>
      </c>
      <c r="Y74" s="1"/>
      <c r="Z74" s="5">
        <f t="shared" ref="Z74:Z82" si="55">IF(T74=0,0,X74/T74)</f>
        <v>-1</v>
      </c>
    </row>
    <row r="75" spans="1:26" s="24" customFormat="1" hidden="1" outlineLevel="2" x14ac:dyDescent="0.25">
      <c r="A75" s="28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6">
        <f t="shared" si="48"/>
        <v>0</v>
      </c>
      <c r="G75" s="2"/>
      <c r="H75" s="7">
        <v>159.97999999999999</v>
      </c>
      <c r="I75" s="2"/>
      <c r="J75" s="6">
        <f t="shared" si="49"/>
        <v>0</v>
      </c>
      <c r="K75" s="2"/>
      <c r="L75" s="7">
        <f t="shared" si="50"/>
        <v>-159.97999999999999</v>
      </c>
      <c r="M75" s="2"/>
      <c r="N75" s="6">
        <f t="shared" si="51"/>
        <v>-1</v>
      </c>
      <c r="O75" s="11"/>
      <c r="P75" s="7"/>
      <c r="Q75" s="2"/>
      <c r="R75" s="6">
        <f t="shared" si="52"/>
        <v>0</v>
      </c>
      <c r="S75" s="2"/>
      <c r="T75" s="7">
        <v>479.94</v>
      </c>
      <c r="U75" s="2"/>
      <c r="V75" s="6">
        <f t="shared" si="53"/>
        <v>0</v>
      </c>
      <c r="W75" s="2"/>
      <c r="X75" s="7">
        <f t="shared" si="54"/>
        <v>-479.94</v>
      </c>
      <c r="Y75" s="2"/>
      <c r="Z75" s="6">
        <f t="shared" si="55"/>
        <v>-1</v>
      </c>
    </row>
    <row r="76" spans="1:26" s="27" customFormat="1" outlineLevel="1" collapsed="1" x14ac:dyDescent="0.25">
      <c r="A76" s="29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SUM(OSRRefD22_18x_0)</f>
        <v>2360.1799999999998</v>
      </c>
      <c r="E76" s="1"/>
      <c r="F76" s="5">
        <f t="shared" si="48"/>
        <v>0</v>
      </c>
      <c r="G76" s="1"/>
      <c r="H76" s="1">
        <f>SUM(OSRRefH22_18x_0)</f>
        <v>10909.33</v>
      </c>
      <c r="I76" s="1"/>
      <c r="J76" s="5">
        <f t="shared" si="49"/>
        <v>0</v>
      </c>
      <c r="K76" s="1"/>
      <c r="L76" s="1">
        <f t="shared" si="50"/>
        <v>-8549.15</v>
      </c>
      <c r="M76" s="1"/>
      <c r="N76" s="5">
        <f t="shared" si="51"/>
        <v>-0.78365490822992789</v>
      </c>
      <c r="O76" s="14"/>
      <c r="P76" s="1">
        <f>SUM(OSRRefP22_18x_0)</f>
        <v>9835.1</v>
      </c>
      <c r="Q76" s="1"/>
      <c r="R76" s="5">
        <f t="shared" si="52"/>
        <v>0</v>
      </c>
      <c r="S76" s="1"/>
      <c r="T76" s="1">
        <f>SUM(OSRRefT22_18x_0)</f>
        <v>6661.48</v>
      </c>
      <c r="U76" s="1"/>
      <c r="V76" s="5">
        <f t="shared" si="53"/>
        <v>0</v>
      </c>
      <c r="W76" s="1"/>
      <c r="X76" s="1">
        <f t="shared" si="54"/>
        <v>3173.6200000000008</v>
      </c>
      <c r="Y76" s="1"/>
      <c r="Z76" s="5">
        <f t="shared" si="55"/>
        <v>0.47641364981955975</v>
      </c>
    </row>
    <row r="77" spans="1:26" s="24" customFormat="1" hidden="1" outlineLevel="2" x14ac:dyDescent="0.25">
      <c r="A77" s="28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48"/>
        <v>0</v>
      </c>
      <c r="G77" s="2"/>
      <c r="H77" s="7"/>
      <c r="I77" s="2"/>
      <c r="J77" s="6">
        <f t="shared" si="49"/>
        <v>0</v>
      </c>
      <c r="K77" s="2"/>
      <c r="L77" s="7">
        <f t="shared" si="50"/>
        <v>0</v>
      </c>
      <c r="M77" s="2"/>
      <c r="N77" s="6">
        <f t="shared" si="51"/>
        <v>0</v>
      </c>
      <c r="O77" s="11"/>
      <c r="P77" s="7"/>
      <c r="Q77" s="2"/>
      <c r="R77" s="6">
        <f t="shared" si="52"/>
        <v>0</v>
      </c>
      <c r="S77" s="2"/>
      <c r="T77" s="7">
        <v>714.78</v>
      </c>
      <c r="U77" s="2"/>
      <c r="V77" s="6">
        <f t="shared" si="53"/>
        <v>0</v>
      </c>
      <c r="W77" s="2"/>
      <c r="X77" s="7">
        <f t="shared" si="54"/>
        <v>-714.78</v>
      </c>
      <c r="Y77" s="2"/>
      <c r="Z77" s="6">
        <f t="shared" si="55"/>
        <v>-1</v>
      </c>
    </row>
    <row r="78" spans="1:26" s="24" customFormat="1" hidden="1" outlineLevel="2" x14ac:dyDescent="0.25">
      <c r="A78" s="28"/>
      <c r="B78" s="11" t="str">
        <f>CONCATENATE("          ", "6235", " - ", "COVID-19 EXPENSES")</f>
        <v xml:space="preserve">          6235 - COVID-19 EXPENSES</v>
      </c>
      <c r="C78" s="11"/>
      <c r="D78" s="7">
        <v>2195.08</v>
      </c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2195.08</v>
      </c>
      <c r="M78" s="2"/>
      <c r="N78" s="6">
        <f t="shared" si="51"/>
        <v>0</v>
      </c>
      <c r="O78" s="11"/>
      <c r="P78" s="7">
        <v>7112.38</v>
      </c>
      <c r="Q78" s="2"/>
      <c r="R78" s="6">
        <f t="shared" si="52"/>
        <v>0</v>
      </c>
      <c r="S78" s="2"/>
      <c r="T78" s="7"/>
      <c r="U78" s="2"/>
      <c r="V78" s="6">
        <f t="shared" si="53"/>
        <v>0</v>
      </c>
      <c r="W78" s="2"/>
      <c r="X78" s="7">
        <f t="shared" si="54"/>
        <v>7112.38</v>
      </c>
      <c r="Y78" s="2"/>
      <c r="Z78" s="6">
        <f t="shared" si="55"/>
        <v>0</v>
      </c>
    </row>
    <row r="79" spans="1:26" s="24" customFormat="1" hidden="1" outlineLevel="2" x14ac:dyDescent="0.25">
      <c r="A79" s="28"/>
      <c r="B79" s="11" t="str">
        <f>CONCATENATE("          ", "6237", " - ", "JANITORIAL SUPPLIES")</f>
        <v xml:space="preserve">          6237 - JANITORIAL SUPPLIES</v>
      </c>
      <c r="C79" s="11"/>
      <c r="D79" s="7"/>
      <c r="E79" s="2"/>
      <c r="F79" s="6">
        <f t="shared" si="48"/>
        <v>0</v>
      </c>
      <c r="G79" s="2"/>
      <c r="H79" s="7">
        <v>883.55</v>
      </c>
      <c r="I79" s="2"/>
      <c r="J79" s="6">
        <f t="shared" si="49"/>
        <v>0</v>
      </c>
      <c r="K79" s="2"/>
      <c r="L79" s="7">
        <f t="shared" si="50"/>
        <v>-883.55</v>
      </c>
      <c r="M79" s="2"/>
      <c r="N79" s="6">
        <f t="shared" si="51"/>
        <v>-1</v>
      </c>
      <c r="O79" s="11"/>
      <c r="P79" s="7"/>
      <c r="Q79" s="2"/>
      <c r="R79" s="6">
        <f t="shared" si="52"/>
        <v>0</v>
      </c>
      <c r="S79" s="2"/>
      <c r="T79" s="7">
        <v>1658.95</v>
      </c>
      <c r="U79" s="2"/>
      <c r="V79" s="6">
        <f t="shared" si="53"/>
        <v>0</v>
      </c>
      <c r="W79" s="2"/>
      <c r="X79" s="7">
        <f t="shared" si="54"/>
        <v>-1658.95</v>
      </c>
      <c r="Y79" s="2"/>
      <c r="Z79" s="6">
        <f t="shared" si="55"/>
        <v>-1</v>
      </c>
    </row>
    <row r="80" spans="1:26" s="24" customFormat="1" hidden="1" outlineLevel="2" x14ac:dyDescent="0.25">
      <c r="A80" s="28"/>
      <c r="B80" s="11" t="str">
        <f>CONCATENATE("          ", "6241", " - ", "OFFICE EXPENSE")</f>
        <v xml:space="preserve">          6241 - OFFICE EXPENSE</v>
      </c>
      <c r="C80" s="11"/>
      <c r="D80" s="7">
        <v>34.67</v>
      </c>
      <c r="E80" s="2"/>
      <c r="F80" s="6">
        <f t="shared" si="48"/>
        <v>0</v>
      </c>
      <c r="G80" s="2"/>
      <c r="H80" s="7">
        <v>1658.61</v>
      </c>
      <c r="I80" s="2"/>
      <c r="J80" s="6">
        <f t="shared" si="49"/>
        <v>0</v>
      </c>
      <c r="K80" s="2"/>
      <c r="L80" s="7">
        <f t="shared" si="50"/>
        <v>-1623.9399999999998</v>
      </c>
      <c r="M80" s="2"/>
      <c r="N80" s="6">
        <f t="shared" si="51"/>
        <v>-0.97909695467891789</v>
      </c>
      <c r="O80" s="11"/>
      <c r="P80" s="7">
        <v>2064.8000000000002</v>
      </c>
      <c r="Q80" s="2"/>
      <c r="R80" s="6">
        <f t="shared" si="52"/>
        <v>0</v>
      </c>
      <c r="S80" s="2"/>
      <c r="T80" s="7">
        <v>4250.9399999999996</v>
      </c>
      <c r="U80" s="2"/>
      <c r="V80" s="6">
        <f t="shared" si="53"/>
        <v>0</v>
      </c>
      <c r="W80" s="2"/>
      <c r="X80" s="7">
        <f t="shared" si="54"/>
        <v>-2186.1399999999994</v>
      </c>
      <c r="Y80" s="2"/>
      <c r="Z80" s="6">
        <f t="shared" si="55"/>
        <v>-0.51427213745665656</v>
      </c>
    </row>
    <row r="81" spans="1:26" s="24" customFormat="1" hidden="1" outlineLevel="2" x14ac:dyDescent="0.25">
      <c r="A81" s="28"/>
      <c r="B81" s="11" t="str">
        <f>CONCATENATE("          ", "6245", " - ", "PRINTING")</f>
        <v xml:space="preserve">          6245 - PRINTING</v>
      </c>
      <c r="C81" s="11"/>
      <c r="D81" s="7">
        <v>68.66</v>
      </c>
      <c r="E81" s="2"/>
      <c r="F81" s="6">
        <f t="shared" si="48"/>
        <v>0</v>
      </c>
      <c r="G81" s="2"/>
      <c r="H81" s="7"/>
      <c r="I81" s="2"/>
      <c r="J81" s="6">
        <f t="shared" si="49"/>
        <v>0</v>
      </c>
      <c r="K81" s="2"/>
      <c r="L81" s="7">
        <f t="shared" si="50"/>
        <v>68.66</v>
      </c>
      <c r="M81" s="2"/>
      <c r="N81" s="6">
        <f t="shared" si="51"/>
        <v>0</v>
      </c>
      <c r="O81" s="11"/>
      <c r="P81" s="7">
        <v>68.66</v>
      </c>
      <c r="Q81" s="2"/>
      <c r="R81" s="6">
        <f t="shared" si="52"/>
        <v>0</v>
      </c>
      <c r="S81" s="2"/>
      <c r="T81" s="7">
        <v>19.73</v>
      </c>
      <c r="U81" s="2"/>
      <c r="V81" s="6">
        <f t="shared" si="53"/>
        <v>0</v>
      </c>
      <c r="W81" s="2"/>
      <c r="X81" s="7">
        <f t="shared" si="54"/>
        <v>48.929999999999993</v>
      </c>
      <c r="Y81" s="2"/>
      <c r="Z81" s="6">
        <f t="shared" si="55"/>
        <v>2.4799797263051189</v>
      </c>
    </row>
    <row r="82" spans="1:26" s="24" customFormat="1" hidden="1" outlineLevel="2" x14ac:dyDescent="0.25">
      <c r="A82" s="28"/>
      <c r="B82" s="11" t="str">
        <f>CONCATENATE("          ", "6247", " - ", "STORE SUPPLIES")</f>
        <v xml:space="preserve">          6247 - STORE SUPPLIES</v>
      </c>
      <c r="C82" s="11"/>
      <c r="D82" s="7">
        <v>61.77</v>
      </c>
      <c r="E82" s="2"/>
      <c r="F82" s="6">
        <f t="shared" si="48"/>
        <v>0</v>
      </c>
      <c r="G82" s="2"/>
      <c r="H82" s="7">
        <v>8367.17</v>
      </c>
      <c r="I82" s="2"/>
      <c r="J82" s="6">
        <f t="shared" si="49"/>
        <v>0</v>
      </c>
      <c r="K82" s="2"/>
      <c r="L82" s="7">
        <f t="shared" si="50"/>
        <v>-8305.4</v>
      </c>
      <c r="M82" s="2"/>
      <c r="N82" s="6">
        <f t="shared" si="51"/>
        <v>-0.99261757559604979</v>
      </c>
      <c r="O82" s="11"/>
      <c r="P82" s="7">
        <v>589.26</v>
      </c>
      <c r="Q82" s="2"/>
      <c r="R82" s="6">
        <f t="shared" si="52"/>
        <v>0</v>
      </c>
      <c r="S82" s="2"/>
      <c r="T82" s="7">
        <v>17.079999999999998</v>
      </c>
      <c r="U82" s="2"/>
      <c r="V82" s="6">
        <f t="shared" si="53"/>
        <v>0</v>
      </c>
      <c r="W82" s="2"/>
      <c r="X82" s="7">
        <f t="shared" si="54"/>
        <v>572.17999999999995</v>
      </c>
      <c r="Y82" s="2"/>
      <c r="Z82" s="6">
        <f t="shared" si="55"/>
        <v>33.5</v>
      </c>
    </row>
    <row r="83" spans="1:26" s="27" customFormat="1" outlineLevel="1" collapsed="1" x14ac:dyDescent="0.25">
      <c r="A83" s="29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SUM(OSRRefD22_19x_0)</f>
        <v>799.06</v>
      </c>
      <c r="E83" s="1"/>
      <c r="F83" s="5">
        <f t="shared" ref="F83:F89" si="56">IF(D$12=0,0,D83/D$12)</f>
        <v>0</v>
      </c>
      <c r="G83" s="1"/>
      <c r="H83" s="1">
        <f>SUM(OSRRefH22_19x_0)</f>
        <v>699.06</v>
      </c>
      <c r="I83" s="1"/>
      <c r="J83" s="5">
        <f t="shared" ref="J83:J89" si="57">IF(H$12=0,0,H83/H$12)</f>
        <v>0</v>
      </c>
      <c r="K83" s="1"/>
      <c r="L83" s="1">
        <f t="shared" ref="L83:L89" si="58">+D83-H83</f>
        <v>100</v>
      </c>
      <c r="M83" s="1"/>
      <c r="N83" s="5">
        <f t="shared" ref="N83:N89" si="59">IF(H83=0,0,L83/H83)</f>
        <v>0.14304923754756388</v>
      </c>
      <c r="O83" s="14"/>
      <c r="P83" s="1">
        <f>SUM(OSRRefP22_19x_0)</f>
        <v>1973.68</v>
      </c>
      <c r="Q83" s="1"/>
      <c r="R83" s="5">
        <f t="shared" ref="R83:R89" si="60">IF(P$12=0,0,P83/P$12)</f>
        <v>0</v>
      </c>
      <c r="S83" s="1"/>
      <c r="T83" s="1">
        <f>SUM(OSRRefT22_19x_0)</f>
        <v>1604.08</v>
      </c>
      <c r="U83" s="1"/>
      <c r="V83" s="5">
        <f t="shared" ref="V83:V89" si="61">IF(T$12=0,0,T83/T$12)</f>
        <v>0</v>
      </c>
      <c r="W83" s="1"/>
      <c r="X83" s="1">
        <f t="shared" ref="X83:X89" si="62">+P83-T83</f>
        <v>369.60000000000014</v>
      </c>
      <c r="Y83" s="1"/>
      <c r="Z83" s="5">
        <f t="shared" ref="Z83:Z89" si="63">IF(T83=0,0,X83/T83)</f>
        <v>0.23041244825694487</v>
      </c>
    </row>
    <row r="84" spans="1:26" s="24" customFormat="1" hidden="1" outlineLevel="2" x14ac:dyDescent="0.25">
      <c r="A84" s="28"/>
      <c r="B84" s="11" t="str">
        <f>CONCATENATE("          ", "6309", " - ", "TELEPHONE")</f>
        <v xml:space="preserve">          6309 - TELEPHONE</v>
      </c>
      <c r="C84" s="11"/>
      <c r="D84" s="7">
        <v>799.06</v>
      </c>
      <c r="E84" s="2"/>
      <c r="F84" s="6">
        <f t="shared" si="56"/>
        <v>0</v>
      </c>
      <c r="G84" s="2"/>
      <c r="H84" s="7">
        <v>699.06</v>
      </c>
      <c r="I84" s="2"/>
      <c r="J84" s="6">
        <f t="shared" si="57"/>
        <v>0</v>
      </c>
      <c r="K84" s="2"/>
      <c r="L84" s="7">
        <f t="shared" si="58"/>
        <v>100</v>
      </c>
      <c r="M84" s="2"/>
      <c r="N84" s="6">
        <f t="shared" si="59"/>
        <v>0.14304923754756388</v>
      </c>
      <c r="O84" s="11"/>
      <c r="P84" s="7">
        <v>1973.68</v>
      </c>
      <c r="Q84" s="2"/>
      <c r="R84" s="6">
        <f t="shared" si="60"/>
        <v>0</v>
      </c>
      <c r="S84" s="2"/>
      <c r="T84" s="7">
        <v>1604.08</v>
      </c>
      <c r="U84" s="2"/>
      <c r="V84" s="6">
        <f t="shared" si="61"/>
        <v>0</v>
      </c>
      <c r="W84" s="2"/>
      <c r="X84" s="7">
        <f t="shared" si="62"/>
        <v>369.60000000000014</v>
      </c>
      <c r="Y84" s="2"/>
      <c r="Z84" s="6">
        <f t="shared" si="63"/>
        <v>0.23041244825694487</v>
      </c>
    </row>
    <row r="85" spans="1:26" s="27" customFormat="1" outlineLevel="1" collapsed="1" x14ac:dyDescent="0.25">
      <c r="A85" s="29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SUM(OSRRefD22_20x_0)</f>
        <v>0</v>
      </c>
      <c r="E85" s="1"/>
      <c r="F85" s="5">
        <f t="shared" si="56"/>
        <v>0</v>
      </c>
      <c r="G85" s="1"/>
      <c r="H85" s="1">
        <f>SUM(OSRRefH22_20x_0)</f>
        <v>-5000</v>
      </c>
      <c r="I85" s="1"/>
      <c r="J85" s="5">
        <f t="shared" si="57"/>
        <v>0</v>
      </c>
      <c r="K85" s="1"/>
      <c r="L85" s="1">
        <f t="shared" si="58"/>
        <v>5000</v>
      </c>
      <c r="M85" s="1"/>
      <c r="N85" s="5">
        <f t="shared" si="59"/>
        <v>-1</v>
      </c>
      <c r="O85" s="14"/>
      <c r="P85" s="1">
        <f>SUM(OSRRefP22_20x_0)</f>
        <v>131.63</v>
      </c>
      <c r="Q85" s="1"/>
      <c r="R85" s="5">
        <f t="shared" si="60"/>
        <v>0</v>
      </c>
      <c r="S85" s="1"/>
      <c r="T85" s="1">
        <f>SUM(OSRRefT22_20x_0)</f>
        <v>1671.56</v>
      </c>
      <c r="U85" s="1"/>
      <c r="V85" s="5">
        <f t="shared" si="61"/>
        <v>0</v>
      </c>
      <c r="W85" s="1"/>
      <c r="X85" s="1">
        <f t="shared" si="62"/>
        <v>-1539.9299999999998</v>
      </c>
      <c r="Y85" s="1"/>
      <c r="Z85" s="5">
        <f t="shared" si="63"/>
        <v>-0.9212532006030294</v>
      </c>
    </row>
    <row r="86" spans="1:26" s="24" customFormat="1" hidden="1" outlineLevel="2" x14ac:dyDescent="0.25">
      <c r="A86" s="28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6"/>
        <v>0</v>
      </c>
      <c r="G86" s="2"/>
      <c r="H86" s="7">
        <v>-5000</v>
      </c>
      <c r="I86" s="2"/>
      <c r="J86" s="6">
        <f t="shared" si="57"/>
        <v>0</v>
      </c>
      <c r="K86" s="2"/>
      <c r="L86" s="7">
        <f t="shared" si="58"/>
        <v>5000</v>
      </c>
      <c r="M86" s="2"/>
      <c r="N86" s="6">
        <f t="shared" si="59"/>
        <v>-1</v>
      </c>
      <c r="O86" s="11"/>
      <c r="P86" s="7">
        <v>131.63</v>
      </c>
      <c r="Q86" s="2"/>
      <c r="R86" s="6">
        <f t="shared" si="60"/>
        <v>0</v>
      </c>
      <c r="S86" s="2"/>
      <c r="T86" s="7">
        <v>1671.56</v>
      </c>
      <c r="U86" s="2"/>
      <c r="V86" s="6">
        <f t="shared" si="61"/>
        <v>0</v>
      </c>
      <c r="W86" s="2"/>
      <c r="X86" s="7">
        <f t="shared" si="62"/>
        <v>-1539.9299999999998</v>
      </c>
      <c r="Y86" s="2"/>
      <c r="Z86" s="6">
        <f t="shared" si="63"/>
        <v>-0.9212532006030294</v>
      </c>
    </row>
    <row r="87" spans="1:26" s="27" customFormat="1" outlineLevel="1" collapsed="1" x14ac:dyDescent="0.25">
      <c r="A87" s="29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SUM(OSRRefD22_21x_0)</f>
        <v>0</v>
      </c>
      <c r="E87" s="1"/>
      <c r="F87" s="5">
        <f t="shared" si="56"/>
        <v>0</v>
      </c>
      <c r="G87" s="1"/>
      <c r="H87" s="1">
        <f>SUM(OSRRefH22_21x_0)</f>
        <v>174.39999999999998</v>
      </c>
      <c r="I87" s="1"/>
      <c r="J87" s="5">
        <f t="shared" si="57"/>
        <v>0</v>
      </c>
      <c r="K87" s="1"/>
      <c r="L87" s="1">
        <f t="shared" si="58"/>
        <v>-174.39999999999998</v>
      </c>
      <c r="M87" s="1"/>
      <c r="N87" s="5">
        <f t="shared" si="59"/>
        <v>-1</v>
      </c>
      <c r="O87" s="14"/>
      <c r="P87" s="1">
        <f>SUM(OSRRefP22_21x_0)</f>
        <v>59.89</v>
      </c>
      <c r="Q87" s="1"/>
      <c r="R87" s="5">
        <f t="shared" si="60"/>
        <v>0</v>
      </c>
      <c r="S87" s="1"/>
      <c r="T87" s="1">
        <f>SUM(OSRRefT22_21x_0)</f>
        <v>511.76</v>
      </c>
      <c r="U87" s="1"/>
      <c r="V87" s="5">
        <f t="shared" si="61"/>
        <v>0</v>
      </c>
      <c r="W87" s="1"/>
      <c r="X87" s="1">
        <f t="shared" si="62"/>
        <v>-451.87</v>
      </c>
      <c r="Y87" s="1"/>
      <c r="Z87" s="5">
        <f t="shared" si="63"/>
        <v>-0.88297248710332976</v>
      </c>
    </row>
    <row r="88" spans="1:26" s="24" customFormat="1" hidden="1" outlineLevel="2" x14ac:dyDescent="0.25">
      <c r="A88" s="28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56"/>
        <v>0</v>
      </c>
      <c r="G88" s="2"/>
      <c r="H88" s="7">
        <v>91.13</v>
      </c>
      <c r="I88" s="2"/>
      <c r="J88" s="6">
        <f t="shared" si="57"/>
        <v>0</v>
      </c>
      <c r="K88" s="2"/>
      <c r="L88" s="7">
        <f t="shared" si="58"/>
        <v>-91.13</v>
      </c>
      <c r="M88" s="2"/>
      <c r="N88" s="6">
        <f t="shared" si="59"/>
        <v>-1</v>
      </c>
      <c r="O88" s="11"/>
      <c r="P88" s="7"/>
      <c r="Q88" s="2"/>
      <c r="R88" s="6">
        <f t="shared" si="60"/>
        <v>0</v>
      </c>
      <c r="S88" s="2"/>
      <c r="T88" s="7">
        <v>341.77</v>
      </c>
      <c r="U88" s="2"/>
      <c r="V88" s="6">
        <f t="shared" si="61"/>
        <v>0</v>
      </c>
      <c r="W88" s="2"/>
      <c r="X88" s="7">
        <f t="shared" si="62"/>
        <v>-341.77</v>
      </c>
      <c r="Y88" s="2"/>
      <c r="Z88" s="6">
        <f t="shared" si="63"/>
        <v>-1</v>
      </c>
    </row>
    <row r="89" spans="1:26" s="24" customFormat="1" hidden="1" outlineLevel="2" x14ac:dyDescent="0.25">
      <c r="A89" s="28"/>
      <c r="B89" s="11" t="str">
        <f>CONCATENATE("          ", "6298", " - ", "VEHICLE MILEAGE")</f>
        <v xml:space="preserve">          6298 - VEHICLE MILEAGE</v>
      </c>
      <c r="C89" s="11"/>
      <c r="D89" s="7"/>
      <c r="E89" s="2"/>
      <c r="F89" s="6">
        <f t="shared" si="56"/>
        <v>0</v>
      </c>
      <c r="G89" s="2"/>
      <c r="H89" s="7">
        <v>83.27</v>
      </c>
      <c r="I89" s="2"/>
      <c r="J89" s="6">
        <f t="shared" si="57"/>
        <v>0</v>
      </c>
      <c r="K89" s="2"/>
      <c r="L89" s="7">
        <f t="shared" si="58"/>
        <v>-83.27</v>
      </c>
      <c r="M89" s="2"/>
      <c r="N89" s="6">
        <f t="shared" si="59"/>
        <v>-1</v>
      </c>
      <c r="O89" s="11"/>
      <c r="P89" s="7">
        <v>59.89</v>
      </c>
      <c r="Q89" s="2"/>
      <c r="R89" s="6">
        <f t="shared" si="60"/>
        <v>0</v>
      </c>
      <c r="S89" s="2"/>
      <c r="T89" s="7">
        <v>169.99</v>
      </c>
      <c r="U89" s="2"/>
      <c r="V89" s="6">
        <f t="shared" si="61"/>
        <v>0</v>
      </c>
      <c r="W89" s="2"/>
      <c r="X89" s="7">
        <f t="shared" si="62"/>
        <v>-110.10000000000001</v>
      </c>
      <c r="Y89" s="2"/>
      <c r="Z89" s="6">
        <f t="shared" si="63"/>
        <v>-0.64768515795046766</v>
      </c>
    </row>
    <row r="90" spans="1:26" s="27" customFormat="1" outlineLevel="1" collapsed="1" x14ac:dyDescent="0.25">
      <c r="A90" s="29"/>
      <c r="B90" s="14" t="str">
        <f>CONCATENATE("     ","Utilities                                         ")</f>
        <v xml:space="preserve">     Utilities                                         </v>
      </c>
      <c r="C90" s="14"/>
      <c r="D90" s="1">
        <f>SUM(OSRRefD22_22x_0)</f>
        <v>6133</v>
      </c>
      <c r="E90" s="1"/>
      <c r="F90" s="5">
        <f t="shared" ref="F90:F91" si="64">IF(D$12=0,0,D90/D$12)</f>
        <v>0</v>
      </c>
      <c r="G90" s="1"/>
      <c r="H90" s="1">
        <f>SUM(OSRRefH22_22x_0)</f>
        <v>5593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540</v>
      </c>
      <c r="M90" s="1"/>
      <c r="N90" s="5">
        <f t="shared" ref="N90:N91" si="67">IF(H90=0,0,L90/H90)</f>
        <v>9.6549258001072766E-2</v>
      </c>
      <c r="O90" s="14"/>
      <c r="P90" s="1">
        <f>SUM(OSRRefP22_22x_0)</f>
        <v>18399</v>
      </c>
      <c r="Q90" s="1"/>
      <c r="R90" s="5">
        <f t="shared" ref="R90:R91" si="68">IF(P$12=0,0,P90/P$12)</f>
        <v>0</v>
      </c>
      <c r="S90" s="1"/>
      <c r="T90" s="1">
        <f>SUM(OSRRefT22_22x_0)</f>
        <v>11186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7213</v>
      </c>
      <c r="Y90" s="1"/>
      <c r="Z90" s="5">
        <f t="shared" ref="Z90:Z91" si="71">IF(T90=0,0,X90/T90)</f>
        <v>0.6448238870016092</v>
      </c>
    </row>
    <row r="91" spans="1:26" s="24" customFormat="1" hidden="1" outlineLevel="2" x14ac:dyDescent="0.25">
      <c r="A91" s="28"/>
      <c r="B91" s="11" t="str">
        <f>CONCATENATE("          ", "6274", " - ", "UTILITIES")</f>
        <v xml:space="preserve">          6274 - UTILITIES</v>
      </c>
      <c r="C91" s="11"/>
      <c r="D91" s="7">
        <v>6133</v>
      </c>
      <c r="E91" s="2"/>
      <c r="F91" s="6">
        <f t="shared" si="64"/>
        <v>0</v>
      </c>
      <c r="G91" s="2"/>
      <c r="H91" s="7">
        <v>5593</v>
      </c>
      <c r="I91" s="2"/>
      <c r="J91" s="6">
        <f t="shared" si="65"/>
        <v>0</v>
      </c>
      <c r="K91" s="2"/>
      <c r="L91" s="7">
        <f t="shared" si="66"/>
        <v>540</v>
      </c>
      <c r="M91" s="2"/>
      <c r="N91" s="6">
        <f t="shared" si="67"/>
        <v>9.6549258001072766E-2</v>
      </c>
      <c r="O91" s="11"/>
      <c r="P91" s="7">
        <v>18399</v>
      </c>
      <c r="Q91" s="2"/>
      <c r="R91" s="6">
        <f t="shared" si="68"/>
        <v>0</v>
      </c>
      <c r="S91" s="2"/>
      <c r="T91" s="7">
        <v>11186</v>
      </c>
      <c r="U91" s="2"/>
      <c r="V91" s="6">
        <f t="shared" si="69"/>
        <v>0</v>
      </c>
      <c r="W91" s="2"/>
      <c r="X91" s="7">
        <f t="shared" si="70"/>
        <v>7213</v>
      </c>
      <c r="Y91" s="2"/>
      <c r="Z91" s="6">
        <f t="shared" si="71"/>
        <v>0.6448238870016092</v>
      </c>
    </row>
    <row r="92" spans="1:26" s="60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6" t="s">
        <v>0</v>
      </c>
      <c r="C93" s="10"/>
      <c r="D93" s="4">
        <f>SUM(OSRRefD25x_0)</f>
        <v>2929.62</v>
      </c>
      <c r="E93" s="4"/>
      <c r="F93" s="12">
        <f t="shared" ref="F93:F95" si="72">IF(D$12=0,0,D93/D$12)</f>
        <v>0</v>
      </c>
      <c r="G93" s="4"/>
      <c r="H93" s="4">
        <f>SUM(OSRRefH25x_0)</f>
        <v>14984.380000000001</v>
      </c>
      <c r="I93" s="4"/>
      <c r="J93" s="12">
        <f t="shared" ref="J93:J95" si="73">IF(H$12=0,0,H93/H$12)</f>
        <v>0</v>
      </c>
      <c r="K93" s="4"/>
      <c r="L93" s="4">
        <f t="shared" ref="L93:L95" si="74">+D93-H93</f>
        <v>-12054.760000000002</v>
      </c>
      <c r="M93" s="4"/>
      <c r="N93" s="12">
        <f t="shared" ref="N93:N95" si="75">IF(H93=0,0,L93/H93)</f>
        <v>-0.80448840726142834</v>
      </c>
      <c r="O93" s="10"/>
      <c r="P93" s="4">
        <f>SUM(OSRRefP25x_0)</f>
        <v>68150.55</v>
      </c>
      <c r="Q93" s="4"/>
      <c r="R93" s="12">
        <f t="shared" ref="R93:R95" si="76">IF(P$12=0,0,P93/P$12)</f>
        <v>0</v>
      </c>
      <c r="S93" s="4"/>
      <c r="T93" s="4">
        <f>SUM(OSRRefT25x_0)</f>
        <v>69634.3</v>
      </c>
      <c r="U93" s="4"/>
      <c r="V93" s="12">
        <f t="shared" ref="V93:V95" si="77">IF(T$12=0,0,T93/T$12)</f>
        <v>0</v>
      </c>
      <c r="W93" s="4"/>
      <c r="X93" s="4">
        <f t="shared" ref="X93:X95" si="78">+P93-T93</f>
        <v>-1483.75</v>
      </c>
      <c r="Y93" s="4"/>
      <c r="Z93" s="12">
        <f t="shared" ref="Z93:Z95" si="79">IF(T93=0,0,X93/T93)</f>
        <v>-2.1307746326163973E-2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>--2929.62</f>
        <v>2929.62</v>
      </c>
      <c r="E94" s="2"/>
      <c r="F94" s="19">
        <f t="shared" si="72"/>
        <v>0</v>
      </c>
      <c r="G94" s="2"/>
      <c r="H94" s="2">
        <f>--19202.56</f>
        <v>19202.560000000001</v>
      </c>
      <c r="I94" s="2"/>
      <c r="J94" s="19">
        <f t="shared" si="73"/>
        <v>0</v>
      </c>
      <c r="K94" s="2"/>
      <c r="L94" s="2">
        <f t="shared" si="74"/>
        <v>-16272.940000000002</v>
      </c>
      <c r="M94" s="2"/>
      <c r="N94" s="19">
        <f t="shared" si="75"/>
        <v>-0.84743596687108391</v>
      </c>
      <c r="O94" s="11"/>
      <c r="P94" s="2">
        <f>--68150.55</f>
        <v>68150.55</v>
      </c>
      <c r="Q94" s="2"/>
      <c r="R94" s="19">
        <f t="shared" si="76"/>
        <v>0</v>
      </c>
      <c r="S94" s="2"/>
      <c r="T94" s="2">
        <f>--74116.99</f>
        <v>74116.990000000005</v>
      </c>
      <c r="U94" s="2"/>
      <c r="V94" s="19">
        <f t="shared" si="77"/>
        <v>0</v>
      </c>
      <c r="W94" s="2"/>
      <c r="X94" s="2">
        <f t="shared" si="78"/>
        <v>-5966.4400000000023</v>
      </c>
      <c r="Y94" s="2"/>
      <c r="Z94" s="19">
        <f t="shared" si="79"/>
        <v>-8.0500300943144101E-2</v>
      </c>
    </row>
    <row r="95" spans="1:26" s="24" customFormat="1" hidden="1" outlineLevel="1" x14ac:dyDescent="0.25">
      <c r="A95" s="44"/>
      <c r="B95" s="11" t="str">
        <f>CONCATENATE("          ", "9151", " - ", "MISC. INCOME")</f>
        <v xml:space="preserve">          9151 - MISC. INCOME</v>
      </c>
      <c r="C95" s="11"/>
      <c r="D95" s="2">
        <f>0</f>
        <v>0</v>
      </c>
      <c r="E95" s="2"/>
      <c r="F95" s="19">
        <f t="shared" si="72"/>
        <v>0</v>
      </c>
      <c r="G95" s="2"/>
      <c r="H95" s="2">
        <f>-4218.18</f>
        <v>-4218.18</v>
      </c>
      <c r="I95" s="2"/>
      <c r="J95" s="19">
        <f t="shared" si="73"/>
        <v>0</v>
      </c>
      <c r="K95" s="2"/>
      <c r="L95" s="2">
        <f t="shared" si="74"/>
        <v>4218.18</v>
      </c>
      <c r="M95" s="2"/>
      <c r="N95" s="19">
        <f t="shared" si="75"/>
        <v>-1</v>
      </c>
      <c r="O95" s="11"/>
      <c r="P95" s="2">
        <f>0</f>
        <v>0</v>
      </c>
      <c r="Q95" s="2"/>
      <c r="R95" s="19">
        <f t="shared" si="76"/>
        <v>0</v>
      </c>
      <c r="S95" s="2"/>
      <c r="T95" s="2">
        <f>-4482.69</f>
        <v>-4482.6899999999996</v>
      </c>
      <c r="U95" s="2"/>
      <c r="V95" s="19">
        <f t="shared" si="77"/>
        <v>0</v>
      </c>
      <c r="W95" s="2"/>
      <c r="X95" s="2">
        <f t="shared" si="78"/>
        <v>4482.6899999999996</v>
      </c>
      <c r="Y95" s="2"/>
      <c r="Z95" s="19">
        <f t="shared" si="79"/>
        <v>-1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5" t="s">
        <v>3</v>
      </c>
      <c r="C97" s="25"/>
      <c r="D97" s="22">
        <f>+D16-D18+D93</f>
        <v>-106296.06000000001</v>
      </c>
      <c r="E97" s="13"/>
      <c r="F97" s="21">
        <f>IF(D$12=0,0,D97/D$12)</f>
        <v>0</v>
      </c>
      <c r="G97" s="13"/>
      <c r="H97" s="22">
        <f>+H16-H18+H93</f>
        <v>-125067.08999999997</v>
      </c>
      <c r="I97" s="13"/>
      <c r="J97" s="21">
        <f>IF(H$12=0,0,H97/H$12)</f>
        <v>0</v>
      </c>
      <c r="K97" s="15"/>
      <c r="L97" s="22">
        <f>+D97-H97</f>
        <v>18771.029999999955</v>
      </c>
      <c r="M97" s="15"/>
      <c r="N97" s="21">
        <f>IF(H97=0,0,L97/H97)</f>
        <v>-0.15008768493773988</v>
      </c>
      <c r="O97" s="26"/>
      <c r="P97" s="22">
        <f>+P16-P18+P93</f>
        <v>-348454.49000000005</v>
      </c>
      <c r="Q97" s="13"/>
      <c r="R97" s="21">
        <f>IF(P$12=0,0,P97/P$12)</f>
        <v>0</v>
      </c>
      <c r="S97" s="13"/>
      <c r="T97" s="22">
        <f>+T16-T18+T93</f>
        <v>-355944.76000000007</v>
      </c>
      <c r="U97" s="13"/>
      <c r="V97" s="21">
        <f>IF(T$12=0,0,T97/T$12)</f>
        <v>0</v>
      </c>
      <c r="W97" s="15"/>
      <c r="X97" s="22">
        <f>+P97-T97</f>
        <v>7490.2700000000186</v>
      </c>
      <c r="Y97" s="15"/>
      <c r="Z97" s="21">
        <f>IF(T97=0,0,X97/T97)</f>
        <v>-2.1043349535472912E-2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1"/>
      <c r="B99" s="10" t="s">
        <v>13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5" t="s">
        <v>4</v>
      </c>
      <c r="C101" s="25"/>
      <c r="D101" s="33">
        <f>+D97-D99</f>
        <v>-106296.06000000001</v>
      </c>
      <c r="E101" s="13"/>
      <c r="F101" s="32">
        <f>IF(D$12=0,0,D101/D$12)</f>
        <v>0</v>
      </c>
      <c r="G101" s="13"/>
      <c r="H101" s="33">
        <f>+H97-H99</f>
        <v>-125067.08999999997</v>
      </c>
      <c r="I101" s="13"/>
      <c r="J101" s="32">
        <f>IF(H$12=0,0,H101/H$12)</f>
        <v>0</v>
      </c>
      <c r="K101" s="15"/>
      <c r="L101" s="33">
        <f>D101-H101</f>
        <v>18771.029999999955</v>
      </c>
      <c r="M101" s="15"/>
      <c r="N101" s="32">
        <f>IF(H101=0,0,L101/H101)</f>
        <v>-0.15008768493773988</v>
      </c>
      <c r="O101" s="26"/>
      <c r="P101" s="33">
        <f>+P97-P99</f>
        <v>-348454.49000000005</v>
      </c>
      <c r="Q101" s="13"/>
      <c r="R101" s="32">
        <f>IF(P$12=0,0,P101/P$12)</f>
        <v>0</v>
      </c>
      <c r="S101" s="13"/>
      <c r="T101" s="33">
        <f>+T97-T99</f>
        <v>-355944.76000000007</v>
      </c>
      <c r="U101" s="13"/>
      <c r="V101" s="32">
        <f>IF(T$12=0,0,T101/T$12)</f>
        <v>0</v>
      </c>
      <c r="W101" s="15"/>
      <c r="X101" s="33">
        <f>P101-T101</f>
        <v>7490.2700000000186</v>
      </c>
      <c r="Y101" s="15"/>
      <c r="Z101" s="32">
        <f>IF(T101=0,0,X101/T101)</f>
        <v>-2.1043349535472912E-2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5" t="s">
        <v>5</v>
      </c>
      <c r="C104" s="25"/>
      <c r="D104" s="34">
        <f>SUM(D101:D103)</f>
        <v>-106296.06000000001</v>
      </c>
      <c r="E104" s="13"/>
      <c r="F104" s="31">
        <f>IF(D$12=0,0,D104/D$12)</f>
        <v>0</v>
      </c>
      <c r="G104" s="13"/>
      <c r="H104" s="34">
        <f>SUM(H101:H103)</f>
        <v>-125067.08999999997</v>
      </c>
      <c r="I104" s="13"/>
      <c r="J104" s="31">
        <f>IF(H$12=0,0,H104/H$12)</f>
        <v>0</v>
      </c>
      <c r="K104" s="15"/>
      <c r="L104" s="34">
        <f>+D104-H104</f>
        <v>18771.029999999955</v>
      </c>
      <c r="M104" s="15"/>
      <c r="N104" s="31">
        <f>IF(H104=0,0,L104/H104)</f>
        <v>-0.15008768493773988</v>
      </c>
      <c r="O104" s="26"/>
      <c r="P104" s="34">
        <f>SUM(P101:P103)</f>
        <v>-348454.49000000005</v>
      </c>
      <c r="Q104" s="13"/>
      <c r="R104" s="31">
        <f>IF(P$12=0,0,P104/P$12)</f>
        <v>0</v>
      </c>
      <c r="S104" s="13"/>
      <c r="T104" s="34">
        <f>SUM(T101:T103)</f>
        <v>-355944.76000000007</v>
      </c>
      <c r="U104" s="13"/>
      <c r="V104" s="31">
        <f>IF(T$12=0,0,T104/T$12)</f>
        <v>0</v>
      </c>
      <c r="W104" s="15"/>
      <c r="X104" s="34">
        <f>+P104-T104</f>
        <v>7490.2700000000186</v>
      </c>
      <c r="Y104" s="15"/>
      <c r="Z104" s="31">
        <f>IF(T104=0,0,X104/T104)</f>
        <v>-2.1043349535472912E-2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  <row r="106" spans="1:26" x14ac:dyDescent="0.25">
      <c r="A106" s="9"/>
      <c r="B106" s="54">
        <v>44123.565100196756</v>
      </c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9" t="s">
        <v>313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8"/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","306", " - ", "Warehouse")</f>
        <v>Department 306 - Warehouse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0</v>
      </c>
      <c r="E18" s="20"/>
      <c r="F18" s="36">
        <f t="shared" ref="F18:F28" si="0">IF(D$12=0,0,D18/D$12)</f>
        <v>0</v>
      </c>
      <c r="G18" s="20"/>
      <c r="H18" s="20">
        <f>SUM(OSRRefH22x_0)</f>
        <v>38445.409999999996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-38445.409999999996</v>
      </c>
      <c r="M18" s="4"/>
      <c r="N18" s="36">
        <f t="shared" ref="N18:N28" si="3">IF(H18=0,0,L18/H18)</f>
        <v>-1</v>
      </c>
      <c r="O18" s="10"/>
      <c r="P18" s="20">
        <f>SUM(OSRRefP22x_0)</f>
        <v>0.23</v>
      </c>
      <c r="Q18" s="20"/>
      <c r="R18" s="36">
        <f t="shared" ref="R18:R28" si="4">IF(P$12=0,0,P18/P$12)</f>
        <v>0</v>
      </c>
      <c r="S18" s="20"/>
      <c r="T18" s="20">
        <f>SUM(OSRRefT22x_0)</f>
        <v>149863.49000000002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-149863.26</v>
      </c>
      <c r="Y18" s="4"/>
      <c r="Z18" s="36">
        <f t="shared" ref="Z18:Z28" si="7">IF(T18=0,0,X18/T18)</f>
        <v>-0.99999846526995995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5633.09</v>
      </c>
      <c r="I19" s="1"/>
      <c r="J19" s="5">
        <f t="shared" si="1"/>
        <v>0</v>
      </c>
      <c r="K19" s="1"/>
      <c r="L19" s="1">
        <f t="shared" si="2"/>
        <v>-5633.09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21327.910000000007</v>
      </c>
      <c r="U19" s="1"/>
      <c r="V19" s="5">
        <f t="shared" si="5"/>
        <v>0</v>
      </c>
      <c r="W19" s="1"/>
      <c r="X19" s="1">
        <f t="shared" si="6"/>
        <v>-21327.910000000007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1016.39</v>
      </c>
      <c r="I20" s="2"/>
      <c r="J20" s="6">
        <f t="shared" si="1"/>
        <v>0</v>
      </c>
      <c r="K20" s="2"/>
      <c r="L20" s="7">
        <f t="shared" si="2"/>
        <v>-1016.39</v>
      </c>
      <c r="M20" s="2"/>
      <c r="N20" s="6">
        <f t="shared" si="3"/>
        <v>-1</v>
      </c>
      <c r="O20" s="11"/>
      <c r="P20" s="7">
        <v>401.9</v>
      </c>
      <c r="Q20" s="2"/>
      <c r="R20" s="6">
        <f t="shared" si="4"/>
        <v>0</v>
      </c>
      <c r="S20" s="2"/>
      <c r="T20" s="7">
        <v>6790.63</v>
      </c>
      <c r="U20" s="2"/>
      <c r="V20" s="6">
        <f t="shared" si="5"/>
        <v>0</v>
      </c>
      <c r="W20" s="2"/>
      <c r="X20" s="7">
        <f t="shared" si="6"/>
        <v>-6388.7300000000005</v>
      </c>
      <c r="Y20" s="2"/>
      <c r="Z20" s="6">
        <f t="shared" si="7"/>
        <v>-0.94081550607233799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855.44</v>
      </c>
      <c r="I21" s="2"/>
      <c r="J21" s="6">
        <f t="shared" si="1"/>
        <v>0</v>
      </c>
      <c r="K21" s="2"/>
      <c r="L21" s="7">
        <f t="shared" si="2"/>
        <v>-855.44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2364.3200000000002</v>
      </c>
      <c r="U21" s="2"/>
      <c r="V21" s="6">
        <f t="shared" si="5"/>
        <v>0</v>
      </c>
      <c r="W21" s="2"/>
      <c r="X21" s="7">
        <f t="shared" si="6"/>
        <v>-2364.3200000000002</v>
      </c>
      <c r="Y21" s="2"/>
      <c r="Z21" s="6">
        <f t="shared" si="7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1949.27</v>
      </c>
      <c r="I22" s="2"/>
      <c r="J22" s="6">
        <f t="shared" si="1"/>
        <v>0</v>
      </c>
      <c r="K22" s="2"/>
      <c r="L22" s="7">
        <f t="shared" si="2"/>
        <v>-1949.27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5847.81</v>
      </c>
      <c r="U22" s="2"/>
      <c r="V22" s="6">
        <f t="shared" si="5"/>
        <v>0</v>
      </c>
      <c r="W22" s="2"/>
      <c r="X22" s="7">
        <f t="shared" si="6"/>
        <v>-5847.81</v>
      </c>
      <c r="Y22" s="2"/>
      <c r="Z22" s="6">
        <f t="shared" si="7"/>
        <v>-1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117.06</v>
      </c>
      <c r="I23" s="2"/>
      <c r="J23" s="6">
        <f t="shared" si="1"/>
        <v>0</v>
      </c>
      <c r="K23" s="2"/>
      <c r="L23" s="7">
        <f t="shared" si="2"/>
        <v>-117.06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315.75</v>
      </c>
      <c r="U23" s="2"/>
      <c r="V23" s="6">
        <f t="shared" si="5"/>
        <v>0</v>
      </c>
      <c r="W23" s="2"/>
      <c r="X23" s="7">
        <f t="shared" si="6"/>
        <v>-315.75</v>
      </c>
      <c r="Y23" s="2"/>
      <c r="Z23" s="6">
        <f t="shared" si="7"/>
        <v>-1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691.3</v>
      </c>
      <c r="I24" s="2"/>
      <c r="J24" s="6">
        <f t="shared" si="1"/>
        <v>0</v>
      </c>
      <c r="K24" s="2"/>
      <c r="L24" s="7">
        <f t="shared" si="2"/>
        <v>-691.3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2073.9</v>
      </c>
      <c r="U24" s="2"/>
      <c r="V24" s="6">
        <f t="shared" si="5"/>
        <v>0</v>
      </c>
      <c r="W24" s="2"/>
      <c r="X24" s="7">
        <f t="shared" si="6"/>
        <v>-2073.9</v>
      </c>
      <c r="Y24" s="2"/>
      <c r="Z24" s="6">
        <f t="shared" si="7"/>
        <v>-1</v>
      </c>
    </row>
    <row r="25" spans="1:26" s="24" customFormat="1" hidden="1" outlineLevel="2" x14ac:dyDescent="0.25">
      <c r="A25" s="28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-401.9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-401.9</v>
      </c>
      <c r="Y25" s="2"/>
      <c r="Z25" s="6">
        <f t="shared" si="7"/>
        <v>0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280.8</v>
      </c>
      <c r="I26" s="2"/>
      <c r="J26" s="6">
        <f t="shared" si="1"/>
        <v>0</v>
      </c>
      <c r="K26" s="2"/>
      <c r="L26" s="7">
        <f t="shared" si="2"/>
        <v>-280.8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1044.6500000000001</v>
      </c>
      <c r="U26" s="2"/>
      <c r="V26" s="6">
        <f t="shared" si="5"/>
        <v>0</v>
      </c>
      <c r="W26" s="2"/>
      <c r="X26" s="7">
        <f t="shared" si="6"/>
        <v>-1044.6500000000001</v>
      </c>
      <c r="Y26" s="2"/>
      <c r="Z26" s="6">
        <f t="shared" si="7"/>
        <v>-1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374.44</v>
      </c>
      <c r="I27" s="2"/>
      <c r="J27" s="6">
        <f t="shared" si="1"/>
        <v>0</v>
      </c>
      <c r="K27" s="2"/>
      <c r="L27" s="7">
        <f t="shared" si="2"/>
        <v>-374.44</v>
      </c>
      <c r="M27" s="2"/>
      <c r="N27" s="6">
        <f t="shared" si="3"/>
        <v>-1</v>
      </c>
      <c r="O27" s="11"/>
      <c r="P27" s="7"/>
      <c r="Q27" s="2"/>
      <c r="R27" s="6">
        <f t="shared" si="4"/>
        <v>0</v>
      </c>
      <c r="S27" s="2"/>
      <c r="T27" s="7">
        <v>2001.95</v>
      </c>
      <c r="U27" s="2"/>
      <c r="V27" s="6">
        <f t="shared" si="5"/>
        <v>0</v>
      </c>
      <c r="W27" s="2"/>
      <c r="X27" s="7">
        <f t="shared" si="6"/>
        <v>-2001.95</v>
      </c>
      <c r="Y27" s="2"/>
      <c r="Z27" s="6">
        <f t="shared" si="7"/>
        <v>-1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348.39</v>
      </c>
      <c r="I28" s="2"/>
      <c r="J28" s="6">
        <f t="shared" si="1"/>
        <v>0</v>
      </c>
      <c r="K28" s="2"/>
      <c r="L28" s="7">
        <f t="shared" si="2"/>
        <v>-348.39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888.9</v>
      </c>
      <c r="U28" s="2"/>
      <c r="V28" s="6">
        <f t="shared" si="5"/>
        <v>0</v>
      </c>
      <c r="W28" s="2"/>
      <c r="X28" s="7">
        <f t="shared" si="6"/>
        <v>-888.9</v>
      </c>
      <c r="Y28" s="2"/>
      <c r="Z28" s="6">
        <f t="shared" si="7"/>
        <v>-1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32421.310000000005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-32421.310000000005</v>
      </c>
      <c r="M29" s="1"/>
      <c r="N29" s="5">
        <f t="shared" ref="N29:N35" si="11">IF(H29=0,0,L29/H29)</f>
        <v>-1</v>
      </c>
      <c r="O29" s="14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127643.68999999999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-127643.45999999999</v>
      </c>
      <c r="Y29" s="1"/>
      <c r="Z29" s="5">
        <f t="shared" ref="Z29:Z35" si="15">IF(T29=0,0,X29/T29)</f>
        <v>-0.99999819810912705</v>
      </c>
    </row>
    <row r="30" spans="1:26" s="24" customFormat="1" hidden="1" outlineLevel="2" x14ac:dyDescent="0.25">
      <c r="A30" s="28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8117.84</v>
      </c>
      <c r="I30" s="2"/>
      <c r="J30" s="6">
        <f t="shared" si="9"/>
        <v>0</v>
      </c>
      <c r="K30" s="2"/>
      <c r="L30" s="7">
        <f t="shared" si="10"/>
        <v>-8117.84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25614.52</v>
      </c>
      <c r="U30" s="2"/>
      <c r="V30" s="6">
        <f t="shared" si="13"/>
        <v>0</v>
      </c>
      <c r="W30" s="2"/>
      <c r="X30" s="7">
        <f t="shared" si="14"/>
        <v>-25614.52</v>
      </c>
      <c r="Y30" s="2"/>
      <c r="Z30" s="6">
        <f t="shared" si="15"/>
        <v>-1</v>
      </c>
    </row>
    <row r="31" spans="1:26" s="24" customFormat="1" hidden="1" outlineLevel="2" x14ac:dyDescent="0.25">
      <c r="A31" s="28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0.23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0.23</v>
      </c>
      <c r="Y31" s="2"/>
      <c r="Z31" s="6">
        <f t="shared" si="15"/>
        <v>0</v>
      </c>
    </row>
    <row r="32" spans="1:26" s="24" customFormat="1" hidden="1" outlineLevel="2" x14ac:dyDescent="0.25">
      <c r="A32" s="28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8"/>
        <v>0</v>
      </c>
      <c r="G32" s="2"/>
      <c r="H32" s="7">
        <v>2292.7399999999998</v>
      </c>
      <c r="I32" s="2"/>
      <c r="J32" s="6">
        <f t="shared" si="9"/>
        <v>0</v>
      </c>
      <c r="K32" s="2"/>
      <c r="L32" s="7">
        <f t="shared" si="10"/>
        <v>-2292.7399999999998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7519.68</v>
      </c>
      <c r="U32" s="2"/>
      <c r="V32" s="6">
        <f t="shared" si="13"/>
        <v>0</v>
      </c>
      <c r="W32" s="2"/>
      <c r="X32" s="7">
        <f t="shared" si="14"/>
        <v>-7519.68</v>
      </c>
      <c r="Y32" s="2"/>
      <c r="Z32" s="6">
        <f t="shared" si="15"/>
        <v>-1</v>
      </c>
    </row>
    <row r="33" spans="1:26" s="24" customFormat="1" hidden="1" outlineLevel="2" x14ac:dyDescent="0.25">
      <c r="A33" s="28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8"/>
        <v>0</v>
      </c>
      <c r="G33" s="2"/>
      <c r="H33" s="7">
        <v>2833.5</v>
      </c>
      <c r="I33" s="2"/>
      <c r="J33" s="6">
        <f t="shared" si="9"/>
        <v>0</v>
      </c>
      <c r="K33" s="2"/>
      <c r="L33" s="7">
        <f t="shared" si="10"/>
        <v>-2833.5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7297.5</v>
      </c>
      <c r="U33" s="2"/>
      <c r="V33" s="6">
        <f t="shared" si="13"/>
        <v>0</v>
      </c>
      <c r="W33" s="2"/>
      <c r="X33" s="7">
        <f t="shared" si="14"/>
        <v>-7297.5</v>
      </c>
      <c r="Y33" s="2"/>
      <c r="Z33" s="6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8"/>
        <v>0</v>
      </c>
      <c r="G34" s="2"/>
      <c r="H34" s="7">
        <v>17764.230000000003</v>
      </c>
      <c r="I34" s="2"/>
      <c r="J34" s="6">
        <f t="shared" si="9"/>
        <v>0</v>
      </c>
      <c r="K34" s="2"/>
      <c r="L34" s="7">
        <f t="shared" si="10"/>
        <v>-17764.230000000003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84334.989999999991</v>
      </c>
      <c r="U34" s="2"/>
      <c r="V34" s="6">
        <f t="shared" si="13"/>
        <v>0</v>
      </c>
      <c r="W34" s="2"/>
      <c r="X34" s="7">
        <f t="shared" si="14"/>
        <v>-84334.989999999991</v>
      </c>
      <c r="Y34" s="2"/>
      <c r="Z34" s="6">
        <f t="shared" si="15"/>
        <v>-1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8"/>
        <v>0</v>
      </c>
      <c r="G35" s="2"/>
      <c r="H35" s="7">
        <v>1413</v>
      </c>
      <c r="I35" s="2"/>
      <c r="J35" s="6">
        <f t="shared" si="9"/>
        <v>0</v>
      </c>
      <c r="K35" s="2"/>
      <c r="L35" s="7">
        <f t="shared" si="10"/>
        <v>-1413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2877</v>
      </c>
      <c r="U35" s="2"/>
      <c r="V35" s="6">
        <f t="shared" si="13"/>
        <v>0</v>
      </c>
      <c r="W35" s="2"/>
      <c r="X35" s="7">
        <f t="shared" si="14"/>
        <v>-2877</v>
      </c>
      <c r="Y35" s="2"/>
      <c r="Z35" s="6">
        <f t="shared" si="15"/>
        <v>-1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2" si="16">IF(D$12=0,0,D36/D$12)</f>
        <v>0</v>
      </c>
      <c r="G36" s="1"/>
      <c r="H36" s="1">
        <f>SUM(OSRRefH22_2x_0)</f>
        <v>0</v>
      </c>
      <c r="I36" s="1"/>
      <c r="J36" s="5">
        <f t="shared" ref="J36:J42" si="17">IF(H$12=0,0,H36/H$12)</f>
        <v>0</v>
      </c>
      <c r="K36" s="1"/>
      <c r="L36" s="1">
        <f t="shared" ref="L36:L42" si="18">+D36-H36</f>
        <v>0</v>
      </c>
      <c r="M36" s="1"/>
      <c r="N36" s="5">
        <f t="shared" ref="N36:N42" si="19">IF(H36=0,0,L36/H36)</f>
        <v>0</v>
      </c>
      <c r="O36" s="14"/>
      <c r="P36" s="1">
        <f>SUM(OSRRefP22_2x_0)</f>
        <v>0</v>
      </c>
      <c r="Q36" s="1"/>
      <c r="R36" s="5">
        <f t="shared" ref="R36:R42" si="20">IF(P$12=0,0,P36/P$12)</f>
        <v>0</v>
      </c>
      <c r="S36" s="1"/>
      <c r="T36" s="1">
        <f>SUM(OSRRefT22_2x_0)</f>
        <v>138</v>
      </c>
      <c r="U36" s="1"/>
      <c r="V36" s="5">
        <f t="shared" ref="V36:V42" si="21">IF(T$12=0,0,T36/T$12)</f>
        <v>0</v>
      </c>
      <c r="W36" s="1"/>
      <c r="X36" s="1">
        <f t="shared" ref="X36:X42" si="22">+P36-T36</f>
        <v>-138</v>
      </c>
      <c r="Y36" s="1"/>
      <c r="Z36" s="5">
        <f t="shared" ref="Z36:Z42" si="23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138</v>
      </c>
      <c r="U37" s="2"/>
      <c r="V37" s="6">
        <f t="shared" si="21"/>
        <v>0</v>
      </c>
      <c r="W37" s="2"/>
      <c r="X37" s="7">
        <f t="shared" si="22"/>
        <v>-138</v>
      </c>
      <c r="Y37" s="2"/>
      <c r="Z37" s="6">
        <f t="shared" si="23"/>
        <v>-1</v>
      </c>
    </row>
    <row r="38" spans="1:26" s="27" customFormat="1" outlineLevel="1" collapsed="1" x14ac:dyDescent="0.25">
      <c r="A38" s="29"/>
      <c r="B38" s="14" t="str">
        <f>CONCATENATE("     ","Repair and Maintenance                            ")</f>
        <v xml:space="preserve">     Repair and Maintenance                            </v>
      </c>
      <c r="C38" s="14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14.56</v>
      </c>
      <c r="I38" s="1"/>
      <c r="J38" s="5">
        <f t="shared" si="17"/>
        <v>0</v>
      </c>
      <c r="K38" s="1"/>
      <c r="L38" s="1">
        <f t="shared" si="18"/>
        <v>-14.56</v>
      </c>
      <c r="M38" s="1"/>
      <c r="N38" s="5">
        <f t="shared" si="19"/>
        <v>-1</v>
      </c>
      <c r="O38" s="14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14.56</v>
      </c>
      <c r="U38" s="1"/>
      <c r="V38" s="5">
        <f t="shared" si="21"/>
        <v>0</v>
      </c>
      <c r="W38" s="1"/>
      <c r="X38" s="1">
        <f t="shared" si="22"/>
        <v>-14.56</v>
      </c>
      <c r="Y38" s="1"/>
      <c r="Z38" s="5">
        <f t="shared" si="23"/>
        <v>-1</v>
      </c>
    </row>
    <row r="39" spans="1:26" s="24" customFormat="1" hidden="1" outlineLevel="2" x14ac:dyDescent="0.25">
      <c r="A39" s="28"/>
      <c r="B39" s="11" t="str">
        <f>CONCATENATE("          ", "6373", " - ", "MAINTENANCE CONTRACTS")</f>
        <v xml:space="preserve">          6373 - MAINTENANCE CONTRACTS</v>
      </c>
      <c r="C39" s="11"/>
      <c r="D39" s="7"/>
      <c r="E39" s="2"/>
      <c r="F39" s="6">
        <f t="shared" si="16"/>
        <v>0</v>
      </c>
      <c r="G39" s="2"/>
      <c r="H39" s="7">
        <v>14.56</v>
      </c>
      <c r="I39" s="2"/>
      <c r="J39" s="6">
        <f t="shared" si="17"/>
        <v>0</v>
      </c>
      <c r="K39" s="2"/>
      <c r="L39" s="7">
        <f t="shared" si="18"/>
        <v>-14.56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14.56</v>
      </c>
      <c r="U39" s="2"/>
      <c r="V39" s="6">
        <f t="shared" si="21"/>
        <v>0</v>
      </c>
      <c r="W39" s="2"/>
      <c r="X39" s="7">
        <f t="shared" si="22"/>
        <v>-14.56</v>
      </c>
      <c r="Y39" s="2"/>
      <c r="Z39" s="6">
        <f t="shared" si="23"/>
        <v>-1</v>
      </c>
    </row>
    <row r="40" spans="1:26" s="27" customFormat="1" outlineLevel="1" collapsed="1" x14ac:dyDescent="0.25">
      <c r="A40" s="29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161.44999999999999</v>
      </c>
      <c r="I40" s="1"/>
      <c r="J40" s="5">
        <f t="shared" si="17"/>
        <v>0</v>
      </c>
      <c r="K40" s="1"/>
      <c r="L40" s="1">
        <f t="shared" si="18"/>
        <v>-161.44999999999999</v>
      </c>
      <c r="M40" s="1"/>
      <c r="N40" s="5">
        <f t="shared" si="19"/>
        <v>-1</v>
      </c>
      <c r="O40" s="14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296.48</v>
      </c>
      <c r="U40" s="1"/>
      <c r="V40" s="5">
        <f t="shared" si="21"/>
        <v>0</v>
      </c>
      <c r="W40" s="1"/>
      <c r="X40" s="1">
        <f t="shared" si="22"/>
        <v>-296.48</v>
      </c>
      <c r="Y40" s="1"/>
      <c r="Z40" s="5">
        <f t="shared" si="23"/>
        <v>-1</v>
      </c>
    </row>
    <row r="41" spans="1:26" s="24" customFormat="1" hidden="1" outlineLevel="2" x14ac:dyDescent="0.25">
      <c r="A41" s="28"/>
      <c r="B41" s="11" t="str">
        <f>CONCATENATE("          ", "6241", " - ", "OFFICE EXPENSE")</f>
        <v xml:space="preserve">          6241 - OFFICE EXPENSE</v>
      </c>
      <c r="C41" s="11"/>
      <c r="D41" s="7"/>
      <c r="E41" s="2"/>
      <c r="F41" s="6">
        <f t="shared" si="16"/>
        <v>0</v>
      </c>
      <c r="G41" s="2"/>
      <c r="H41" s="7">
        <v>8.81</v>
      </c>
      <c r="I41" s="2"/>
      <c r="J41" s="6">
        <f t="shared" si="17"/>
        <v>0</v>
      </c>
      <c r="K41" s="2"/>
      <c r="L41" s="7">
        <f t="shared" si="18"/>
        <v>-8.81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143.84</v>
      </c>
      <c r="U41" s="2"/>
      <c r="V41" s="6">
        <f t="shared" si="21"/>
        <v>0</v>
      </c>
      <c r="W41" s="2"/>
      <c r="X41" s="7">
        <f t="shared" si="22"/>
        <v>-143.84</v>
      </c>
      <c r="Y41" s="2"/>
      <c r="Z41" s="6">
        <f t="shared" si="23"/>
        <v>-1</v>
      </c>
    </row>
    <row r="42" spans="1:26" s="24" customFormat="1" hidden="1" outlineLevel="2" x14ac:dyDescent="0.25">
      <c r="A42" s="28"/>
      <c r="B42" s="11" t="str">
        <f>CONCATENATE("          ", "6247", " - ", "STORE SUPPLIES")</f>
        <v xml:space="preserve">          6247 - STORE SUPPLIES</v>
      </c>
      <c r="C42" s="11"/>
      <c r="D42" s="7"/>
      <c r="E42" s="2"/>
      <c r="F42" s="6">
        <f t="shared" si="16"/>
        <v>0</v>
      </c>
      <c r="G42" s="2"/>
      <c r="H42" s="7">
        <v>152.63999999999999</v>
      </c>
      <c r="I42" s="2"/>
      <c r="J42" s="6">
        <f t="shared" si="17"/>
        <v>0</v>
      </c>
      <c r="K42" s="2"/>
      <c r="L42" s="7">
        <f t="shared" si="18"/>
        <v>-152.63999999999999</v>
      </c>
      <c r="M42" s="2"/>
      <c r="N42" s="6">
        <f t="shared" si="19"/>
        <v>-1</v>
      </c>
      <c r="O42" s="11"/>
      <c r="P42" s="7"/>
      <c r="Q42" s="2"/>
      <c r="R42" s="6">
        <f t="shared" si="20"/>
        <v>0</v>
      </c>
      <c r="S42" s="2"/>
      <c r="T42" s="7">
        <v>152.63999999999999</v>
      </c>
      <c r="U42" s="2"/>
      <c r="V42" s="6">
        <f t="shared" si="21"/>
        <v>0</v>
      </c>
      <c r="W42" s="2"/>
      <c r="X42" s="7">
        <f t="shared" si="22"/>
        <v>-152.63999999999999</v>
      </c>
      <c r="Y42" s="2"/>
      <c r="Z42" s="6">
        <f t="shared" si="23"/>
        <v>-1</v>
      </c>
    </row>
    <row r="43" spans="1:26" s="27" customFormat="1" outlineLevel="1" collapsed="1" x14ac:dyDescent="0.25">
      <c r="A43" s="29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SUM(OSRRefD22_5x_0)</f>
        <v>0</v>
      </c>
      <c r="E43" s="1"/>
      <c r="F43" s="5">
        <f t="shared" ref="F43:F44" si="24">IF(D$12=0,0,D43/D$12)</f>
        <v>0</v>
      </c>
      <c r="G43" s="1"/>
      <c r="H43" s="1">
        <f>SUM(OSRRefH22_5x_0)</f>
        <v>215</v>
      </c>
      <c r="I43" s="1"/>
      <c r="J43" s="5">
        <f t="shared" ref="J43:J44" si="25">IF(H$12=0,0,H43/H$12)</f>
        <v>0</v>
      </c>
      <c r="K43" s="1"/>
      <c r="L43" s="1">
        <f t="shared" ref="L43:L44" si="26">+D43-H43</f>
        <v>-215</v>
      </c>
      <c r="M43" s="1"/>
      <c r="N43" s="5">
        <f t="shared" ref="N43:N44" si="27">IF(H43=0,0,L43/H43)</f>
        <v>-1</v>
      </c>
      <c r="O43" s="14"/>
      <c r="P43" s="1">
        <f>SUM(OSRRefP22_5x_0)</f>
        <v>0</v>
      </c>
      <c r="Q43" s="1"/>
      <c r="R43" s="5">
        <f t="shared" ref="R43:R44" si="28">IF(P$12=0,0,P43/P$12)</f>
        <v>0</v>
      </c>
      <c r="S43" s="1"/>
      <c r="T43" s="1">
        <f>SUM(OSRRefT22_5x_0)</f>
        <v>442.85</v>
      </c>
      <c r="U43" s="1"/>
      <c r="V43" s="5">
        <f t="shared" ref="V43:V44" si="29">IF(T$12=0,0,T43/T$12)</f>
        <v>0</v>
      </c>
      <c r="W43" s="1"/>
      <c r="X43" s="1">
        <f t="shared" ref="X43:X44" si="30">+P43-T43</f>
        <v>-442.85</v>
      </c>
      <c r="Y43" s="1"/>
      <c r="Z43" s="5">
        <f t="shared" ref="Z43:Z44" si="31">IF(T43=0,0,X43/T43)</f>
        <v>-1</v>
      </c>
    </row>
    <row r="44" spans="1:26" s="24" customFormat="1" hidden="1" outlineLevel="2" x14ac:dyDescent="0.25">
      <c r="A44" s="28"/>
      <c r="B44" s="11" t="str">
        <f>CONCATENATE("          ", "6309", " - ", "TELEPHONE")</f>
        <v xml:space="preserve">          6309 - TELEPHONE</v>
      </c>
      <c r="C44" s="11"/>
      <c r="D44" s="7"/>
      <c r="E44" s="2"/>
      <c r="F44" s="6">
        <f t="shared" si="24"/>
        <v>0</v>
      </c>
      <c r="G44" s="2"/>
      <c r="H44" s="7">
        <v>215</v>
      </c>
      <c r="I44" s="2"/>
      <c r="J44" s="6">
        <f t="shared" si="25"/>
        <v>0</v>
      </c>
      <c r="K44" s="2"/>
      <c r="L44" s="7">
        <f t="shared" si="26"/>
        <v>-215</v>
      </c>
      <c r="M44" s="2"/>
      <c r="N44" s="6">
        <f t="shared" si="27"/>
        <v>-1</v>
      </c>
      <c r="O44" s="11"/>
      <c r="P44" s="7"/>
      <c r="Q44" s="2"/>
      <c r="R44" s="6">
        <f t="shared" si="28"/>
        <v>0</v>
      </c>
      <c r="S44" s="2"/>
      <c r="T44" s="7">
        <v>442.85</v>
      </c>
      <c r="U44" s="2"/>
      <c r="V44" s="6">
        <f t="shared" si="29"/>
        <v>0</v>
      </c>
      <c r="W44" s="2"/>
      <c r="X44" s="7">
        <f t="shared" si="30"/>
        <v>-442.85</v>
      </c>
      <c r="Y44" s="2"/>
      <c r="Z44" s="6">
        <f t="shared" si="31"/>
        <v>-1</v>
      </c>
    </row>
    <row r="45" spans="1:26" s="60" customFormat="1" x14ac:dyDescent="0.25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25">
      <c r="A46" s="10"/>
      <c r="B46" s="26" t="s">
        <v>0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5" t="s">
        <v>3</v>
      </c>
      <c r="C48" s="25"/>
      <c r="D48" s="22">
        <f>+D16-D18+D46</f>
        <v>0</v>
      </c>
      <c r="E48" s="13"/>
      <c r="F48" s="21">
        <f>IF(D$12=0,0,D48/D$12)</f>
        <v>0</v>
      </c>
      <c r="G48" s="13"/>
      <c r="H48" s="22">
        <f>+H16-H18+H46</f>
        <v>-38445.409999999996</v>
      </c>
      <c r="I48" s="13"/>
      <c r="J48" s="21">
        <f>IF(H$12=0,0,H48/H$12)</f>
        <v>0</v>
      </c>
      <c r="K48" s="15"/>
      <c r="L48" s="22">
        <f>+D48-H48</f>
        <v>38445.409999999996</v>
      </c>
      <c r="M48" s="15"/>
      <c r="N48" s="21">
        <f>IF(H48=0,0,L48/H48)</f>
        <v>-1</v>
      </c>
      <c r="O48" s="26"/>
      <c r="P48" s="22">
        <f>+P16-P18+P46</f>
        <v>-0.23</v>
      </c>
      <c r="Q48" s="13"/>
      <c r="R48" s="21">
        <f>IF(P$12=0,0,P48/P$12)</f>
        <v>0</v>
      </c>
      <c r="S48" s="13"/>
      <c r="T48" s="22">
        <f>+T16-T18+T46</f>
        <v>-149863.49000000002</v>
      </c>
      <c r="U48" s="13"/>
      <c r="V48" s="21">
        <f>IF(T$12=0,0,T48/T$12)</f>
        <v>0</v>
      </c>
      <c r="W48" s="15"/>
      <c r="X48" s="22">
        <f>+P48-T48</f>
        <v>149863.26</v>
      </c>
      <c r="Y48" s="15"/>
      <c r="Z48" s="21">
        <f>IF(T48=0,0,X48/T48)</f>
        <v>-0.99999846526995995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51"/>
      <c r="B50" s="10" t="s">
        <v>13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5" t="s">
        <v>4</v>
      </c>
      <c r="C52" s="25"/>
      <c r="D52" s="33">
        <f>+D48-D50</f>
        <v>0</v>
      </c>
      <c r="E52" s="13"/>
      <c r="F52" s="32">
        <f>IF(D$12=0,0,D52/D$12)</f>
        <v>0</v>
      </c>
      <c r="G52" s="13"/>
      <c r="H52" s="33">
        <f>+H48-H50</f>
        <v>-38445.409999999996</v>
      </c>
      <c r="I52" s="13"/>
      <c r="J52" s="32">
        <f>IF(H$12=0,0,H52/H$12)</f>
        <v>0</v>
      </c>
      <c r="K52" s="15"/>
      <c r="L52" s="33">
        <f>D52-H52</f>
        <v>38445.409999999996</v>
      </c>
      <c r="M52" s="15"/>
      <c r="N52" s="32">
        <f>IF(H52=0,0,L52/H52)</f>
        <v>-1</v>
      </c>
      <c r="O52" s="26"/>
      <c r="P52" s="33">
        <f>+P48-P50</f>
        <v>-0.23</v>
      </c>
      <c r="Q52" s="13"/>
      <c r="R52" s="32">
        <f>IF(P$12=0,0,P52/P$12)</f>
        <v>0</v>
      </c>
      <c r="S52" s="13"/>
      <c r="T52" s="33">
        <f>+T48-T50</f>
        <v>-149863.49000000002</v>
      </c>
      <c r="U52" s="13"/>
      <c r="V52" s="32">
        <f>IF(T$12=0,0,T52/T$12)</f>
        <v>0</v>
      </c>
      <c r="W52" s="15"/>
      <c r="X52" s="33">
        <f>P52-T52</f>
        <v>149863.26</v>
      </c>
      <c r="Y52" s="15"/>
      <c r="Z52" s="32">
        <f>IF(T52=0,0,X52/T52)</f>
        <v>-0.99999846526995995</v>
      </c>
    </row>
    <row r="53" spans="1:26" ht="15.75" thickTop="1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.75" thickBot="1" x14ac:dyDescent="0.3">
      <c r="A55" s="10"/>
      <c r="B55" s="25" t="s">
        <v>5</v>
      </c>
      <c r="C55" s="25"/>
      <c r="D55" s="34">
        <f>SUM(D52:D54)</f>
        <v>0</v>
      </c>
      <c r="E55" s="13"/>
      <c r="F55" s="31">
        <f>IF(D$12=0,0,D55/D$12)</f>
        <v>0</v>
      </c>
      <c r="G55" s="13"/>
      <c r="H55" s="34">
        <f>SUM(H52:H54)</f>
        <v>-38445.409999999996</v>
      </c>
      <c r="I55" s="13"/>
      <c r="J55" s="31">
        <f>IF(H$12=0,0,H55/H$12)</f>
        <v>0</v>
      </c>
      <c r="K55" s="15"/>
      <c r="L55" s="34">
        <f>+D55-H55</f>
        <v>38445.409999999996</v>
      </c>
      <c r="M55" s="15"/>
      <c r="N55" s="31">
        <f>IF(H55=0,0,L55/H55)</f>
        <v>-1</v>
      </c>
      <c r="O55" s="26"/>
      <c r="P55" s="34">
        <f>SUM(P52:P54)</f>
        <v>-0.23</v>
      </c>
      <c r="Q55" s="13"/>
      <c r="R55" s="31">
        <f>IF(P$12=0,0,P55/P$12)</f>
        <v>0</v>
      </c>
      <c r="S55" s="13"/>
      <c r="T55" s="34">
        <f>SUM(T52:T54)</f>
        <v>-149863.49000000002</v>
      </c>
      <c r="U55" s="13"/>
      <c r="V55" s="31">
        <f>IF(T$12=0,0,T55/T$12)</f>
        <v>0</v>
      </c>
      <c r="W55" s="15"/>
      <c r="X55" s="34">
        <f>+P55-T55</f>
        <v>149863.26</v>
      </c>
      <c r="Y55" s="15"/>
      <c r="Z55" s="31">
        <f>IF(T55=0,0,X55/T55)</f>
        <v>-0.99999846526995995</v>
      </c>
    </row>
    <row r="56" spans="1:26" ht="15.75" thickTop="1" x14ac:dyDescent="0.25">
      <c r="A56" s="9"/>
      <c r="C56" s="9"/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4">
        <v>44123.565168668982</v>
      </c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9" t="s">
        <v>313</v>
      </c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A59" s="9"/>
      <c r="B59" s="58"/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  <row r="60" spans="1:26" x14ac:dyDescent="0.25">
      <c r="D60" s="18"/>
      <c r="E60" s="18"/>
      <c r="G60" s="18"/>
      <c r="H60" s="18"/>
      <c r="I60" s="18"/>
      <c r="J60" s="42"/>
      <c r="K60" s="18"/>
      <c r="L60" s="18"/>
      <c r="M60" s="18"/>
      <c r="P60" s="18"/>
      <c r="Q60" s="18"/>
      <c r="R60" s="42"/>
      <c r="S60" s="18"/>
      <c r="T60" s="18"/>
      <c r="U60" s="18"/>
      <c r="V60" s="42"/>
      <c r="W60" s="18"/>
      <c r="X60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304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8896.08</v>
      </c>
      <c r="E12" s="4"/>
      <c r="F12" s="12"/>
      <c r="G12" s="4"/>
      <c r="H12" s="4">
        <f>SUM(OSRRefH13x_0)</f>
        <v>138627.93999999994</v>
      </c>
      <c r="I12" s="4"/>
      <c r="J12" s="12"/>
      <c r="K12" s="4"/>
      <c r="L12" s="4">
        <f t="shared" ref="L12:L45" si="0">+D12-H12</f>
        <v>-129731.85999999994</v>
      </c>
      <c r="M12" s="4"/>
      <c r="N12" s="12">
        <f t="shared" ref="N12:N45" si="1">IF(H12=0,0,L12/H12)</f>
        <v>-0.93582765494459486</v>
      </c>
      <c r="O12" s="10"/>
      <c r="P12" s="4">
        <f>SUM(OSRRefP13x_0)</f>
        <v>21294.02</v>
      </c>
      <c r="Q12" s="4"/>
      <c r="R12" s="12"/>
      <c r="S12" s="4"/>
      <c r="T12" s="4">
        <f>SUM(OSRRefT13x_0)</f>
        <v>290728.94999999995</v>
      </c>
      <c r="U12" s="4"/>
      <c r="V12" s="12"/>
      <c r="W12" s="4"/>
      <c r="X12" s="4">
        <f t="shared" ref="X12:X45" si="2">+P12-T12</f>
        <v>-269434.92999999993</v>
      </c>
      <c r="Y12" s="4"/>
      <c r="Z12" s="12">
        <f t="shared" ref="Z12:Z45" si="3">IF(T12=0,0,X12/T12)</f>
        <v>-0.92675645132691453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-25.17</f>
        <v>-25.17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-25.17</v>
      </c>
      <c r="M13" s="2"/>
      <c r="N13" s="19">
        <f t="shared" si="1"/>
        <v>0</v>
      </c>
      <c r="O13" s="11"/>
      <c r="P13" s="2">
        <f>-1094.7</f>
        <v>-1094.7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-1094.7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ref="D14:D16" si="4">0</f>
        <v>0</v>
      </c>
      <c r="E14" s="2"/>
      <c r="F14" s="19"/>
      <c r="G14" s="2"/>
      <c r="H14" s="2">
        <f>--65.39</f>
        <v>65.39</v>
      </c>
      <c r="I14" s="2"/>
      <c r="J14" s="19"/>
      <c r="K14" s="2"/>
      <c r="L14" s="2">
        <f t="shared" si="0"/>
        <v>-65.39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--222.69</f>
        <v>222.69</v>
      </c>
      <c r="U14" s="2"/>
      <c r="V14" s="19"/>
      <c r="W14" s="2"/>
      <c r="X14" s="2">
        <f t="shared" si="2"/>
        <v>-222.69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--14.95</f>
        <v>14.95</v>
      </c>
      <c r="U15" s="2"/>
      <c r="V15" s="19"/>
      <c r="W15" s="2"/>
      <c r="X15" s="2">
        <f t="shared" si="2"/>
        <v>-14.95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--11837.54</f>
        <v>11837.54</v>
      </c>
      <c r="I16" s="2"/>
      <c r="J16" s="19"/>
      <c r="K16" s="2"/>
      <c r="L16" s="2">
        <f t="shared" si="0"/>
        <v>-11837.54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--16296.07</f>
        <v>16296.07</v>
      </c>
      <c r="U16" s="2"/>
      <c r="V16" s="19"/>
      <c r="W16" s="2"/>
      <c r="X16" s="2">
        <f t="shared" si="2"/>
        <v>-16296.07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--17.51</f>
        <v>17.510000000000002</v>
      </c>
      <c r="E17" s="2"/>
      <c r="F17" s="19"/>
      <c r="G17" s="2"/>
      <c r="H17" s="2">
        <f>--11703.6</f>
        <v>11703.6</v>
      </c>
      <c r="I17" s="2"/>
      <c r="J17" s="19"/>
      <c r="K17" s="2"/>
      <c r="L17" s="2">
        <f t="shared" si="0"/>
        <v>-11686.09</v>
      </c>
      <c r="M17" s="2"/>
      <c r="N17" s="19">
        <f t="shared" si="1"/>
        <v>-0.99850387914829619</v>
      </c>
      <c r="O17" s="11"/>
      <c r="P17" s="2">
        <f>--17.51</f>
        <v>17.510000000000002</v>
      </c>
      <c r="Q17" s="2"/>
      <c r="R17" s="19"/>
      <c r="S17" s="2"/>
      <c r="T17" s="2">
        <f>--24415.58</f>
        <v>24415.58</v>
      </c>
      <c r="U17" s="2"/>
      <c r="V17" s="19"/>
      <c r="W17" s="2"/>
      <c r="X17" s="2">
        <f t="shared" si="2"/>
        <v>-24398.070000000003</v>
      </c>
      <c r="Y17" s="2"/>
      <c r="Z17" s="19">
        <f t="shared" si="3"/>
        <v>-0.99928283497668302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--4601.45</f>
        <v>4601.45</v>
      </c>
      <c r="E18" s="2"/>
      <c r="F18" s="19"/>
      <c r="G18" s="2"/>
      <c r="H18" s="2">
        <f>--44213.86</f>
        <v>44213.86</v>
      </c>
      <c r="I18" s="2"/>
      <c r="J18" s="19"/>
      <c r="K18" s="2"/>
      <c r="L18" s="2">
        <f t="shared" si="0"/>
        <v>-39612.410000000003</v>
      </c>
      <c r="M18" s="2"/>
      <c r="N18" s="19">
        <f t="shared" si="1"/>
        <v>-0.89592743090062721</v>
      </c>
      <c r="O18" s="11"/>
      <c r="P18" s="2">
        <f>--7990.32</f>
        <v>7990.32</v>
      </c>
      <c r="Q18" s="2"/>
      <c r="R18" s="19"/>
      <c r="S18" s="2"/>
      <c r="T18" s="2">
        <f>--123272.68</f>
        <v>123272.68</v>
      </c>
      <c r="U18" s="2"/>
      <c r="V18" s="19"/>
      <c r="W18" s="2"/>
      <c r="X18" s="2">
        <f t="shared" si="2"/>
        <v>-115282.35999999999</v>
      </c>
      <c r="Y18" s="2"/>
      <c r="Z18" s="19">
        <f t="shared" si="3"/>
        <v>-0.93518174505494644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--2807.8</f>
        <v>2807.8</v>
      </c>
      <c r="E19" s="2"/>
      <c r="F19" s="19"/>
      <c r="G19" s="2"/>
      <c r="H19" s="2">
        <f>--51812.13</f>
        <v>51812.13</v>
      </c>
      <c r="I19" s="2"/>
      <c r="J19" s="19"/>
      <c r="K19" s="2"/>
      <c r="L19" s="2">
        <f t="shared" si="0"/>
        <v>-49004.329999999994</v>
      </c>
      <c r="M19" s="2"/>
      <c r="N19" s="19">
        <f t="shared" si="1"/>
        <v>-0.94580805691640157</v>
      </c>
      <c r="O19" s="11"/>
      <c r="P19" s="2">
        <f>--12479.05</f>
        <v>12479.05</v>
      </c>
      <c r="Q19" s="2"/>
      <c r="R19" s="19"/>
      <c r="S19" s="2"/>
      <c r="T19" s="2">
        <f>--100727.68</f>
        <v>100727.67999999999</v>
      </c>
      <c r="U19" s="2"/>
      <c r="V19" s="19"/>
      <c r="W19" s="2"/>
      <c r="X19" s="2">
        <f t="shared" si="2"/>
        <v>-88248.62999999999</v>
      </c>
      <c r="Y19" s="2"/>
      <c r="Z19" s="19">
        <f t="shared" si="3"/>
        <v>-0.87611101536340352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--244.33</f>
        <v>244.33</v>
      </c>
      <c r="E20" s="2"/>
      <c r="F20" s="19"/>
      <c r="G20" s="2"/>
      <c r="H20" s="2">
        <f>--88.48</f>
        <v>88.48</v>
      </c>
      <c r="I20" s="2"/>
      <c r="J20" s="19"/>
      <c r="K20" s="2"/>
      <c r="L20" s="2">
        <f t="shared" si="0"/>
        <v>155.85000000000002</v>
      </c>
      <c r="M20" s="2"/>
      <c r="N20" s="19">
        <f t="shared" si="1"/>
        <v>1.7614150090415914</v>
      </c>
      <c r="O20" s="11"/>
      <c r="P20" s="2">
        <f>--369.37</f>
        <v>369.37</v>
      </c>
      <c r="Q20" s="2"/>
      <c r="R20" s="19"/>
      <c r="S20" s="2"/>
      <c r="T20" s="2">
        <f>--120.82</f>
        <v>120.82</v>
      </c>
      <c r="U20" s="2"/>
      <c r="V20" s="19"/>
      <c r="W20" s="2"/>
      <c r="X20" s="2">
        <f t="shared" si="2"/>
        <v>248.55</v>
      </c>
      <c r="Y20" s="2"/>
      <c r="Z20" s="19">
        <f t="shared" si="3"/>
        <v>2.0571925177950674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ref="D21:D25" si="6">0</f>
        <v>0</v>
      </c>
      <c r="E21" s="2"/>
      <c r="F21" s="19"/>
      <c r="G21" s="2"/>
      <c r="H21" s="2">
        <f>--17.54</f>
        <v>17.54</v>
      </c>
      <c r="I21" s="2"/>
      <c r="J21" s="19"/>
      <c r="K21" s="2"/>
      <c r="L21" s="2">
        <f t="shared" si="0"/>
        <v>-17.54</v>
      </c>
      <c r="M21" s="2"/>
      <c r="N21" s="19">
        <f t="shared" si="1"/>
        <v>-1</v>
      </c>
      <c r="O21" s="11"/>
      <c r="P21" s="2">
        <f t="shared" ref="P21:P25" si="7">0</f>
        <v>0</v>
      </c>
      <c r="Q21" s="2"/>
      <c r="R21" s="19"/>
      <c r="S21" s="2"/>
      <c r="T21" s="2">
        <f>--21.35</f>
        <v>21.35</v>
      </c>
      <c r="U21" s="2"/>
      <c r="V21" s="19"/>
      <c r="W21" s="2"/>
      <c r="X21" s="2">
        <f t="shared" si="2"/>
        <v>-21.35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6"/>
        <v>0</v>
      </c>
      <c r="E22" s="2"/>
      <c r="F22" s="19"/>
      <c r="G22" s="2"/>
      <c r="H22" s="2">
        <f>--27.97</f>
        <v>27.97</v>
      </c>
      <c r="I22" s="2"/>
      <c r="J22" s="19"/>
      <c r="K22" s="2"/>
      <c r="L22" s="2">
        <f t="shared" si="0"/>
        <v>-27.97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--40.97</f>
        <v>40.97</v>
      </c>
      <c r="U22" s="2"/>
      <c r="V22" s="19"/>
      <c r="W22" s="2"/>
      <c r="X22" s="2">
        <f t="shared" si="2"/>
        <v>-40.97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6"/>
        <v>0</v>
      </c>
      <c r="E23" s="2"/>
      <c r="F23" s="19"/>
      <c r="G23" s="2"/>
      <c r="H23" s="2">
        <f>--1544.01</f>
        <v>1544.01</v>
      </c>
      <c r="I23" s="2"/>
      <c r="J23" s="19"/>
      <c r="K23" s="2"/>
      <c r="L23" s="2">
        <f t="shared" si="0"/>
        <v>-1544.01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--1859.55</f>
        <v>1859.55</v>
      </c>
      <c r="U23" s="2"/>
      <c r="V23" s="19"/>
      <c r="W23" s="2"/>
      <c r="X23" s="2">
        <f t="shared" si="2"/>
        <v>-1859.55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6"/>
        <v>0</v>
      </c>
      <c r="E24" s="2"/>
      <c r="F24" s="19"/>
      <c r="G24" s="2"/>
      <c r="H24" s="2">
        <f>--339.98</f>
        <v>339.98</v>
      </c>
      <c r="I24" s="2"/>
      <c r="J24" s="19"/>
      <c r="K24" s="2"/>
      <c r="L24" s="2">
        <f t="shared" si="0"/>
        <v>-339.98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--438.43</f>
        <v>438.43</v>
      </c>
      <c r="U24" s="2"/>
      <c r="V24" s="19"/>
      <c r="W24" s="2"/>
      <c r="X24" s="2">
        <f t="shared" si="2"/>
        <v>-438.43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6"/>
        <v>0</v>
      </c>
      <c r="E25" s="2"/>
      <c r="F25" s="19"/>
      <c r="G25" s="2"/>
      <c r="H25" s="2">
        <f>--131.98</f>
        <v>131.97999999999999</v>
      </c>
      <c r="I25" s="2"/>
      <c r="J25" s="19"/>
      <c r="K25" s="2"/>
      <c r="L25" s="2">
        <f t="shared" si="0"/>
        <v>-131.97999999999999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--174.15</f>
        <v>174.15</v>
      </c>
      <c r="U25" s="2"/>
      <c r="V25" s="19"/>
      <c r="W25" s="2"/>
      <c r="X25" s="2">
        <f t="shared" si="2"/>
        <v>-174.15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>--71.95</f>
        <v>71.95</v>
      </c>
      <c r="E26" s="2"/>
      <c r="F26" s="19"/>
      <c r="G26" s="2"/>
      <c r="H26" s="2">
        <f>--650.56</f>
        <v>650.55999999999995</v>
      </c>
      <c r="I26" s="2"/>
      <c r="J26" s="19"/>
      <c r="K26" s="2"/>
      <c r="L26" s="2">
        <f t="shared" si="0"/>
        <v>-578.6099999999999</v>
      </c>
      <c r="M26" s="2"/>
      <c r="N26" s="19">
        <f t="shared" si="1"/>
        <v>-0.88940297589768802</v>
      </c>
      <c r="O26" s="11"/>
      <c r="P26" s="2">
        <f>--71.95</f>
        <v>71.95</v>
      </c>
      <c r="Q26" s="2"/>
      <c r="R26" s="19"/>
      <c r="S26" s="2"/>
      <c r="T26" s="2">
        <f>--919.42</f>
        <v>919.42</v>
      </c>
      <c r="U26" s="2"/>
      <c r="V26" s="19"/>
      <c r="W26" s="2"/>
      <c r="X26" s="2">
        <f t="shared" si="2"/>
        <v>-847.46999999999991</v>
      </c>
      <c r="Y26" s="2"/>
      <c r="Z26" s="19">
        <f t="shared" si="3"/>
        <v>-0.92174414304670327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0</f>
        <v>0</v>
      </c>
      <c r="E27" s="2"/>
      <c r="F27" s="19"/>
      <c r="G27" s="2"/>
      <c r="H27" s="2">
        <f>--124</f>
        <v>124</v>
      </c>
      <c r="I27" s="2"/>
      <c r="J27" s="19"/>
      <c r="K27" s="2"/>
      <c r="L27" s="2">
        <f t="shared" si="0"/>
        <v>-124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--162</f>
        <v>162</v>
      </c>
      <c r="U27" s="2"/>
      <c r="V27" s="19"/>
      <c r="W27" s="2"/>
      <c r="X27" s="2">
        <f t="shared" si="2"/>
        <v>-162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--9.99</f>
        <v>9.99</v>
      </c>
      <c r="E28" s="2"/>
      <c r="F28" s="19"/>
      <c r="G28" s="2"/>
      <c r="H28" s="2">
        <f>--269.82</f>
        <v>269.82</v>
      </c>
      <c r="I28" s="2"/>
      <c r="J28" s="19"/>
      <c r="K28" s="2"/>
      <c r="L28" s="2">
        <f t="shared" si="0"/>
        <v>-259.83</v>
      </c>
      <c r="M28" s="2"/>
      <c r="N28" s="19">
        <f t="shared" si="1"/>
        <v>-0.9629753168779186</v>
      </c>
      <c r="O28" s="11"/>
      <c r="P28" s="2">
        <f>--9.99</f>
        <v>9.99</v>
      </c>
      <c r="Q28" s="2"/>
      <c r="R28" s="19"/>
      <c r="S28" s="2"/>
      <c r="T28" s="2">
        <f>--299.8</f>
        <v>299.8</v>
      </c>
      <c r="U28" s="2"/>
      <c r="V28" s="19"/>
      <c r="W28" s="2"/>
      <c r="X28" s="2">
        <f t="shared" si="2"/>
        <v>-289.81</v>
      </c>
      <c r="Y28" s="2"/>
      <c r="Z28" s="19">
        <f t="shared" si="3"/>
        <v>-0.9666777851901267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 t="shared" ref="D29:D33" si="8">0</f>
        <v>0</v>
      </c>
      <c r="E29" s="2"/>
      <c r="F29" s="19"/>
      <c r="G29" s="2"/>
      <c r="H29" s="2">
        <f>--344.87</f>
        <v>344.87</v>
      </c>
      <c r="I29" s="2"/>
      <c r="J29" s="19"/>
      <c r="K29" s="2"/>
      <c r="L29" s="2">
        <f t="shared" si="0"/>
        <v>-344.87</v>
      </c>
      <c r="M29" s="2"/>
      <c r="N29" s="19">
        <f t="shared" si="1"/>
        <v>-1</v>
      </c>
      <c r="O29" s="11"/>
      <c r="P29" s="2">
        <f t="shared" ref="P29:P33" si="9">0</f>
        <v>0</v>
      </c>
      <c r="Q29" s="2"/>
      <c r="R29" s="19"/>
      <c r="S29" s="2"/>
      <c r="T29" s="2">
        <f>--453.82</f>
        <v>453.82</v>
      </c>
      <c r="U29" s="2"/>
      <c r="V29" s="19"/>
      <c r="W29" s="2"/>
      <c r="X29" s="2">
        <f t="shared" si="2"/>
        <v>-453.82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 t="shared" si="8"/>
        <v>0</v>
      </c>
      <c r="E30" s="2"/>
      <c r="F30" s="19"/>
      <c r="G30" s="2"/>
      <c r="H30" s="2">
        <f>--42.03</f>
        <v>42.03</v>
      </c>
      <c r="I30" s="2"/>
      <c r="J30" s="19"/>
      <c r="K30" s="2"/>
      <c r="L30" s="2">
        <f t="shared" si="0"/>
        <v>-42.03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--124.18</f>
        <v>124.18</v>
      </c>
      <c r="U30" s="2"/>
      <c r="V30" s="19"/>
      <c r="W30" s="2"/>
      <c r="X30" s="2">
        <f t="shared" si="2"/>
        <v>-124.18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si="8"/>
        <v>0</v>
      </c>
      <c r="E31" s="2"/>
      <c r="F31" s="19"/>
      <c r="G31" s="2"/>
      <c r="H31" s="2">
        <f>--332.14</f>
        <v>332.14</v>
      </c>
      <c r="I31" s="2"/>
      <c r="J31" s="19"/>
      <c r="K31" s="2"/>
      <c r="L31" s="2">
        <f t="shared" si="0"/>
        <v>-332.14</v>
      </c>
      <c r="M31" s="2"/>
      <c r="N31" s="19">
        <f t="shared" si="1"/>
        <v>-1</v>
      </c>
      <c r="O31" s="11"/>
      <c r="P31" s="2">
        <f t="shared" si="9"/>
        <v>0</v>
      </c>
      <c r="Q31" s="2"/>
      <c r="R31" s="19"/>
      <c r="S31" s="2"/>
      <c r="T31" s="2">
        <f>--1343.26</f>
        <v>1343.26</v>
      </c>
      <c r="U31" s="2"/>
      <c r="V31" s="19"/>
      <c r="W31" s="2"/>
      <c r="X31" s="2">
        <f t="shared" si="2"/>
        <v>-1343.26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8"/>
        <v>0</v>
      </c>
      <c r="E32" s="2"/>
      <c r="F32" s="19"/>
      <c r="G32" s="2"/>
      <c r="H32" s="2">
        <f>--547.21</f>
        <v>547.21</v>
      </c>
      <c r="I32" s="2"/>
      <c r="J32" s="19"/>
      <c r="K32" s="2"/>
      <c r="L32" s="2">
        <f t="shared" si="0"/>
        <v>-547.21</v>
      </c>
      <c r="M32" s="2"/>
      <c r="N32" s="19">
        <f t="shared" si="1"/>
        <v>-1</v>
      </c>
      <c r="O32" s="11"/>
      <c r="P32" s="2">
        <f t="shared" si="9"/>
        <v>0</v>
      </c>
      <c r="Q32" s="2"/>
      <c r="R32" s="19"/>
      <c r="S32" s="2"/>
      <c r="T32" s="2">
        <f>--2417.49</f>
        <v>2417.4899999999998</v>
      </c>
      <c r="U32" s="2"/>
      <c r="V32" s="19"/>
      <c r="W32" s="2"/>
      <c r="X32" s="2">
        <f t="shared" si="2"/>
        <v>-2417.4899999999998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8"/>
        <v>0</v>
      </c>
      <c r="E33" s="2"/>
      <c r="F33" s="19"/>
      <c r="G33" s="2"/>
      <c r="H33" s="2">
        <f>--132.8</f>
        <v>132.80000000000001</v>
      </c>
      <c r="I33" s="2"/>
      <c r="J33" s="19"/>
      <c r="K33" s="2"/>
      <c r="L33" s="2">
        <f t="shared" si="0"/>
        <v>-132.80000000000001</v>
      </c>
      <c r="M33" s="2"/>
      <c r="N33" s="19">
        <f t="shared" si="1"/>
        <v>-1</v>
      </c>
      <c r="O33" s="11"/>
      <c r="P33" s="2">
        <f t="shared" si="9"/>
        <v>0</v>
      </c>
      <c r="Q33" s="2"/>
      <c r="R33" s="19"/>
      <c r="S33" s="2"/>
      <c r="T33" s="2">
        <f>--262.9</f>
        <v>262.89999999999998</v>
      </c>
      <c r="U33" s="2"/>
      <c r="V33" s="19"/>
      <c r="W33" s="2"/>
      <c r="X33" s="2">
        <f t="shared" si="2"/>
        <v>-262.89999999999998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--1245.56</f>
        <v>1245.56</v>
      </c>
      <c r="E34" s="2"/>
      <c r="F34" s="19"/>
      <c r="G34" s="2"/>
      <c r="H34" s="2">
        <f>--10548.09</f>
        <v>10548.09</v>
      </c>
      <c r="I34" s="2"/>
      <c r="J34" s="19"/>
      <c r="K34" s="2"/>
      <c r="L34" s="2">
        <f t="shared" si="0"/>
        <v>-9302.5300000000007</v>
      </c>
      <c r="M34" s="2"/>
      <c r="N34" s="19">
        <f t="shared" si="1"/>
        <v>-0.88191606252885602</v>
      </c>
      <c r="O34" s="11"/>
      <c r="P34" s="2">
        <f>--1832.7</f>
        <v>1832.7</v>
      </c>
      <c r="Q34" s="2"/>
      <c r="R34" s="19"/>
      <c r="S34" s="2"/>
      <c r="T34" s="2">
        <f>--13265.29</f>
        <v>13265.29</v>
      </c>
      <c r="U34" s="2"/>
      <c r="V34" s="19"/>
      <c r="W34" s="2"/>
      <c r="X34" s="2">
        <f t="shared" si="2"/>
        <v>-11432.59</v>
      </c>
      <c r="Y34" s="2"/>
      <c r="Z34" s="19">
        <f t="shared" si="3"/>
        <v>-0.86184244747005145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 t="shared" ref="D35:D41" si="10">0</f>
        <v>0</v>
      </c>
      <c r="E35" s="2"/>
      <c r="F35" s="19"/>
      <c r="G35" s="2"/>
      <c r="H35" s="2">
        <f>--3051.46</f>
        <v>3051.46</v>
      </c>
      <c r="I35" s="2"/>
      <c r="J35" s="19"/>
      <c r="K35" s="2"/>
      <c r="L35" s="2">
        <f t="shared" si="0"/>
        <v>-3051.46</v>
      </c>
      <c r="M35" s="2"/>
      <c r="N35" s="19">
        <f t="shared" si="1"/>
        <v>-1</v>
      </c>
      <c r="O35" s="11"/>
      <c r="P35" s="2">
        <f t="shared" ref="P35:P41" si="11">0</f>
        <v>0</v>
      </c>
      <c r="Q35" s="2"/>
      <c r="R35" s="19"/>
      <c r="S35" s="2"/>
      <c r="T35" s="2">
        <f>--3810.37</f>
        <v>3810.37</v>
      </c>
      <c r="U35" s="2"/>
      <c r="V35" s="19"/>
      <c r="W35" s="2"/>
      <c r="X35" s="2">
        <f t="shared" si="2"/>
        <v>-3810.37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 t="shared" si="10"/>
        <v>0</v>
      </c>
      <c r="E36" s="2"/>
      <c r="F36" s="19"/>
      <c r="G36" s="2"/>
      <c r="H36" s="2">
        <f>--3292.63</f>
        <v>3292.63</v>
      </c>
      <c r="I36" s="2"/>
      <c r="J36" s="19"/>
      <c r="K36" s="2"/>
      <c r="L36" s="2">
        <f t="shared" si="0"/>
        <v>-3292.63</v>
      </c>
      <c r="M36" s="2"/>
      <c r="N36" s="19">
        <f t="shared" si="1"/>
        <v>-1</v>
      </c>
      <c r="O36" s="11"/>
      <c r="P36" s="2">
        <f t="shared" si="11"/>
        <v>0</v>
      </c>
      <c r="Q36" s="2"/>
      <c r="R36" s="19"/>
      <c r="S36" s="2"/>
      <c r="T36" s="2">
        <f>--4664.98</f>
        <v>4664.9799999999996</v>
      </c>
      <c r="U36" s="2"/>
      <c r="V36" s="19"/>
      <c r="W36" s="2"/>
      <c r="X36" s="2">
        <f t="shared" si="2"/>
        <v>-4664.9799999999996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 t="shared" si="10"/>
        <v>0</v>
      </c>
      <c r="E37" s="2"/>
      <c r="F37" s="19"/>
      <c r="G37" s="2"/>
      <c r="H37" s="2">
        <f>--32.31</f>
        <v>32.31</v>
      </c>
      <c r="I37" s="2"/>
      <c r="J37" s="19"/>
      <c r="K37" s="2"/>
      <c r="L37" s="2">
        <f t="shared" si="0"/>
        <v>-32.31</v>
      </c>
      <c r="M37" s="2"/>
      <c r="N37" s="19">
        <f t="shared" si="1"/>
        <v>-1</v>
      </c>
      <c r="O37" s="11"/>
      <c r="P37" s="2">
        <f t="shared" si="11"/>
        <v>0</v>
      </c>
      <c r="Q37" s="2"/>
      <c r="R37" s="19"/>
      <c r="S37" s="2"/>
      <c r="T37" s="2">
        <f>--86.06</f>
        <v>86.06</v>
      </c>
      <c r="U37" s="2"/>
      <c r="V37" s="19"/>
      <c r="W37" s="2"/>
      <c r="X37" s="2">
        <f t="shared" si="2"/>
        <v>-86.06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 t="shared" si="10"/>
        <v>0</v>
      </c>
      <c r="E38" s="2"/>
      <c r="F38" s="19"/>
      <c r="G38" s="2"/>
      <c r="H38" s="2">
        <f>--1614.65</f>
        <v>1614.65</v>
      </c>
      <c r="I38" s="2"/>
      <c r="J38" s="19"/>
      <c r="K38" s="2"/>
      <c r="L38" s="2">
        <f t="shared" si="0"/>
        <v>-1614.65</v>
      </c>
      <c r="M38" s="2"/>
      <c r="N38" s="19">
        <f t="shared" si="1"/>
        <v>-1</v>
      </c>
      <c r="O38" s="11"/>
      <c r="P38" s="2">
        <f t="shared" si="11"/>
        <v>0</v>
      </c>
      <c r="Q38" s="2"/>
      <c r="R38" s="19"/>
      <c r="S38" s="2"/>
      <c r="T38" s="2">
        <f>--2167.37</f>
        <v>2167.37</v>
      </c>
      <c r="U38" s="2"/>
      <c r="V38" s="19"/>
      <c r="W38" s="2"/>
      <c r="X38" s="2">
        <f t="shared" si="2"/>
        <v>-2167.37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"4186", " - ", "NON-TAXABLE SALES-COMPUTER SUP")</f>
        <v xml:space="preserve">          4186 - NON-TAXABLE SALES-COMPUTER SUP</v>
      </c>
      <c r="C39" s="11"/>
      <c r="D39" s="2">
        <f t="shared" si="10"/>
        <v>0</v>
      </c>
      <c r="E39" s="2"/>
      <c r="F39" s="19"/>
      <c r="G39" s="2"/>
      <c r="H39" s="2">
        <f>-34.98</f>
        <v>-34.979999999999997</v>
      </c>
      <c r="I39" s="2"/>
      <c r="J39" s="19"/>
      <c r="K39" s="2"/>
      <c r="L39" s="2">
        <f t="shared" si="0"/>
        <v>34.979999999999997</v>
      </c>
      <c r="M39" s="2"/>
      <c r="N39" s="19">
        <f t="shared" si="1"/>
        <v>-1</v>
      </c>
      <c r="O39" s="11"/>
      <c r="P39" s="2">
        <f t="shared" si="11"/>
        <v>0</v>
      </c>
      <c r="Q39" s="2"/>
      <c r="R39" s="19"/>
      <c r="S39" s="2"/>
      <c r="T39" s="2">
        <f>-34.98</f>
        <v>-34.979999999999997</v>
      </c>
      <c r="U39" s="2"/>
      <c r="V39" s="19"/>
      <c r="W39" s="2"/>
      <c r="X39" s="2">
        <f t="shared" si="2"/>
        <v>34.979999999999997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"4225", " - ", "SALES RETURN TAXABLE-TEST FORM")</f>
        <v xml:space="preserve">          4225 - SALES RETURN TAXABLE-TEST FORM</v>
      </c>
      <c r="C40" s="11"/>
      <c r="D40" s="2">
        <f t="shared" si="10"/>
        <v>0</v>
      </c>
      <c r="E40" s="2"/>
      <c r="F40" s="19"/>
      <c r="G40" s="2"/>
      <c r="H40" s="2">
        <f>-20.41</f>
        <v>-20.41</v>
      </c>
      <c r="I40" s="2"/>
      <c r="J40" s="19"/>
      <c r="K40" s="2"/>
      <c r="L40" s="2">
        <f t="shared" si="0"/>
        <v>20.41</v>
      </c>
      <c r="M40" s="2"/>
      <c r="N40" s="19">
        <f t="shared" si="1"/>
        <v>-1</v>
      </c>
      <c r="O40" s="11"/>
      <c r="P40" s="2">
        <f t="shared" si="11"/>
        <v>0</v>
      </c>
      <c r="Q40" s="2"/>
      <c r="R40" s="19"/>
      <c r="S40" s="2"/>
      <c r="T40" s="2">
        <f>-33.1</f>
        <v>-33.1</v>
      </c>
      <c r="U40" s="2"/>
      <c r="V40" s="19"/>
      <c r="W40" s="2"/>
      <c r="X40" s="2">
        <f t="shared" si="2"/>
        <v>33.1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si="10"/>
        <v>0</v>
      </c>
      <c r="E41" s="2"/>
      <c r="F41" s="19"/>
      <c r="G41" s="2"/>
      <c r="H41" s="2">
        <f>-184.86</f>
        <v>-184.86</v>
      </c>
      <c r="I41" s="2"/>
      <c r="J41" s="19"/>
      <c r="K41" s="2"/>
      <c r="L41" s="2">
        <f t="shared" si="0"/>
        <v>184.86</v>
      </c>
      <c r="M41" s="2"/>
      <c r="N41" s="19">
        <f t="shared" si="1"/>
        <v>-1</v>
      </c>
      <c r="O41" s="11"/>
      <c r="P41" s="2">
        <f t="shared" si="11"/>
        <v>0</v>
      </c>
      <c r="Q41" s="2"/>
      <c r="R41" s="19"/>
      <c r="S41" s="2"/>
      <c r="T41" s="2">
        <f>-309.07</f>
        <v>-309.07</v>
      </c>
      <c r="U41" s="2"/>
      <c r="V41" s="19"/>
      <c r="W41" s="2"/>
      <c r="X41" s="2">
        <f t="shared" si="2"/>
        <v>309.07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>-19.58</f>
        <v>-19.579999999999998</v>
      </c>
      <c r="E42" s="2"/>
      <c r="F42" s="19"/>
      <c r="G42" s="2"/>
      <c r="H42" s="2">
        <f>-2805.04</f>
        <v>-2805.04</v>
      </c>
      <c r="I42" s="2"/>
      <c r="J42" s="19"/>
      <c r="K42" s="2"/>
      <c r="L42" s="2">
        <f t="shared" si="0"/>
        <v>2785.46</v>
      </c>
      <c r="M42" s="2"/>
      <c r="N42" s="19">
        <f t="shared" si="1"/>
        <v>-0.99301970738385192</v>
      </c>
      <c r="O42" s="11"/>
      <c r="P42" s="2">
        <f>-159.97</f>
        <v>-159.97</v>
      </c>
      <c r="Q42" s="2"/>
      <c r="R42" s="19"/>
      <c r="S42" s="2"/>
      <c r="T42" s="2">
        <f>-4501.63</f>
        <v>-4501.63</v>
      </c>
      <c r="U42" s="2"/>
      <c r="V42" s="19"/>
      <c r="W42" s="2"/>
      <c r="X42" s="2">
        <f t="shared" si="2"/>
        <v>4341.66</v>
      </c>
      <c r="Y42" s="2"/>
      <c r="Z42" s="19">
        <f t="shared" si="3"/>
        <v>-0.964463983046141</v>
      </c>
    </row>
    <row r="43" spans="1:26" s="24" customFormat="1" hidden="1" outlineLevel="1" x14ac:dyDescent="0.25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>-57.76</f>
        <v>-57.76</v>
      </c>
      <c r="E43" s="2"/>
      <c r="F43" s="19"/>
      <c r="G43" s="2"/>
      <c r="H43" s="2">
        <f>-1058.54</f>
        <v>-1058.54</v>
      </c>
      <c r="I43" s="2"/>
      <c r="J43" s="19"/>
      <c r="K43" s="2"/>
      <c r="L43" s="2">
        <f t="shared" si="0"/>
        <v>1000.78</v>
      </c>
      <c r="M43" s="2"/>
      <c r="N43" s="19">
        <f t="shared" si="1"/>
        <v>-0.94543427740094843</v>
      </c>
      <c r="O43" s="11"/>
      <c r="P43" s="2">
        <f>-222.2</f>
        <v>-222.2</v>
      </c>
      <c r="Q43" s="2"/>
      <c r="R43" s="19"/>
      <c r="S43" s="2"/>
      <c r="T43" s="2">
        <f>-1927.27</f>
        <v>-1927.27</v>
      </c>
      <c r="U43" s="2"/>
      <c r="V43" s="19"/>
      <c r="W43" s="2"/>
      <c r="X43" s="2">
        <f t="shared" si="2"/>
        <v>1705.07</v>
      </c>
      <c r="Y43" s="2"/>
      <c r="Z43" s="19">
        <f t="shared" si="3"/>
        <v>-0.88470738401988303</v>
      </c>
    </row>
    <row r="44" spans="1:26" s="24" customFormat="1" hidden="1" outlineLevel="1" x14ac:dyDescent="0.25">
      <c r="A44" s="44"/>
      <c r="B44" s="11" t="str">
        <f>CONCATENATE("          ", "4281", " - ", "SALES RETURN TAXABLE-ELECTRONI")</f>
        <v xml:space="preserve">          4281 - SALES RETURN TAXABLE-ELECTRONI</v>
      </c>
      <c r="C44" s="11"/>
      <c r="D44" s="2">
        <f t="shared" ref="D44:D45" si="12">0</f>
        <v>0</v>
      </c>
      <c r="E44" s="2"/>
      <c r="F44" s="19"/>
      <c r="G44" s="2"/>
      <c r="H44" s="2">
        <f>-24.99</f>
        <v>-24.99</v>
      </c>
      <c r="I44" s="2"/>
      <c r="J44" s="19"/>
      <c r="K44" s="2"/>
      <c r="L44" s="2">
        <f t="shared" si="0"/>
        <v>24.99</v>
      </c>
      <c r="M44" s="2"/>
      <c r="N44" s="19">
        <f t="shared" si="1"/>
        <v>-1</v>
      </c>
      <c r="O44" s="11"/>
      <c r="P44" s="2">
        <f t="shared" ref="P44:P45" si="13">0</f>
        <v>0</v>
      </c>
      <c r="Q44" s="2"/>
      <c r="R44" s="19"/>
      <c r="S44" s="2"/>
      <c r="T44" s="2">
        <f>-24.99</f>
        <v>-24.99</v>
      </c>
      <c r="U44" s="2"/>
      <c r="V44" s="19"/>
      <c r="W44" s="2"/>
      <c r="X44" s="2">
        <f t="shared" si="2"/>
        <v>24.99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"4327", " - ", "SALES RETURN NON TAXABLE-SCHOO")</f>
        <v xml:space="preserve">          4327 - SALES RETURN NON TAXABLE-SCHOO</v>
      </c>
      <c r="C45" s="11"/>
      <c r="D45" s="2">
        <f t="shared" si="12"/>
        <v>0</v>
      </c>
      <c r="E45" s="2"/>
      <c r="F45" s="19"/>
      <c r="G45" s="2"/>
      <c r="H45" s="2">
        <f>-8.29</f>
        <v>-8.2899999999999991</v>
      </c>
      <c r="I45" s="2"/>
      <c r="J45" s="19"/>
      <c r="K45" s="2"/>
      <c r="L45" s="2">
        <f t="shared" si="0"/>
        <v>8.2899999999999991</v>
      </c>
      <c r="M45" s="2"/>
      <c r="N45" s="19">
        <f t="shared" si="1"/>
        <v>-1</v>
      </c>
      <c r="O45" s="11"/>
      <c r="P45" s="2">
        <f t="shared" si="13"/>
        <v>0</v>
      </c>
      <c r="Q45" s="2"/>
      <c r="R45" s="19"/>
      <c r="S45" s="2"/>
      <c r="T45" s="2">
        <f>-21.87</f>
        <v>-21.87</v>
      </c>
      <c r="U45" s="2"/>
      <c r="V45" s="19"/>
      <c r="W45" s="2"/>
      <c r="X45" s="2">
        <f t="shared" si="2"/>
        <v>21.87</v>
      </c>
      <c r="Y45" s="2"/>
      <c r="Z45" s="19">
        <f t="shared" si="3"/>
        <v>-1</v>
      </c>
    </row>
    <row r="46" spans="1:26" x14ac:dyDescent="0.25">
      <c r="A46" s="9"/>
      <c r="B46" s="10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collapsed="1" x14ac:dyDescent="0.25">
      <c r="A47" s="10"/>
      <c r="B47" s="26" t="s">
        <v>8</v>
      </c>
      <c r="C47" s="10"/>
      <c r="D47" s="4">
        <f>SUM(OSRRefD16x_0)</f>
        <v>5140</v>
      </c>
      <c r="E47" s="4"/>
      <c r="F47" s="12">
        <f t="shared" ref="F47:F68" si="14">IF(D$12=0,0,D47/D$12)</f>
        <v>0.5777825738977167</v>
      </c>
      <c r="G47" s="4"/>
      <c r="H47" s="4">
        <f>SUM(OSRRefH16x_0)</f>
        <v>69876.12000000001</v>
      </c>
      <c r="I47" s="4"/>
      <c r="J47" s="12">
        <f t="shared" ref="J47:J68" si="15">IF(H$12=0,0,H47/H$12)</f>
        <v>0.50405509884948185</v>
      </c>
      <c r="K47" s="4"/>
      <c r="L47" s="4">
        <f t="shared" ref="L47:L68" si="16">+D47-H47</f>
        <v>-64736.12000000001</v>
      </c>
      <c r="M47" s="4"/>
      <c r="N47" s="12">
        <f t="shared" ref="N47:N68" si="17">IF(H47=0,0,L47/H47)</f>
        <v>-0.92644125060177929</v>
      </c>
      <c r="O47" s="10"/>
      <c r="P47" s="4">
        <f>SUM(OSRRefP16x_0)</f>
        <v>14183.05</v>
      </c>
      <c r="Q47" s="4"/>
      <c r="R47" s="12">
        <f t="shared" ref="R47:R68" si="18">IF(P$12=0,0,P47/P$12)</f>
        <v>0.66605788855274861</v>
      </c>
      <c r="S47" s="4"/>
      <c r="T47" s="4">
        <f>SUM(OSRRefT16x_0)</f>
        <v>141951.89999999997</v>
      </c>
      <c r="U47" s="4"/>
      <c r="V47" s="12">
        <f t="shared" ref="V47:V68" si="19">IF(T$12=0,0,T47/T$12)</f>
        <v>0.48826200486742027</v>
      </c>
      <c r="W47" s="4"/>
      <c r="X47" s="4">
        <f t="shared" ref="X47:X68" si="20">+P47-T47</f>
        <v>-127768.84999999996</v>
      </c>
      <c r="Y47" s="4"/>
      <c r="Z47" s="12">
        <f t="shared" ref="Z47:Z68" si="21">IF(T47=0,0,X47/T47)</f>
        <v>-0.90008552192679347</v>
      </c>
    </row>
    <row r="48" spans="1:26" s="24" customFormat="1" hidden="1" outlineLevel="1" x14ac:dyDescent="0.25">
      <c r="A48" s="44"/>
      <c r="B48" s="11" t="str">
        <f>CONCATENATE("          ", "5017", " - ", "PURCHASES @ COST-DORM/HOUSEWAR")</f>
        <v xml:space="preserve">          5017 - PURCHASES @ COST-DORM/HOUSEWAR</v>
      </c>
      <c r="C48" s="11"/>
      <c r="D48" s="2"/>
      <c r="E48" s="2"/>
      <c r="F48" s="19">
        <f t="shared" si="14"/>
        <v>0</v>
      </c>
      <c r="G48" s="2"/>
      <c r="H48" s="2">
        <v>-139.86000000000001</v>
      </c>
      <c r="I48" s="2"/>
      <c r="J48" s="19">
        <f t="shared" si="15"/>
        <v>-1.0088875301760964E-3</v>
      </c>
      <c r="K48" s="2"/>
      <c r="L48" s="2">
        <f t="shared" si="16"/>
        <v>139.86000000000001</v>
      </c>
      <c r="M48" s="2"/>
      <c r="N48" s="19">
        <f t="shared" si="17"/>
        <v>-1</v>
      </c>
      <c r="O48" s="11"/>
      <c r="P48" s="2"/>
      <c r="Q48" s="2"/>
      <c r="R48" s="19">
        <f t="shared" si="18"/>
        <v>0</v>
      </c>
      <c r="S48" s="2"/>
      <c r="T48" s="2">
        <v>0</v>
      </c>
      <c r="U48" s="2"/>
      <c r="V48" s="19">
        <f t="shared" si="19"/>
        <v>0</v>
      </c>
      <c r="W48" s="2"/>
      <c r="X48" s="2">
        <f t="shared" si="20"/>
        <v>0</v>
      </c>
      <c r="Y48" s="2"/>
      <c r="Z48" s="19">
        <f t="shared" si="21"/>
        <v>0</v>
      </c>
    </row>
    <row r="49" spans="1:26" s="24" customFormat="1" hidden="1" outlineLevel="1" x14ac:dyDescent="0.25">
      <c r="A49" s="44"/>
      <c r="B49" s="11" t="str">
        <f>CONCATENATE("          ", "5025", " - ", "PURCHASES @ COST-TEST FORMS")</f>
        <v xml:space="preserve">          5025 - PURCHASES @ COST-TEST FORMS</v>
      </c>
      <c r="C49" s="11"/>
      <c r="D49" s="2"/>
      <c r="E49" s="2"/>
      <c r="F49" s="19">
        <f t="shared" si="14"/>
        <v>0</v>
      </c>
      <c r="G49" s="2"/>
      <c r="H49" s="2">
        <v>1495.25</v>
      </c>
      <c r="I49" s="2"/>
      <c r="J49" s="19">
        <f t="shared" si="15"/>
        <v>1.0786065204460231E-2</v>
      </c>
      <c r="K49" s="2"/>
      <c r="L49" s="2">
        <f t="shared" si="16"/>
        <v>-1495.25</v>
      </c>
      <c r="M49" s="2"/>
      <c r="N49" s="19">
        <f t="shared" si="17"/>
        <v>-1</v>
      </c>
      <c r="O49" s="11"/>
      <c r="P49" s="2"/>
      <c r="Q49" s="2"/>
      <c r="R49" s="19">
        <f t="shared" si="18"/>
        <v>0</v>
      </c>
      <c r="S49" s="2"/>
      <c r="T49" s="2">
        <v>3252.39</v>
      </c>
      <c r="U49" s="2"/>
      <c r="V49" s="19">
        <f t="shared" si="19"/>
        <v>1.1187018011106222E-2</v>
      </c>
      <c r="W49" s="2"/>
      <c r="X49" s="2">
        <f t="shared" si="20"/>
        <v>-3252.39</v>
      </c>
      <c r="Y49" s="2"/>
      <c r="Z49" s="19">
        <f t="shared" si="21"/>
        <v>-1</v>
      </c>
    </row>
    <row r="50" spans="1:26" s="24" customFormat="1" hidden="1" outlineLevel="1" x14ac:dyDescent="0.25">
      <c r="A50" s="44"/>
      <c r="B50" s="11" t="str">
        <f>CONCATENATE("          ", "5026", " - ", "PURCHASES @ COST-WRITING INSTR")</f>
        <v xml:space="preserve">          5026 - PURCHASES @ COST-WRITING INSTR</v>
      </c>
      <c r="C50" s="11"/>
      <c r="D50" s="2"/>
      <c r="E50" s="2"/>
      <c r="F50" s="19">
        <f t="shared" si="14"/>
        <v>0</v>
      </c>
      <c r="G50" s="2"/>
      <c r="H50" s="2">
        <v>2262.16</v>
      </c>
      <c r="I50" s="2"/>
      <c r="J50" s="19">
        <f t="shared" si="15"/>
        <v>1.6318211177342754E-2</v>
      </c>
      <c r="K50" s="2"/>
      <c r="L50" s="2">
        <f t="shared" si="16"/>
        <v>-2262.16</v>
      </c>
      <c r="M50" s="2"/>
      <c r="N50" s="19">
        <f t="shared" si="17"/>
        <v>-1</v>
      </c>
      <c r="O50" s="11"/>
      <c r="P50" s="2"/>
      <c r="Q50" s="2"/>
      <c r="R50" s="19">
        <f t="shared" si="18"/>
        <v>0</v>
      </c>
      <c r="S50" s="2"/>
      <c r="T50" s="2">
        <v>14852.310000000001</v>
      </c>
      <c r="U50" s="2"/>
      <c r="V50" s="19">
        <f t="shared" si="19"/>
        <v>5.1086450111005467E-2</v>
      </c>
      <c r="W50" s="2"/>
      <c r="X50" s="2">
        <f t="shared" si="20"/>
        <v>-14852.310000000001</v>
      </c>
      <c r="Y50" s="2"/>
      <c r="Z50" s="19">
        <f t="shared" si="21"/>
        <v>-1</v>
      </c>
    </row>
    <row r="51" spans="1:26" s="24" customFormat="1" hidden="1" outlineLevel="1" x14ac:dyDescent="0.25">
      <c r="A51" s="44"/>
      <c r="B51" s="11" t="str">
        <f>CONCATENATE("          ", "5027", " - ", "PURCHASES @ COST-SCHOOL SUPPLI")</f>
        <v xml:space="preserve">          5027 - PURCHASES @ COST-SCHOOL SUPPLI</v>
      </c>
      <c r="C51" s="11"/>
      <c r="D51" s="2"/>
      <c r="E51" s="2"/>
      <c r="F51" s="19">
        <f t="shared" si="14"/>
        <v>0</v>
      </c>
      <c r="G51" s="2"/>
      <c r="H51" s="2">
        <v>12691.01</v>
      </c>
      <c r="I51" s="2"/>
      <c r="J51" s="19">
        <f t="shared" si="15"/>
        <v>9.1547273947805943E-2</v>
      </c>
      <c r="K51" s="2"/>
      <c r="L51" s="2">
        <f t="shared" si="16"/>
        <v>-12691.01</v>
      </c>
      <c r="M51" s="2"/>
      <c r="N51" s="19">
        <f t="shared" si="17"/>
        <v>-1</v>
      </c>
      <c r="O51" s="11"/>
      <c r="P51" s="2"/>
      <c r="Q51" s="2"/>
      <c r="R51" s="19">
        <f t="shared" si="18"/>
        <v>0</v>
      </c>
      <c r="S51" s="2"/>
      <c r="T51" s="2">
        <v>62154.22</v>
      </c>
      <c r="U51" s="2"/>
      <c r="V51" s="19">
        <f t="shared" si="19"/>
        <v>0.21378751582874705</v>
      </c>
      <c r="W51" s="2"/>
      <c r="X51" s="2">
        <f t="shared" si="20"/>
        <v>-62154.22</v>
      </c>
      <c r="Y51" s="2"/>
      <c r="Z51" s="19">
        <f t="shared" si="21"/>
        <v>-1</v>
      </c>
    </row>
    <row r="52" spans="1:26" s="24" customFormat="1" hidden="1" outlineLevel="1" x14ac:dyDescent="0.25">
      <c r="A52" s="44"/>
      <c r="B52" s="11" t="str">
        <f>CONCATENATE("          ", "5028", " - ", "PURCHASES @ COST-ART/TECH")</f>
        <v xml:space="preserve">          5028 - PURCHASES @ COST-ART/TECH</v>
      </c>
      <c r="C52" s="11"/>
      <c r="D52" s="2"/>
      <c r="E52" s="2"/>
      <c r="F52" s="19">
        <f t="shared" si="14"/>
        <v>0</v>
      </c>
      <c r="G52" s="2"/>
      <c r="H52" s="2">
        <v>14830.009999999998</v>
      </c>
      <c r="I52" s="2"/>
      <c r="J52" s="19">
        <f t="shared" si="15"/>
        <v>0.1069770639309796</v>
      </c>
      <c r="K52" s="2"/>
      <c r="L52" s="2">
        <f t="shared" si="16"/>
        <v>-14830.009999999998</v>
      </c>
      <c r="M52" s="2"/>
      <c r="N52" s="19">
        <f t="shared" si="17"/>
        <v>-1</v>
      </c>
      <c r="O52" s="11"/>
      <c r="P52" s="2"/>
      <c r="Q52" s="2"/>
      <c r="R52" s="19">
        <f t="shared" si="18"/>
        <v>0</v>
      </c>
      <c r="S52" s="2"/>
      <c r="T52" s="2">
        <v>70844.78</v>
      </c>
      <c r="U52" s="2"/>
      <c r="V52" s="19">
        <f t="shared" si="19"/>
        <v>0.24367982617486153</v>
      </c>
      <c r="W52" s="2"/>
      <c r="X52" s="2">
        <f t="shared" si="20"/>
        <v>-70844.78</v>
      </c>
      <c r="Y52" s="2"/>
      <c r="Z52" s="19">
        <f t="shared" si="21"/>
        <v>-1</v>
      </c>
    </row>
    <row r="53" spans="1:26" s="24" customFormat="1" hidden="1" outlineLevel="1" x14ac:dyDescent="0.25">
      <c r="A53" s="44"/>
      <c r="B53" s="11" t="str">
        <f>CONCATENATE("          ", "5031", " - ", "PURCHASES @ COST-FOOD")</f>
        <v xml:space="preserve">          5031 - PURCHASES @ COST-FOOD</v>
      </c>
      <c r="C53" s="11"/>
      <c r="D53" s="2">
        <v>2882.41</v>
      </c>
      <c r="E53" s="2"/>
      <c r="F53" s="19">
        <f t="shared" si="14"/>
        <v>0.32400900171761043</v>
      </c>
      <c r="G53" s="2"/>
      <c r="H53" s="2">
        <v>5471.01</v>
      </c>
      <c r="I53" s="2"/>
      <c r="J53" s="19">
        <f t="shared" si="15"/>
        <v>3.9465420895672274E-2</v>
      </c>
      <c r="K53" s="2"/>
      <c r="L53" s="2">
        <f t="shared" si="16"/>
        <v>-2588.6000000000004</v>
      </c>
      <c r="M53" s="2"/>
      <c r="N53" s="19">
        <f t="shared" si="17"/>
        <v>-0.47314846801596055</v>
      </c>
      <c r="O53" s="11"/>
      <c r="P53" s="2">
        <v>2882.41</v>
      </c>
      <c r="Q53" s="2"/>
      <c r="R53" s="19">
        <f t="shared" si="18"/>
        <v>0.13536241630279297</v>
      </c>
      <c r="S53" s="2"/>
      <c r="T53" s="2">
        <v>8150.05</v>
      </c>
      <c r="U53" s="2"/>
      <c r="V53" s="19">
        <f t="shared" si="19"/>
        <v>2.8033155968815632E-2</v>
      </c>
      <c r="W53" s="2"/>
      <c r="X53" s="2">
        <f t="shared" si="20"/>
        <v>-5267.64</v>
      </c>
      <c r="Y53" s="2"/>
      <c r="Z53" s="19">
        <f t="shared" si="21"/>
        <v>-0.64633223109060678</v>
      </c>
    </row>
    <row r="54" spans="1:26" s="24" customFormat="1" hidden="1" outlineLevel="1" x14ac:dyDescent="0.25">
      <c r="A54" s="44"/>
      <c r="B54" s="11" t="str">
        <f>CONCATENATE("          ", "5032", " - ", "PURCHASES @ COST-JUICE")</f>
        <v xml:space="preserve">          5032 - PURCHASES @ COST-JUICE</v>
      </c>
      <c r="C54" s="11"/>
      <c r="D54" s="2"/>
      <c r="E54" s="2"/>
      <c r="F54" s="19">
        <f t="shared" si="14"/>
        <v>0</v>
      </c>
      <c r="G54" s="2"/>
      <c r="H54" s="2">
        <v>477.55</v>
      </c>
      <c r="I54" s="2"/>
      <c r="J54" s="19">
        <f t="shared" si="15"/>
        <v>3.4448322610867634E-3</v>
      </c>
      <c r="K54" s="2"/>
      <c r="L54" s="2">
        <f t="shared" si="16"/>
        <v>-477.55</v>
      </c>
      <c r="M54" s="2"/>
      <c r="N54" s="19">
        <f t="shared" si="17"/>
        <v>-1</v>
      </c>
      <c r="O54" s="11"/>
      <c r="P54" s="2"/>
      <c r="Q54" s="2"/>
      <c r="R54" s="19">
        <f t="shared" si="18"/>
        <v>0</v>
      </c>
      <c r="S54" s="2"/>
      <c r="T54" s="2">
        <v>819.15</v>
      </c>
      <c r="U54" s="2"/>
      <c r="V54" s="19">
        <f t="shared" si="19"/>
        <v>2.8175728629708189E-3</v>
      </c>
      <c r="W54" s="2"/>
      <c r="X54" s="2">
        <f t="shared" si="20"/>
        <v>-819.15</v>
      </c>
      <c r="Y54" s="2"/>
      <c r="Z54" s="19">
        <f t="shared" si="21"/>
        <v>-1</v>
      </c>
    </row>
    <row r="55" spans="1:26" s="24" customFormat="1" hidden="1" outlineLevel="1" x14ac:dyDescent="0.25">
      <c r="A55" s="44"/>
      <c r="B55" s="11" t="str">
        <f>CONCATENATE("          ", "5033", " - ", "PURCHASES @ COST-CANDY")</f>
        <v xml:space="preserve">          5033 - PURCHASES @ COST-CANDY</v>
      </c>
      <c r="C55" s="11"/>
      <c r="D55" s="2"/>
      <c r="E55" s="2"/>
      <c r="F55" s="19">
        <f t="shared" si="14"/>
        <v>0</v>
      </c>
      <c r="G55" s="2"/>
      <c r="H55" s="2">
        <v>1366.65</v>
      </c>
      <c r="I55" s="2"/>
      <c r="J55" s="19">
        <f t="shared" si="15"/>
        <v>9.8584022816756902E-3</v>
      </c>
      <c r="K55" s="2"/>
      <c r="L55" s="2">
        <f t="shared" si="16"/>
        <v>-1366.65</v>
      </c>
      <c r="M55" s="2"/>
      <c r="N55" s="19">
        <f t="shared" si="17"/>
        <v>-1</v>
      </c>
      <c r="O55" s="11"/>
      <c r="P55" s="2"/>
      <c r="Q55" s="2"/>
      <c r="R55" s="19">
        <f t="shared" si="18"/>
        <v>0</v>
      </c>
      <c r="S55" s="2"/>
      <c r="T55" s="2">
        <v>2353.11</v>
      </c>
      <c r="U55" s="2"/>
      <c r="V55" s="19">
        <f t="shared" si="19"/>
        <v>8.0938276012760355E-3</v>
      </c>
      <c r="W55" s="2"/>
      <c r="X55" s="2">
        <f t="shared" si="20"/>
        <v>-2353.11</v>
      </c>
      <c r="Y55" s="2"/>
      <c r="Z55" s="19">
        <f t="shared" si="21"/>
        <v>-1</v>
      </c>
    </row>
    <row r="56" spans="1:26" s="24" customFormat="1" hidden="1" outlineLevel="1" x14ac:dyDescent="0.25">
      <c r="A56" s="44"/>
      <c r="B56" s="11" t="str">
        <f>CONCATENATE("          ", "5034", " - ", "PURCHASES @ COST-SODA")</f>
        <v xml:space="preserve">          5034 - PURCHASES @ COST-SODA</v>
      </c>
      <c r="C56" s="11"/>
      <c r="D56" s="2"/>
      <c r="E56" s="2"/>
      <c r="F56" s="19">
        <f t="shared" si="14"/>
        <v>0</v>
      </c>
      <c r="G56" s="2"/>
      <c r="H56" s="2">
        <v>330.04</v>
      </c>
      <c r="I56" s="2"/>
      <c r="J56" s="19">
        <f t="shared" si="15"/>
        <v>2.3807610500451797E-3</v>
      </c>
      <c r="K56" s="2"/>
      <c r="L56" s="2">
        <f t="shared" si="16"/>
        <v>-330.04</v>
      </c>
      <c r="M56" s="2"/>
      <c r="N56" s="19">
        <f t="shared" si="17"/>
        <v>-1</v>
      </c>
      <c r="O56" s="11"/>
      <c r="P56" s="2"/>
      <c r="Q56" s="2"/>
      <c r="R56" s="19">
        <f t="shared" si="18"/>
        <v>0</v>
      </c>
      <c r="S56" s="2"/>
      <c r="T56" s="2">
        <v>618.54</v>
      </c>
      <c r="U56" s="2"/>
      <c r="V56" s="19">
        <f t="shared" si="19"/>
        <v>2.1275487012903257E-3</v>
      </c>
      <c r="W56" s="2"/>
      <c r="X56" s="2">
        <f t="shared" si="20"/>
        <v>-618.54</v>
      </c>
      <c r="Y56" s="2"/>
      <c r="Z56" s="19">
        <f t="shared" si="21"/>
        <v>-1</v>
      </c>
    </row>
    <row r="57" spans="1:26" s="24" customFormat="1" hidden="1" outlineLevel="1" x14ac:dyDescent="0.25">
      <c r="A57" s="44"/>
      <c r="B57" s="11" t="str">
        <f>CONCATENATE("          ", "5035", " - ", "PURCHASES @ COST-HEALTH &amp; BEAU")</f>
        <v xml:space="preserve">          5035 - PURCHASES @ COST-HEALTH &amp; BEAU</v>
      </c>
      <c r="C57" s="11"/>
      <c r="D57" s="2"/>
      <c r="E57" s="2"/>
      <c r="F57" s="19">
        <f t="shared" si="14"/>
        <v>0</v>
      </c>
      <c r="G57" s="2"/>
      <c r="H57" s="2">
        <v>210.83</v>
      </c>
      <c r="I57" s="2"/>
      <c r="J57" s="19">
        <f t="shared" si="15"/>
        <v>1.5208333904406291E-3</v>
      </c>
      <c r="K57" s="2"/>
      <c r="L57" s="2">
        <f t="shared" si="16"/>
        <v>-210.83</v>
      </c>
      <c r="M57" s="2"/>
      <c r="N57" s="19">
        <f t="shared" si="17"/>
        <v>-1</v>
      </c>
      <c r="O57" s="11"/>
      <c r="P57" s="2"/>
      <c r="Q57" s="2"/>
      <c r="R57" s="19">
        <f t="shared" si="18"/>
        <v>0</v>
      </c>
      <c r="S57" s="2"/>
      <c r="T57" s="2">
        <v>287.56</v>
      </c>
      <c r="U57" s="2"/>
      <c r="V57" s="19">
        <f t="shared" si="19"/>
        <v>9.8909998471084499E-4</v>
      </c>
      <c r="W57" s="2"/>
      <c r="X57" s="2">
        <f t="shared" si="20"/>
        <v>-287.56</v>
      </c>
      <c r="Y57" s="2"/>
      <c r="Z57" s="19">
        <f t="shared" si="21"/>
        <v>-1</v>
      </c>
    </row>
    <row r="58" spans="1:26" s="24" customFormat="1" hidden="1" outlineLevel="1" x14ac:dyDescent="0.25">
      <c r="A58" s="44"/>
      <c r="B58" s="11" t="str">
        <f>CONCATENATE("          ", "5037", " - ", "PURCHASES @ COST-WATER")</f>
        <v xml:space="preserve">          5037 - PURCHASES @ COST-WATER</v>
      </c>
      <c r="C58" s="11"/>
      <c r="D58" s="2"/>
      <c r="E58" s="2"/>
      <c r="F58" s="19">
        <f t="shared" si="14"/>
        <v>0</v>
      </c>
      <c r="G58" s="2"/>
      <c r="H58" s="2">
        <v>896.64</v>
      </c>
      <c r="I58" s="2"/>
      <c r="J58" s="19">
        <f t="shared" si="15"/>
        <v>6.4679602106184394E-3</v>
      </c>
      <c r="K58" s="2"/>
      <c r="L58" s="2">
        <f t="shared" si="16"/>
        <v>-896.64</v>
      </c>
      <c r="M58" s="2"/>
      <c r="N58" s="19">
        <f t="shared" si="17"/>
        <v>-1</v>
      </c>
      <c r="O58" s="11"/>
      <c r="P58" s="2"/>
      <c r="Q58" s="2"/>
      <c r="R58" s="19">
        <f t="shared" si="18"/>
        <v>0</v>
      </c>
      <c r="S58" s="2"/>
      <c r="T58" s="2">
        <v>1362.82</v>
      </c>
      <c r="U58" s="2"/>
      <c r="V58" s="19">
        <f t="shared" si="19"/>
        <v>4.6875964708708922E-3</v>
      </c>
      <c r="W58" s="2"/>
      <c r="X58" s="2">
        <f t="shared" si="20"/>
        <v>-1362.82</v>
      </c>
      <c r="Y58" s="2"/>
      <c r="Z58" s="19">
        <f t="shared" si="21"/>
        <v>-1</v>
      </c>
    </row>
    <row r="59" spans="1:26" s="24" customFormat="1" hidden="1" outlineLevel="1" x14ac:dyDescent="0.25">
      <c r="A59" s="44"/>
      <c r="B59" s="11" t="str">
        <f>CONCATENATE("          ", "5081", " - ", "PURCHASES @ COST-ELECTRONICS")</f>
        <v xml:space="preserve">          5081 - PURCHASES @ COST-ELECTRONICS</v>
      </c>
      <c r="C59" s="11"/>
      <c r="D59" s="2"/>
      <c r="E59" s="2"/>
      <c r="F59" s="19">
        <f t="shared" si="14"/>
        <v>0</v>
      </c>
      <c r="G59" s="2"/>
      <c r="H59" s="2">
        <v>167.92</v>
      </c>
      <c r="I59" s="2"/>
      <c r="J59" s="19">
        <f t="shared" si="15"/>
        <v>1.2112998288800949E-3</v>
      </c>
      <c r="K59" s="2"/>
      <c r="L59" s="2">
        <f t="shared" si="16"/>
        <v>-167.92</v>
      </c>
      <c r="M59" s="2"/>
      <c r="N59" s="19">
        <f t="shared" si="17"/>
        <v>-1</v>
      </c>
      <c r="O59" s="11"/>
      <c r="P59" s="2"/>
      <c r="Q59" s="2"/>
      <c r="R59" s="19">
        <f t="shared" si="18"/>
        <v>0</v>
      </c>
      <c r="S59" s="2"/>
      <c r="T59" s="2">
        <v>472.08</v>
      </c>
      <c r="U59" s="2"/>
      <c r="V59" s="19">
        <f t="shared" si="19"/>
        <v>1.6237805007034906E-3</v>
      </c>
      <c r="W59" s="2"/>
      <c r="X59" s="2">
        <f t="shared" si="20"/>
        <v>-472.08</v>
      </c>
      <c r="Y59" s="2"/>
      <c r="Z59" s="19">
        <f t="shared" si="21"/>
        <v>-1</v>
      </c>
    </row>
    <row r="60" spans="1:26" s="24" customFormat="1" hidden="1" outlineLevel="1" x14ac:dyDescent="0.25">
      <c r="A60" s="44"/>
      <c r="B60" s="11" t="str">
        <f>CONCATENATE("          ", "5082", " - ", "PURCHASES @ COST-COMPUTER HARD")</f>
        <v xml:space="preserve">          5082 - PURCHASES @ COST-COMPUTER HARD</v>
      </c>
      <c r="C60" s="11"/>
      <c r="D60" s="2"/>
      <c r="E60" s="2"/>
      <c r="F60" s="19">
        <f t="shared" si="14"/>
        <v>0</v>
      </c>
      <c r="G60" s="2"/>
      <c r="H60" s="2">
        <v>19</v>
      </c>
      <c r="I60" s="2"/>
      <c r="J60" s="19">
        <f t="shared" si="15"/>
        <v>1.370575080319307E-4</v>
      </c>
      <c r="K60" s="2"/>
      <c r="L60" s="2">
        <f t="shared" si="16"/>
        <v>-19</v>
      </c>
      <c r="M60" s="2"/>
      <c r="N60" s="19">
        <f t="shared" si="17"/>
        <v>-1</v>
      </c>
      <c r="O60" s="11"/>
      <c r="P60" s="2"/>
      <c r="Q60" s="2"/>
      <c r="R60" s="19">
        <f t="shared" si="18"/>
        <v>0</v>
      </c>
      <c r="S60" s="2"/>
      <c r="T60" s="2">
        <v>149.6</v>
      </c>
      <c r="U60" s="2"/>
      <c r="V60" s="19">
        <f t="shared" si="19"/>
        <v>5.145686385893115E-4</v>
      </c>
      <c r="W60" s="2"/>
      <c r="X60" s="2">
        <f t="shared" si="20"/>
        <v>-149.6</v>
      </c>
      <c r="Y60" s="2"/>
      <c r="Z60" s="19">
        <f t="shared" si="21"/>
        <v>-1</v>
      </c>
    </row>
    <row r="61" spans="1:26" s="24" customFormat="1" hidden="1" outlineLevel="1" x14ac:dyDescent="0.25">
      <c r="A61" s="44"/>
      <c r="B61" s="11" t="str">
        <f>CONCATENATE("          ", "5083", " - ", "PURCHASES @ COST-COMPUTER EQUI")</f>
        <v xml:space="preserve">          5083 - PURCHASES @ COST-COMPUTER EQUI</v>
      </c>
      <c r="C61" s="11"/>
      <c r="D61" s="2"/>
      <c r="E61" s="2"/>
      <c r="F61" s="19">
        <f t="shared" si="14"/>
        <v>0</v>
      </c>
      <c r="G61" s="2"/>
      <c r="H61" s="2">
        <v>74.55</v>
      </c>
      <c r="I61" s="2"/>
      <c r="J61" s="19">
        <f t="shared" si="15"/>
        <v>5.377703801989702E-4</v>
      </c>
      <c r="K61" s="2"/>
      <c r="L61" s="2">
        <f t="shared" si="16"/>
        <v>-74.55</v>
      </c>
      <c r="M61" s="2"/>
      <c r="N61" s="19">
        <f t="shared" si="17"/>
        <v>-1</v>
      </c>
      <c r="O61" s="11"/>
      <c r="P61" s="2"/>
      <c r="Q61" s="2"/>
      <c r="R61" s="19">
        <f t="shared" si="18"/>
        <v>0</v>
      </c>
      <c r="S61" s="2"/>
      <c r="T61" s="2">
        <v>116.05</v>
      </c>
      <c r="U61" s="2"/>
      <c r="V61" s="19">
        <f t="shared" si="19"/>
        <v>3.9916905419979683E-4</v>
      </c>
      <c r="W61" s="2"/>
      <c r="X61" s="2">
        <f t="shared" si="20"/>
        <v>-116.05</v>
      </c>
      <c r="Y61" s="2"/>
      <c r="Z61" s="19">
        <f t="shared" si="21"/>
        <v>-1</v>
      </c>
    </row>
    <row r="62" spans="1:26" s="24" customFormat="1" hidden="1" outlineLevel="1" x14ac:dyDescent="0.25">
      <c r="A62" s="44"/>
      <c r="B62" s="11" t="str">
        <f>CONCATENATE("          ", "5086", " - ", "PURCHASES @ COST-COMPUTER SUPP")</f>
        <v xml:space="preserve">          5086 - PURCHASES @ COST-COMPUTER SUPP</v>
      </c>
      <c r="C62" s="11"/>
      <c r="D62" s="2"/>
      <c r="E62" s="2"/>
      <c r="F62" s="19">
        <f t="shared" si="14"/>
        <v>0</v>
      </c>
      <c r="G62" s="2"/>
      <c r="H62" s="2">
        <v>29</v>
      </c>
      <c r="I62" s="2"/>
      <c r="J62" s="19">
        <f t="shared" si="15"/>
        <v>2.0919303857505213E-4</v>
      </c>
      <c r="K62" s="2"/>
      <c r="L62" s="2">
        <f t="shared" si="16"/>
        <v>-29</v>
      </c>
      <c r="M62" s="2"/>
      <c r="N62" s="19">
        <f t="shared" si="17"/>
        <v>-1</v>
      </c>
      <c r="O62" s="11"/>
      <c r="P62" s="2"/>
      <c r="Q62" s="2"/>
      <c r="R62" s="19">
        <f t="shared" si="18"/>
        <v>0</v>
      </c>
      <c r="S62" s="2"/>
      <c r="T62" s="2">
        <v>87</v>
      </c>
      <c r="U62" s="2"/>
      <c r="V62" s="19">
        <f t="shared" si="19"/>
        <v>2.9924780452720656E-4</v>
      </c>
      <c r="W62" s="2"/>
      <c r="X62" s="2">
        <f t="shared" si="20"/>
        <v>-87</v>
      </c>
      <c r="Y62" s="2"/>
      <c r="Z62" s="19">
        <f t="shared" si="21"/>
        <v>-1</v>
      </c>
    </row>
    <row r="63" spans="1:26" s="24" customFormat="1" hidden="1" outlineLevel="1" x14ac:dyDescent="0.25">
      <c r="A63" s="44"/>
      <c r="B63" s="11" t="str">
        <f>CONCATENATE("          ", "5200", " - ", "PURCHASES OFFSET")</f>
        <v xml:space="preserve">          5200 - PURCHASES OFFSET</v>
      </c>
      <c r="C63" s="11"/>
      <c r="D63" s="2">
        <v>-2889.17</v>
      </c>
      <c r="E63" s="2"/>
      <c r="F63" s="19">
        <f t="shared" si="14"/>
        <v>-0.32476888697044093</v>
      </c>
      <c r="G63" s="2"/>
      <c r="H63" s="2">
        <v>-40649</v>
      </c>
      <c r="I63" s="2"/>
      <c r="J63" s="19">
        <f t="shared" si="15"/>
        <v>-0.2932237181047343</v>
      </c>
      <c r="K63" s="2"/>
      <c r="L63" s="2">
        <f t="shared" si="16"/>
        <v>37759.83</v>
      </c>
      <c r="M63" s="2"/>
      <c r="N63" s="19">
        <f t="shared" si="17"/>
        <v>-0.92892395876897349</v>
      </c>
      <c r="O63" s="11"/>
      <c r="P63" s="2">
        <v>-2889.17</v>
      </c>
      <c r="Q63" s="2"/>
      <c r="R63" s="19">
        <f t="shared" si="18"/>
        <v>-0.13567987632208478</v>
      </c>
      <c r="S63" s="2"/>
      <c r="T63" s="2">
        <v>-166604</v>
      </c>
      <c r="U63" s="2"/>
      <c r="V63" s="19">
        <f t="shared" si="19"/>
        <v>-0.5730561060396635</v>
      </c>
      <c r="W63" s="2"/>
      <c r="X63" s="2">
        <f t="shared" si="20"/>
        <v>163714.82999999999</v>
      </c>
      <c r="Y63" s="2"/>
      <c r="Z63" s="19">
        <f t="shared" si="21"/>
        <v>-0.98265845958080233</v>
      </c>
    </row>
    <row r="64" spans="1:26" s="24" customFormat="1" hidden="1" outlineLevel="1" x14ac:dyDescent="0.25">
      <c r="A64" s="44"/>
      <c r="B64" s="11" t="str">
        <f>CONCATENATE("          ", "5300", " - ", "COG$ OFFSET")</f>
        <v xml:space="preserve">          5300 - COG$ OFFSET</v>
      </c>
      <c r="C64" s="11"/>
      <c r="D64" s="2">
        <v>5140</v>
      </c>
      <c r="E64" s="2"/>
      <c r="F64" s="19">
        <f t="shared" si="14"/>
        <v>0.5777825738977167</v>
      </c>
      <c r="G64" s="2"/>
      <c r="H64" s="2">
        <v>69926</v>
      </c>
      <c r="I64" s="2"/>
      <c r="J64" s="19">
        <f t="shared" si="15"/>
        <v>0.5044149108758309</v>
      </c>
      <c r="K64" s="2"/>
      <c r="L64" s="2">
        <f t="shared" si="16"/>
        <v>-64786</v>
      </c>
      <c r="M64" s="2"/>
      <c r="N64" s="19">
        <f t="shared" si="17"/>
        <v>-0.92649372193461654</v>
      </c>
      <c r="O64" s="11"/>
      <c r="P64" s="2">
        <v>14145</v>
      </c>
      <c r="Q64" s="2"/>
      <c r="R64" s="19">
        <f t="shared" si="18"/>
        <v>0.66427100190569932</v>
      </c>
      <c r="S64" s="2"/>
      <c r="T64" s="2">
        <v>141953</v>
      </c>
      <c r="U64" s="2"/>
      <c r="V64" s="19">
        <f t="shared" si="19"/>
        <v>0.48826578846035118</v>
      </c>
      <c r="W64" s="2"/>
      <c r="X64" s="2">
        <f t="shared" si="20"/>
        <v>-127808</v>
      </c>
      <c r="Y64" s="2"/>
      <c r="Z64" s="19">
        <f t="shared" si="21"/>
        <v>-0.90035434263453396</v>
      </c>
    </row>
    <row r="65" spans="1:26" s="24" customFormat="1" hidden="1" outlineLevel="1" x14ac:dyDescent="0.25">
      <c r="A65" s="44"/>
      <c r="B65" s="11" t="str">
        <f>CONCATENATE("          ", "5500", " - ", "FREIGHT-IN")</f>
        <v xml:space="preserve">          5500 - FREIGHT-IN</v>
      </c>
      <c r="C65" s="11"/>
      <c r="D65" s="2"/>
      <c r="E65" s="2"/>
      <c r="F65" s="19">
        <f t="shared" si="14"/>
        <v>0</v>
      </c>
      <c r="G65" s="2"/>
      <c r="H65" s="2">
        <v>-49</v>
      </c>
      <c r="I65" s="2"/>
      <c r="J65" s="19">
        <f t="shared" si="15"/>
        <v>-3.5346409966129495E-4</v>
      </c>
      <c r="K65" s="2"/>
      <c r="L65" s="2">
        <f t="shared" si="16"/>
        <v>49</v>
      </c>
      <c r="M65" s="2"/>
      <c r="N65" s="19">
        <f t="shared" si="17"/>
        <v>-1</v>
      </c>
      <c r="O65" s="11"/>
      <c r="P65" s="2"/>
      <c r="Q65" s="2"/>
      <c r="R65" s="19">
        <f t="shared" si="18"/>
        <v>0</v>
      </c>
      <c r="S65" s="2"/>
      <c r="T65" s="2">
        <v>0</v>
      </c>
      <c r="U65" s="2"/>
      <c r="V65" s="19">
        <f t="shared" si="19"/>
        <v>0</v>
      </c>
      <c r="W65" s="2"/>
      <c r="X65" s="2">
        <f t="shared" si="20"/>
        <v>0</v>
      </c>
      <c r="Y65" s="2"/>
      <c r="Z65" s="19">
        <f t="shared" si="21"/>
        <v>0</v>
      </c>
    </row>
    <row r="66" spans="1:26" s="24" customFormat="1" hidden="1" outlineLevel="1" x14ac:dyDescent="0.25">
      <c r="A66" s="44"/>
      <c r="B66" s="11" t="str">
        <f>CONCATENATE("          ", "5526", " - ", "FREIGHT-IN-WRITING INSTRUMENTS")</f>
        <v xml:space="preserve">          5526 - FREIGHT-IN-WRITING INSTRUMENTS</v>
      </c>
      <c r="C66" s="11"/>
      <c r="D66" s="2"/>
      <c r="E66" s="2"/>
      <c r="F66" s="19">
        <f t="shared" si="14"/>
        <v>0</v>
      </c>
      <c r="G66" s="2"/>
      <c r="H66" s="2"/>
      <c r="I66" s="2"/>
      <c r="J66" s="19">
        <f t="shared" si="15"/>
        <v>0</v>
      </c>
      <c r="K66" s="2"/>
      <c r="L66" s="2">
        <f t="shared" si="16"/>
        <v>0</v>
      </c>
      <c r="M66" s="2"/>
      <c r="N66" s="19">
        <f t="shared" si="17"/>
        <v>0</v>
      </c>
      <c r="O66" s="11"/>
      <c r="P66" s="2"/>
      <c r="Q66" s="2"/>
      <c r="R66" s="19">
        <f t="shared" si="18"/>
        <v>0</v>
      </c>
      <c r="S66" s="2"/>
      <c r="T66" s="2">
        <v>56.57</v>
      </c>
      <c r="U66" s="2"/>
      <c r="V66" s="19">
        <f t="shared" si="19"/>
        <v>1.9457986554142616E-4</v>
      </c>
      <c r="W66" s="2"/>
      <c r="X66" s="2">
        <f t="shared" si="20"/>
        <v>-56.57</v>
      </c>
      <c r="Y66" s="2"/>
      <c r="Z66" s="19">
        <f t="shared" si="21"/>
        <v>-1</v>
      </c>
    </row>
    <row r="67" spans="1:26" s="24" customFormat="1" hidden="1" outlineLevel="1" x14ac:dyDescent="0.25">
      <c r="A67" s="44"/>
      <c r="B67" s="11" t="str">
        <f>CONCATENATE("          ", "5527", " - ", "FREIGHT-IN-SCHOOL SUPPLIES")</f>
        <v xml:space="preserve">          5527 - FREIGHT-IN-SCHOOL SUPPLIES</v>
      </c>
      <c r="C67" s="11"/>
      <c r="D67" s="2"/>
      <c r="E67" s="2"/>
      <c r="F67" s="19">
        <f t="shared" si="14"/>
        <v>0</v>
      </c>
      <c r="G67" s="2"/>
      <c r="H67" s="2">
        <v>133.38999999999999</v>
      </c>
      <c r="I67" s="2"/>
      <c r="J67" s="19">
        <f t="shared" si="15"/>
        <v>9.6221584191469658E-4</v>
      </c>
      <c r="K67" s="2"/>
      <c r="L67" s="2">
        <f t="shared" si="16"/>
        <v>-133.38999999999999</v>
      </c>
      <c r="M67" s="2"/>
      <c r="N67" s="19">
        <f t="shared" si="17"/>
        <v>-1</v>
      </c>
      <c r="O67" s="11"/>
      <c r="P67" s="2"/>
      <c r="Q67" s="2"/>
      <c r="R67" s="19">
        <f t="shared" si="18"/>
        <v>0</v>
      </c>
      <c r="S67" s="2"/>
      <c r="T67" s="2">
        <v>393.9</v>
      </c>
      <c r="U67" s="2"/>
      <c r="V67" s="19">
        <f t="shared" si="19"/>
        <v>1.3548702322214558E-3</v>
      </c>
      <c r="W67" s="2"/>
      <c r="X67" s="2">
        <f t="shared" si="20"/>
        <v>-393.9</v>
      </c>
      <c r="Y67" s="2"/>
      <c r="Z67" s="19">
        <f t="shared" si="21"/>
        <v>-1</v>
      </c>
    </row>
    <row r="68" spans="1:26" s="24" customFormat="1" hidden="1" outlineLevel="1" x14ac:dyDescent="0.25">
      <c r="A68" s="44"/>
      <c r="B68" s="11" t="str">
        <f>CONCATENATE("          ", "5528", " - ", "FREIGHT-IN-ART/TECH")</f>
        <v xml:space="preserve">          5528 - FREIGHT-IN-ART/TECH</v>
      </c>
      <c r="C68" s="11"/>
      <c r="D68" s="2">
        <v>6.76</v>
      </c>
      <c r="E68" s="2"/>
      <c r="F68" s="19">
        <f t="shared" si="14"/>
        <v>7.5988525283046009E-4</v>
      </c>
      <c r="G68" s="2"/>
      <c r="H68" s="2">
        <v>332.97</v>
      </c>
      <c r="I68" s="2"/>
      <c r="J68" s="19">
        <f t="shared" si="15"/>
        <v>2.4018967604943144E-3</v>
      </c>
      <c r="K68" s="2"/>
      <c r="L68" s="2">
        <f t="shared" si="16"/>
        <v>-326.21000000000004</v>
      </c>
      <c r="M68" s="2"/>
      <c r="N68" s="19">
        <f t="shared" si="17"/>
        <v>-0.97969787067904013</v>
      </c>
      <c r="O68" s="11"/>
      <c r="P68" s="2">
        <v>44.81</v>
      </c>
      <c r="Q68" s="2"/>
      <c r="R68" s="19">
        <f t="shared" si="18"/>
        <v>2.1043466663410665E-3</v>
      </c>
      <c r="S68" s="2"/>
      <c r="T68" s="2">
        <v>632.77</v>
      </c>
      <c r="U68" s="2"/>
      <c r="V68" s="19">
        <f t="shared" si="19"/>
        <v>2.1764946352951782E-3</v>
      </c>
      <c r="W68" s="2"/>
      <c r="X68" s="2">
        <f t="shared" si="20"/>
        <v>-587.96</v>
      </c>
      <c r="Y68" s="2"/>
      <c r="Z68" s="19">
        <f t="shared" si="21"/>
        <v>-0.92918437979044533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5" t="s">
        <v>6</v>
      </c>
      <c r="C70" s="25"/>
      <c r="D70" s="22">
        <f>D12-D47</f>
        <v>3756.08</v>
      </c>
      <c r="E70" s="13"/>
      <c r="F70" s="21">
        <f>IF(D$12=0,0,D70/D$12)</f>
        <v>0.42221742610228324</v>
      </c>
      <c r="G70" s="13"/>
      <c r="H70" s="22">
        <f>H12-H47</f>
        <v>68751.819999999934</v>
      </c>
      <c r="I70" s="13"/>
      <c r="J70" s="21">
        <f>IF(H$12=0,0,H70/H$12)</f>
        <v>0.49594490115051815</v>
      </c>
      <c r="K70" s="15"/>
      <c r="L70" s="22">
        <f>+D70-H70</f>
        <v>-64995.739999999932</v>
      </c>
      <c r="M70" s="15"/>
      <c r="N70" s="21">
        <f>IF(H70=0,0,L70/H70)</f>
        <v>-0.94536755536071615</v>
      </c>
      <c r="O70" s="26"/>
      <c r="P70" s="22">
        <f>P12-P47</f>
        <v>7110.9700000000012</v>
      </c>
      <c r="Q70" s="13"/>
      <c r="R70" s="21">
        <f>IF(P$12=0,0,P70/P$12)</f>
        <v>0.33394211144725144</v>
      </c>
      <c r="S70" s="13"/>
      <c r="T70" s="22">
        <f>T12-T47</f>
        <v>148777.04999999999</v>
      </c>
      <c r="U70" s="13"/>
      <c r="V70" s="21">
        <f>IF(T$12=0,0,T70/T$12)</f>
        <v>0.51173799513257967</v>
      </c>
      <c r="W70" s="15"/>
      <c r="X70" s="22">
        <f>+P70-T70</f>
        <v>-141666.07999999999</v>
      </c>
      <c r="Y70" s="15"/>
      <c r="Z70" s="21">
        <f>IF(T70=0,0,X70/T70)</f>
        <v>-0.95220385133325336</v>
      </c>
    </row>
    <row r="71" spans="1:26" x14ac:dyDescent="0.25">
      <c r="A71" s="9"/>
      <c r="B71" s="10"/>
      <c r="C71" s="9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6" t="s">
        <v>9</v>
      </c>
      <c r="C72" s="10"/>
      <c r="D72" s="20">
        <f>SUM(OSRRefD22x_0)</f>
        <v>3608.6000000000004</v>
      </c>
      <c r="E72" s="20"/>
      <c r="F72" s="36">
        <f t="shared" ref="F72:F81" si="22">IF(D$12=0,0,D72/D$12)</f>
        <v>0.40563933777573946</v>
      </c>
      <c r="G72" s="20"/>
      <c r="H72" s="20">
        <f>SUM(OSRRefH22x_0)</f>
        <v>19847.66</v>
      </c>
      <c r="I72" s="20"/>
      <c r="J72" s="36">
        <f t="shared" ref="J72:J81" si="23">IF(H$12=0,0,H72/H$12)</f>
        <v>0.14317214841394893</v>
      </c>
      <c r="K72" s="4"/>
      <c r="L72" s="20">
        <f t="shared" ref="L72:L81" si="24">+D72-H72</f>
        <v>-16239.06</v>
      </c>
      <c r="M72" s="4"/>
      <c r="N72" s="36">
        <f t="shared" ref="N72:N81" si="25">IF(H72=0,0,L72/H72)</f>
        <v>-0.81818511602879129</v>
      </c>
      <c r="O72" s="10"/>
      <c r="P72" s="20">
        <f>SUM(OSRRefP22x_0)</f>
        <v>10193.669999999996</v>
      </c>
      <c r="Q72" s="20"/>
      <c r="R72" s="36">
        <f t="shared" ref="R72:R81" si="26">IF(P$12=0,0,P72/P$12)</f>
        <v>0.47871045486009667</v>
      </c>
      <c r="S72" s="20"/>
      <c r="T72" s="20">
        <f>SUM(OSRRefT22x_0)</f>
        <v>61723.98000000001</v>
      </c>
      <c r="U72" s="20"/>
      <c r="V72" s="36">
        <f t="shared" ref="V72:V81" si="27">IF(T$12=0,0,T72/T$12)</f>
        <v>0.21230764944461161</v>
      </c>
      <c r="W72" s="4"/>
      <c r="X72" s="20">
        <f t="shared" ref="X72:X81" si="28">+P72-T72</f>
        <v>-51530.310000000012</v>
      </c>
      <c r="Y72" s="4"/>
      <c r="Z72" s="36">
        <f t="shared" ref="Z72:Z81" si="29">IF(T72=0,0,X72/T72)</f>
        <v>-0.83485073386388897</v>
      </c>
    </row>
    <row r="73" spans="1:26" s="27" customFormat="1" outlineLevel="1" collapsed="1" x14ac:dyDescent="0.25">
      <c r="A73" s="29"/>
      <c r="B73" s="14" t="str">
        <f>CONCATENATE("     ","*Benefits                                         ")</f>
        <v xml:space="preserve">     *Benefits                                         </v>
      </c>
      <c r="C73" s="14"/>
      <c r="D73" s="1">
        <f>SUM(OSRRefD22_0x_0)</f>
        <v>248.82999999999998</v>
      </c>
      <c r="E73" s="1"/>
      <c r="F73" s="5">
        <f t="shared" si="22"/>
        <v>2.7970746665947246E-2</v>
      </c>
      <c r="G73" s="1"/>
      <c r="H73" s="1">
        <f>SUM(OSRRefH22_0x_0)</f>
        <v>2406.3900000000003</v>
      </c>
      <c r="I73" s="1"/>
      <c r="J73" s="5">
        <f t="shared" si="23"/>
        <v>1.73586219343662E-2</v>
      </c>
      <c r="K73" s="1"/>
      <c r="L73" s="1">
        <f t="shared" si="24"/>
        <v>-2157.5600000000004</v>
      </c>
      <c r="M73" s="1"/>
      <c r="N73" s="5">
        <f t="shared" si="25"/>
        <v>-0.89659614609435712</v>
      </c>
      <c r="O73" s="14"/>
      <c r="P73" s="1">
        <f>SUM(OSRRefP22_0x_0)</f>
        <v>562.16999999999996</v>
      </c>
      <c r="Q73" s="1"/>
      <c r="R73" s="5">
        <f t="shared" si="26"/>
        <v>2.6400369681253231E-2</v>
      </c>
      <c r="S73" s="1"/>
      <c r="T73" s="1">
        <f>SUM(OSRRefT22_0x_0)</f>
        <v>9974.76</v>
      </c>
      <c r="U73" s="1"/>
      <c r="V73" s="5">
        <f t="shared" si="27"/>
        <v>3.4309483111331023E-2</v>
      </c>
      <c r="W73" s="1"/>
      <c r="X73" s="1">
        <f t="shared" si="28"/>
        <v>-9412.59</v>
      </c>
      <c r="Y73" s="1"/>
      <c r="Z73" s="5">
        <f t="shared" si="29"/>
        <v>-0.94364074925110975</v>
      </c>
    </row>
    <row r="74" spans="1:26" s="24" customFormat="1" hidden="1" outlineLevel="2" x14ac:dyDescent="0.25">
      <c r="A74" s="28"/>
      <c r="B74" s="11" t="str">
        <f>CONCATENATE("          ", "6111", " - ", "F.I.C.A.")</f>
        <v xml:space="preserve">          6111 - F.I.C.A.</v>
      </c>
      <c r="C74" s="11"/>
      <c r="D74" s="7">
        <v>149.04</v>
      </c>
      <c r="E74" s="2"/>
      <c r="F74" s="6">
        <f t="shared" si="22"/>
        <v>1.6753446461812392E-2</v>
      </c>
      <c r="G74" s="2"/>
      <c r="H74" s="7">
        <v>291.06</v>
      </c>
      <c r="I74" s="2"/>
      <c r="J74" s="6">
        <f t="shared" si="23"/>
        <v>2.0995767519880922E-3</v>
      </c>
      <c r="K74" s="2"/>
      <c r="L74" s="7">
        <f t="shared" si="24"/>
        <v>-142.02000000000001</v>
      </c>
      <c r="M74" s="2"/>
      <c r="N74" s="6">
        <f t="shared" si="25"/>
        <v>-0.48794063079777367</v>
      </c>
      <c r="O74" s="11"/>
      <c r="P74" s="7">
        <v>406.4</v>
      </c>
      <c r="Q74" s="2"/>
      <c r="R74" s="6">
        <f t="shared" si="26"/>
        <v>1.9085170390560353E-2</v>
      </c>
      <c r="S74" s="2"/>
      <c r="T74" s="7">
        <v>1978.31</v>
      </c>
      <c r="U74" s="2"/>
      <c r="V74" s="6">
        <f t="shared" si="27"/>
        <v>6.8046543008530806E-3</v>
      </c>
      <c r="W74" s="2"/>
      <c r="X74" s="7">
        <f t="shared" si="28"/>
        <v>-1571.9099999999999</v>
      </c>
      <c r="Y74" s="2"/>
      <c r="Z74" s="6">
        <f t="shared" si="29"/>
        <v>-0.7945721348019269</v>
      </c>
    </row>
    <row r="75" spans="1:26" s="24" customFormat="1" hidden="1" outlineLevel="2" x14ac:dyDescent="0.25">
      <c r="A75" s="28"/>
      <c r="B75" s="11" t="str">
        <f>CONCATENATE("          ", "6112", " - ", "COMPENSATION INSURANCE")</f>
        <v xml:space="preserve">          6112 - COMPENSATION INSURANCE</v>
      </c>
      <c r="C75" s="11"/>
      <c r="D75" s="7">
        <v>87.49</v>
      </c>
      <c r="E75" s="2"/>
      <c r="F75" s="6">
        <f t="shared" si="22"/>
        <v>9.8346687529788403E-3</v>
      </c>
      <c r="G75" s="2"/>
      <c r="H75" s="7">
        <v>297.19</v>
      </c>
      <c r="I75" s="2"/>
      <c r="J75" s="6">
        <f t="shared" si="23"/>
        <v>2.1437958322110253E-3</v>
      </c>
      <c r="K75" s="2"/>
      <c r="L75" s="7">
        <f t="shared" si="24"/>
        <v>-209.7</v>
      </c>
      <c r="M75" s="2"/>
      <c r="N75" s="6">
        <f t="shared" si="25"/>
        <v>-0.70560920623170365</v>
      </c>
      <c r="O75" s="11"/>
      <c r="P75" s="7">
        <v>134.72999999999999</v>
      </c>
      <c r="Q75" s="2"/>
      <c r="R75" s="6">
        <f t="shared" si="26"/>
        <v>6.3271284614178063E-3</v>
      </c>
      <c r="S75" s="2"/>
      <c r="T75" s="7">
        <v>715.69</v>
      </c>
      <c r="U75" s="2"/>
      <c r="V75" s="6">
        <f t="shared" si="27"/>
        <v>2.4617087496790402E-3</v>
      </c>
      <c r="W75" s="2"/>
      <c r="X75" s="7">
        <f t="shared" si="28"/>
        <v>-580.96</v>
      </c>
      <c r="Y75" s="2"/>
      <c r="Z75" s="6">
        <f t="shared" si="29"/>
        <v>-0.81174810322905167</v>
      </c>
    </row>
    <row r="76" spans="1:26" s="24" customFormat="1" hidden="1" outlineLevel="2" x14ac:dyDescent="0.25">
      <c r="A76" s="28"/>
      <c r="B76" s="11" t="str">
        <f>CONCATENATE("          ", "6113", " - ", "GROUP INSURANCE")</f>
        <v xml:space="preserve">          6113 - GROUP INSURANCE</v>
      </c>
      <c r="C76" s="11"/>
      <c r="D76" s="7"/>
      <c r="E76" s="2"/>
      <c r="F76" s="6">
        <f t="shared" si="22"/>
        <v>0</v>
      </c>
      <c r="G76" s="2"/>
      <c r="H76" s="7">
        <v>530.22</v>
      </c>
      <c r="I76" s="2"/>
      <c r="J76" s="6">
        <f t="shared" si="23"/>
        <v>3.8247701004573841E-3</v>
      </c>
      <c r="K76" s="2"/>
      <c r="L76" s="7">
        <f t="shared" si="24"/>
        <v>-530.22</v>
      </c>
      <c r="M76" s="2"/>
      <c r="N76" s="6">
        <f t="shared" si="25"/>
        <v>-1</v>
      </c>
      <c r="O76" s="11"/>
      <c r="P76" s="7"/>
      <c r="Q76" s="2"/>
      <c r="R76" s="6">
        <f t="shared" si="26"/>
        <v>0</v>
      </c>
      <c r="S76" s="2"/>
      <c r="T76" s="7">
        <v>3355.74</v>
      </c>
      <c r="U76" s="2"/>
      <c r="V76" s="6">
        <f t="shared" si="27"/>
        <v>1.1542503765104921E-2</v>
      </c>
      <c r="W76" s="2"/>
      <c r="X76" s="7">
        <f t="shared" si="28"/>
        <v>-3355.74</v>
      </c>
      <c r="Y76" s="2"/>
      <c r="Z76" s="6">
        <f t="shared" si="29"/>
        <v>-1</v>
      </c>
    </row>
    <row r="77" spans="1:26" s="24" customFormat="1" hidden="1" outlineLevel="2" x14ac:dyDescent="0.25">
      <c r="A77" s="28"/>
      <c r="B77" s="11" t="str">
        <f>CONCATENATE("          ", "6114", " - ", "STATE UNEMPLOYMENT INSURANCE")</f>
        <v xml:space="preserve">          6114 - STATE UNEMPLOYMENT INSURANCE</v>
      </c>
      <c r="C77" s="11"/>
      <c r="D77" s="7">
        <v>12.3</v>
      </c>
      <c r="E77" s="2"/>
      <c r="F77" s="6">
        <f t="shared" si="22"/>
        <v>1.3826314511560149E-3</v>
      </c>
      <c r="G77" s="2"/>
      <c r="H77" s="7">
        <v>40.67</v>
      </c>
      <c r="I77" s="2"/>
      <c r="J77" s="6">
        <f t="shared" si="23"/>
        <v>2.9337520271887485E-4</v>
      </c>
      <c r="K77" s="2"/>
      <c r="L77" s="7">
        <f t="shared" si="24"/>
        <v>-28.37</v>
      </c>
      <c r="M77" s="2"/>
      <c r="N77" s="6">
        <f t="shared" si="25"/>
        <v>-0.69756577329727076</v>
      </c>
      <c r="O77" s="11"/>
      <c r="P77" s="7">
        <v>21.04</v>
      </c>
      <c r="Q77" s="2"/>
      <c r="R77" s="6">
        <f t="shared" si="26"/>
        <v>9.8807082927507349E-4</v>
      </c>
      <c r="S77" s="2"/>
      <c r="T77" s="7">
        <v>97.94</v>
      </c>
      <c r="U77" s="2"/>
      <c r="V77" s="6">
        <f t="shared" si="27"/>
        <v>3.3687735603901855E-4</v>
      </c>
      <c r="W77" s="2"/>
      <c r="X77" s="7">
        <f t="shared" si="28"/>
        <v>-76.900000000000006</v>
      </c>
      <c r="Y77" s="2"/>
      <c r="Z77" s="6">
        <f t="shared" si="29"/>
        <v>-0.78517459669185219</v>
      </c>
    </row>
    <row r="78" spans="1:26" s="24" customFormat="1" hidden="1" outlineLevel="2" x14ac:dyDescent="0.25">
      <c r="A78" s="28"/>
      <c r="B78" s="11" t="str">
        <f>CONCATENATE("          ", "6115", " - ", "P.E.R.S.")</f>
        <v xml:space="preserve">          6115 - P.E.R.S.</v>
      </c>
      <c r="C78" s="11"/>
      <c r="D78" s="7"/>
      <c r="E78" s="2"/>
      <c r="F78" s="6">
        <f t="shared" si="22"/>
        <v>0</v>
      </c>
      <c r="G78" s="2"/>
      <c r="H78" s="7">
        <v>265.76</v>
      </c>
      <c r="I78" s="2"/>
      <c r="J78" s="6">
        <f t="shared" si="23"/>
        <v>1.9170738597139949E-3</v>
      </c>
      <c r="K78" s="2"/>
      <c r="L78" s="7">
        <f t="shared" si="24"/>
        <v>-265.76</v>
      </c>
      <c r="M78" s="2"/>
      <c r="N78" s="6">
        <f t="shared" si="25"/>
        <v>-1</v>
      </c>
      <c r="O78" s="11"/>
      <c r="P78" s="7"/>
      <c r="Q78" s="2"/>
      <c r="R78" s="6">
        <f t="shared" si="26"/>
        <v>0</v>
      </c>
      <c r="S78" s="2"/>
      <c r="T78" s="7">
        <v>1034.9000000000001</v>
      </c>
      <c r="U78" s="2"/>
      <c r="V78" s="6">
        <f t="shared" si="27"/>
        <v>3.5596730218989208E-3</v>
      </c>
      <c r="W78" s="2"/>
      <c r="X78" s="7">
        <f t="shared" si="28"/>
        <v>-1034.9000000000001</v>
      </c>
      <c r="Y78" s="2"/>
      <c r="Z78" s="6">
        <f t="shared" si="29"/>
        <v>-1</v>
      </c>
    </row>
    <row r="79" spans="1:26" s="24" customFormat="1" hidden="1" outlineLevel="2" x14ac:dyDescent="0.25">
      <c r="A79" s="28"/>
      <c r="B79" s="11" t="str">
        <f>CONCATENATE("          ", "6118", " - ", "VACATION")</f>
        <v xml:space="preserve">          6118 - VACATION</v>
      </c>
      <c r="C79" s="11"/>
      <c r="D79" s="7"/>
      <c r="E79" s="2"/>
      <c r="F79" s="6">
        <f t="shared" si="22"/>
        <v>0</v>
      </c>
      <c r="G79" s="2"/>
      <c r="H79" s="7">
        <v>378.72</v>
      </c>
      <c r="I79" s="2"/>
      <c r="J79" s="6">
        <f t="shared" si="23"/>
        <v>2.7319168127290946E-3</v>
      </c>
      <c r="K79" s="2"/>
      <c r="L79" s="7">
        <f t="shared" si="24"/>
        <v>-378.72</v>
      </c>
      <c r="M79" s="2"/>
      <c r="N79" s="6">
        <f t="shared" si="25"/>
        <v>-1</v>
      </c>
      <c r="O79" s="11"/>
      <c r="P79" s="7"/>
      <c r="Q79" s="2"/>
      <c r="R79" s="6">
        <f t="shared" si="26"/>
        <v>0</v>
      </c>
      <c r="S79" s="2"/>
      <c r="T79" s="7">
        <v>1175.27</v>
      </c>
      <c r="U79" s="2"/>
      <c r="V79" s="6">
        <f t="shared" si="27"/>
        <v>4.0424938761688513E-3</v>
      </c>
      <c r="W79" s="2"/>
      <c r="X79" s="7">
        <f t="shared" si="28"/>
        <v>-1175.27</v>
      </c>
      <c r="Y79" s="2"/>
      <c r="Z79" s="6">
        <f t="shared" si="29"/>
        <v>-1</v>
      </c>
    </row>
    <row r="80" spans="1:26" s="24" customFormat="1" hidden="1" outlineLevel="2" x14ac:dyDescent="0.25">
      <c r="A80" s="28"/>
      <c r="B80" s="11" t="str">
        <f>CONCATENATE("          ", "6119", " - ", "SICK LEAVE")</f>
        <v xml:space="preserve">          6119 - SICK LEAVE</v>
      </c>
      <c r="C80" s="11"/>
      <c r="D80" s="7"/>
      <c r="E80" s="2"/>
      <c r="F80" s="6">
        <f t="shared" si="22"/>
        <v>0</v>
      </c>
      <c r="G80" s="2"/>
      <c r="H80" s="7">
        <v>428.85</v>
      </c>
      <c r="I80" s="2"/>
      <c r="J80" s="6">
        <f t="shared" si="23"/>
        <v>3.0935322273417626E-3</v>
      </c>
      <c r="K80" s="2"/>
      <c r="L80" s="7">
        <f t="shared" si="24"/>
        <v>-428.85</v>
      </c>
      <c r="M80" s="2"/>
      <c r="N80" s="6">
        <f t="shared" si="25"/>
        <v>-1</v>
      </c>
      <c r="O80" s="11"/>
      <c r="P80" s="7"/>
      <c r="Q80" s="2"/>
      <c r="R80" s="6">
        <f t="shared" si="26"/>
        <v>0</v>
      </c>
      <c r="S80" s="2"/>
      <c r="T80" s="7">
        <v>1144.26</v>
      </c>
      <c r="U80" s="2"/>
      <c r="V80" s="6">
        <f t="shared" si="27"/>
        <v>3.9358309518195559E-3</v>
      </c>
      <c r="W80" s="2"/>
      <c r="X80" s="7">
        <f t="shared" si="28"/>
        <v>-1144.26</v>
      </c>
      <c r="Y80" s="2"/>
      <c r="Z80" s="6">
        <f t="shared" si="29"/>
        <v>-1</v>
      </c>
    </row>
    <row r="81" spans="1:26" s="24" customFormat="1" hidden="1" outlineLevel="2" x14ac:dyDescent="0.25">
      <c r="A81" s="28"/>
      <c r="B81" s="11" t="str">
        <f>CONCATENATE("          ", "6156", " - ", "EMPLOYEE MEALS")</f>
        <v xml:space="preserve">          6156 - EMPLOYEE MEALS</v>
      </c>
      <c r="C81" s="11"/>
      <c r="D81" s="7"/>
      <c r="E81" s="2"/>
      <c r="F81" s="6">
        <f t="shared" si="22"/>
        <v>0</v>
      </c>
      <c r="G81" s="2"/>
      <c r="H81" s="7">
        <v>173.92</v>
      </c>
      <c r="I81" s="2"/>
      <c r="J81" s="6">
        <f t="shared" si="23"/>
        <v>1.2545811472059677E-3</v>
      </c>
      <c r="K81" s="2"/>
      <c r="L81" s="7">
        <f t="shared" si="24"/>
        <v>-173.92</v>
      </c>
      <c r="M81" s="2"/>
      <c r="N81" s="6">
        <f t="shared" si="25"/>
        <v>-1</v>
      </c>
      <c r="O81" s="11"/>
      <c r="P81" s="7"/>
      <c r="Q81" s="2"/>
      <c r="R81" s="6">
        <f t="shared" si="26"/>
        <v>0</v>
      </c>
      <c r="S81" s="2"/>
      <c r="T81" s="7">
        <v>472.65</v>
      </c>
      <c r="U81" s="2"/>
      <c r="V81" s="6">
        <f t="shared" si="27"/>
        <v>1.6257410897676343E-3</v>
      </c>
      <c r="W81" s="2"/>
      <c r="X81" s="7">
        <f t="shared" si="28"/>
        <v>-472.65</v>
      </c>
      <c r="Y81" s="2"/>
      <c r="Z81" s="6">
        <f t="shared" si="29"/>
        <v>-1</v>
      </c>
    </row>
    <row r="82" spans="1:26" s="27" customFormat="1" outlineLevel="1" collapsed="1" x14ac:dyDescent="0.25">
      <c r="A82" s="29"/>
      <c r="B82" s="14" t="str">
        <f>CONCATENATE("     ","*Payroll                                          ")</f>
        <v xml:space="preserve">     *Payroll                                          </v>
      </c>
      <c r="C82" s="14"/>
      <c r="D82" s="1">
        <f>SUM(OSRRefD22_1x_0)</f>
        <v>2735.85</v>
      </c>
      <c r="E82" s="1"/>
      <c r="F82" s="5">
        <f t="shared" ref="F82:F86" si="30">IF(D$12=0,0,D82/D$12)</f>
        <v>0.30753432972725064</v>
      </c>
      <c r="G82" s="1"/>
      <c r="H82" s="1">
        <f>SUM(OSRRefH22_1x_0)</f>
        <v>15197.490000000002</v>
      </c>
      <c r="I82" s="1"/>
      <c r="J82" s="5">
        <f t="shared" ref="J82:J86" si="31">IF(H$12=0,0,H82/H$12)</f>
        <v>0.10962790040737826</v>
      </c>
      <c r="K82" s="1"/>
      <c r="L82" s="1">
        <f t="shared" ref="L82:L86" si="32">+D82-H82</f>
        <v>-12461.640000000001</v>
      </c>
      <c r="M82" s="1"/>
      <c r="N82" s="5">
        <f t="shared" ref="N82:N86" si="33">IF(H82=0,0,L82/H82)</f>
        <v>-0.81998014145756959</v>
      </c>
      <c r="O82" s="14"/>
      <c r="P82" s="1">
        <f>SUM(OSRRefP22_1x_0)</f>
        <v>7242.9699999999993</v>
      </c>
      <c r="Q82" s="1"/>
      <c r="R82" s="5">
        <f t="shared" ref="R82:R86" si="34">IF(P$12=0,0,P82/P$12)</f>
        <v>0.34014103490087821</v>
      </c>
      <c r="S82" s="1"/>
      <c r="T82" s="1">
        <f>SUM(OSRRefT22_1x_0)</f>
        <v>41548.920000000006</v>
      </c>
      <c r="U82" s="1"/>
      <c r="V82" s="5">
        <f t="shared" ref="V82:V86" si="35">IF(T$12=0,0,T82/T$12)</f>
        <v>0.14291290908593732</v>
      </c>
      <c r="W82" s="1"/>
      <c r="X82" s="1">
        <f t="shared" ref="X82:X86" si="36">+P82-T82</f>
        <v>-34305.950000000004</v>
      </c>
      <c r="Y82" s="1"/>
      <c r="Z82" s="5">
        <f t="shared" ref="Z82:Z86" si="37">IF(T82=0,0,X82/T82)</f>
        <v>-0.82567609458922153</v>
      </c>
    </row>
    <row r="83" spans="1:26" s="24" customFormat="1" hidden="1" outlineLevel="2" x14ac:dyDescent="0.25">
      <c r="A83" s="28"/>
      <c r="B83" s="11" t="str">
        <f>CONCATENATE("          ", "6002", " - ", "STAFF SALARIES")</f>
        <v xml:space="preserve">          6002 - STAFF SALARIES</v>
      </c>
      <c r="C83" s="11"/>
      <c r="D83" s="7"/>
      <c r="E83" s="2"/>
      <c r="F83" s="6">
        <f t="shared" si="30"/>
        <v>0</v>
      </c>
      <c r="G83" s="2"/>
      <c r="H83" s="7">
        <v>3378.8</v>
      </c>
      <c r="I83" s="2"/>
      <c r="J83" s="6">
        <f t="shared" si="31"/>
        <v>2.4373153059909867E-2</v>
      </c>
      <c r="K83" s="2"/>
      <c r="L83" s="7">
        <f t="shared" si="32"/>
        <v>-3378.8</v>
      </c>
      <c r="M83" s="2"/>
      <c r="N83" s="6">
        <f t="shared" si="33"/>
        <v>-1</v>
      </c>
      <c r="O83" s="11"/>
      <c r="P83" s="7"/>
      <c r="Q83" s="2"/>
      <c r="R83" s="6">
        <f t="shared" si="34"/>
        <v>0</v>
      </c>
      <c r="S83" s="2"/>
      <c r="T83" s="7">
        <v>15491.910000000002</v>
      </c>
      <c r="U83" s="2"/>
      <c r="V83" s="6">
        <f t="shared" si="35"/>
        <v>5.3286437418771003E-2</v>
      </c>
      <c r="W83" s="2"/>
      <c r="X83" s="7">
        <f t="shared" si="36"/>
        <v>-15491.910000000002</v>
      </c>
      <c r="Y83" s="2"/>
      <c r="Z83" s="6">
        <f t="shared" si="37"/>
        <v>-1</v>
      </c>
    </row>
    <row r="84" spans="1:26" s="24" customFormat="1" hidden="1" outlineLevel="2" x14ac:dyDescent="0.25">
      <c r="A84" s="28"/>
      <c r="B84" s="11" t="str">
        <f>CONCATENATE("          ", "6005", " - ", "TEMPORARY WAGES-HOURLY")</f>
        <v xml:space="preserve">          6005 - TEMPORARY WAGES-HOURLY</v>
      </c>
      <c r="C84" s="11"/>
      <c r="D84" s="7">
        <v>1948.22</v>
      </c>
      <c r="E84" s="2"/>
      <c r="F84" s="6">
        <f t="shared" si="30"/>
        <v>0.21899758095700578</v>
      </c>
      <c r="G84" s="2"/>
      <c r="H84" s="7"/>
      <c r="I84" s="2"/>
      <c r="J84" s="6">
        <f t="shared" si="31"/>
        <v>0</v>
      </c>
      <c r="K84" s="2"/>
      <c r="L84" s="7">
        <f t="shared" si="32"/>
        <v>1948.22</v>
      </c>
      <c r="M84" s="2"/>
      <c r="N84" s="6">
        <f t="shared" si="33"/>
        <v>0</v>
      </c>
      <c r="O84" s="11"/>
      <c r="P84" s="7">
        <v>4356.45</v>
      </c>
      <c r="Q84" s="2"/>
      <c r="R84" s="6">
        <f t="shared" si="34"/>
        <v>0.20458560666327916</v>
      </c>
      <c r="S84" s="2"/>
      <c r="T84" s="7"/>
      <c r="U84" s="2"/>
      <c r="V84" s="6">
        <f t="shared" si="35"/>
        <v>0</v>
      </c>
      <c r="W84" s="2"/>
      <c r="X84" s="7">
        <f t="shared" si="36"/>
        <v>4356.45</v>
      </c>
      <c r="Y84" s="2"/>
      <c r="Z84" s="6">
        <f t="shared" si="37"/>
        <v>0</v>
      </c>
    </row>
    <row r="85" spans="1:26" s="24" customFormat="1" hidden="1" outlineLevel="2" x14ac:dyDescent="0.25">
      <c r="A85" s="28"/>
      <c r="B85" s="11" t="str">
        <f>CONCATENATE("          ", "6006", " - ", "TEMPORARY PART TIME")</f>
        <v xml:space="preserve">          6006 - TEMPORARY PART TIME</v>
      </c>
      <c r="C85" s="11"/>
      <c r="D85" s="7"/>
      <c r="E85" s="2"/>
      <c r="F85" s="6">
        <f t="shared" si="30"/>
        <v>0</v>
      </c>
      <c r="G85" s="2"/>
      <c r="H85" s="7"/>
      <c r="I85" s="2"/>
      <c r="J85" s="6">
        <f t="shared" si="31"/>
        <v>0</v>
      </c>
      <c r="K85" s="2"/>
      <c r="L85" s="7">
        <f t="shared" si="32"/>
        <v>0</v>
      </c>
      <c r="M85" s="2"/>
      <c r="N85" s="6">
        <f t="shared" si="33"/>
        <v>0</v>
      </c>
      <c r="O85" s="11"/>
      <c r="P85" s="7"/>
      <c r="Q85" s="2"/>
      <c r="R85" s="6">
        <f t="shared" si="34"/>
        <v>0</v>
      </c>
      <c r="S85" s="2"/>
      <c r="T85" s="7">
        <v>25.5</v>
      </c>
      <c r="U85" s="2"/>
      <c r="V85" s="6">
        <f t="shared" si="35"/>
        <v>8.771056339590538E-5</v>
      </c>
      <c r="W85" s="2"/>
      <c r="X85" s="7">
        <f t="shared" si="36"/>
        <v>-25.5</v>
      </c>
      <c r="Y85" s="2"/>
      <c r="Z85" s="6">
        <f t="shared" si="37"/>
        <v>-1</v>
      </c>
    </row>
    <row r="86" spans="1:26" s="24" customFormat="1" hidden="1" outlineLevel="2" x14ac:dyDescent="0.25">
      <c r="A86" s="28"/>
      <c r="B86" s="11" t="str">
        <f>CONCATENATE("          ", "6007", " - ", "STUDENT HOURLY")</f>
        <v xml:space="preserve">          6007 - STUDENT HOURLY</v>
      </c>
      <c r="C86" s="11"/>
      <c r="D86" s="7">
        <v>787.63</v>
      </c>
      <c r="E86" s="2"/>
      <c r="F86" s="6">
        <f t="shared" si="30"/>
        <v>8.8536748770244866E-2</v>
      </c>
      <c r="G86" s="2"/>
      <c r="H86" s="7">
        <v>11818.69</v>
      </c>
      <c r="I86" s="2"/>
      <c r="J86" s="6">
        <f t="shared" si="31"/>
        <v>8.5254747347468379E-2</v>
      </c>
      <c r="K86" s="2"/>
      <c r="L86" s="7">
        <f t="shared" si="32"/>
        <v>-11031.060000000001</v>
      </c>
      <c r="M86" s="2"/>
      <c r="N86" s="6">
        <f t="shared" si="33"/>
        <v>-0.93335725025362382</v>
      </c>
      <c r="O86" s="11"/>
      <c r="P86" s="7">
        <v>2886.52</v>
      </c>
      <c r="Q86" s="2"/>
      <c r="R86" s="6">
        <f t="shared" si="34"/>
        <v>0.13555542823759908</v>
      </c>
      <c r="S86" s="2"/>
      <c r="T86" s="7">
        <v>26031.510000000002</v>
      </c>
      <c r="U86" s="2"/>
      <c r="V86" s="6">
        <f t="shared" si="35"/>
        <v>8.953876110377039E-2</v>
      </c>
      <c r="W86" s="2"/>
      <c r="X86" s="7">
        <f t="shared" si="36"/>
        <v>-23144.99</v>
      </c>
      <c r="Y86" s="2"/>
      <c r="Z86" s="6">
        <f t="shared" si="37"/>
        <v>-0.8891143848359162</v>
      </c>
    </row>
    <row r="87" spans="1:26" s="27" customFormat="1" outlineLevel="1" collapsed="1" x14ac:dyDescent="0.25">
      <c r="A87" s="29"/>
      <c r="B87" s="14" t="str">
        <f>CONCATENATE("     ","Advertising/Promo                                 ")</f>
        <v xml:space="preserve">     Advertising/Promo                                 </v>
      </c>
      <c r="C87" s="14"/>
      <c r="D87" s="1">
        <f>SUM(OSRRefD22_2x_0)</f>
        <v>0</v>
      </c>
      <c r="E87" s="1"/>
      <c r="F87" s="5">
        <f t="shared" ref="F87:F93" si="38">IF(D$12=0,0,D87/D$12)</f>
        <v>0</v>
      </c>
      <c r="G87" s="1"/>
      <c r="H87" s="1">
        <f>SUM(OSRRefH22_2x_0)</f>
        <v>146.71</v>
      </c>
      <c r="I87" s="1"/>
      <c r="J87" s="5">
        <f t="shared" ref="J87:J93" si="39">IF(H$12=0,0,H87/H$12)</f>
        <v>1.0583003685981345E-3</v>
      </c>
      <c r="K87" s="1"/>
      <c r="L87" s="1">
        <f t="shared" ref="L87:L93" si="40">+D87-H87</f>
        <v>-146.71</v>
      </c>
      <c r="M87" s="1"/>
      <c r="N87" s="5">
        <f t="shared" ref="N87:N93" si="41">IF(H87=0,0,L87/H87)</f>
        <v>-1</v>
      </c>
      <c r="O87" s="14"/>
      <c r="P87" s="1">
        <f>SUM(OSRRefP22_2x_0)</f>
        <v>0</v>
      </c>
      <c r="Q87" s="1"/>
      <c r="R87" s="5">
        <f t="shared" ref="R87:R93" si="42">IF(P$12=0,0,P87/P$12)</f>
        <v>0</v>
      </c>
      <c r="S87" s="1"/>
      <c r="T87" s="1">
        <f>SUM(OSRRefT22_2x_0)</f>
        <v>192.57</v>
      </c>
      <c r="U87" s="1"/>
      <c r="V87" s="5">
        <f t="shared" ref="V87:V93" si="43">IF(T$12=0,0,T87/T$12)</f>
        <v>6.6236953698625483E-4</v>
      </c>
      <c r="W87" s="1"/>
      <c r="X87" s="1">
        <f t="shared" ref="X87:X93" si="44">+P87-T87</f>
        <v>-192.57</v>
      </c>
      <c r="Y87" s="1"/>
      <c r="Z87" s="5">
        <f t="shared" ref="Z87:Z93" si="45">IF(T87=0,0,X87/T87)</f>
        <v>-1</v>
      </c>
    </row>
    <row r="88" spans="1:26" s="24" customFormat="1" hidden="1" outlineLevel="2" x14ac:dyDescent="0.25">
      <c r="A88" s="28"/>
      <c r="B88" s="11" t="str">
        <f>CONCATENATE("          ", "6362", " - ", "ADVERTISING EXPENSE")</f>
        <v xml:space="preserve">          6362 - ADVERTISING EXPENSE</v>
      </c>
      <c r="C88" s="11"/>
      <c r="D88" s="7"/>
      <c r="E88" s="2"/>
      <c r="F88" s="6">
        <f t="shared" si="38"/>
        <v>0</v>
      </c>
      <c r="G88" s="2"/>
      <c r="H88" s="7">
        <v>146.71</v>
      </c>
      <c r="I88" s="2"/>
      <c r="J88" s="6">
        <f t="shared" si="39"/>
        <v>1.0583003685981345E-3</v>
      </c>
      <c r="K88" s="2"/>
      <c r="L88" s="7">
        <f t="shared" si="40"/>
        <v>-146.71</v>
      </c>
      <c r="M88" s="2"/>
      <c r="N88" s="6">
        <f t="shared" si="41"/>
        <v>-1</v>
      </c>
      <c r="O88" s="11"/>
      <c r="P88" s="7"/>
      <c r="Q88" s="2"/>
      <c r="R88" s="6">
        <f t="shared" si="42"/>
        <v>0</v>
      </c>
      <c r="S88" s="2"/>
      <c r="T88" s="7">
        <v>192.57</v>
      </c>
      <c r="U88" s="2"/>
      <c r="V88" s="6">
        <f t="shared" si="43"/>
        <v>6.6236953698625483E-4</v>
      </c>
      <c r="W88" s="2"/>
      <c r="X88" s="7">
        <f t="shared" si="44"/>
        <v>-192.57</v>
      </c>
      <c r="Y88" s="2"/>
      <c r="Z88" s="6">
        <f t="shared" si="45"/>
        <v>-1</v>
      </c>
    </row>
    <row r="89" spans="1:26" s="27" customFormat="1" outlineLevel="1" collapsed="1" x14ac:dyDescent="0.25">
      <c r="A89" s="29"/>
      <c r="B89" s="14" t="str">
        <f>CONCATENATE("     ","Bad Debts/Over/Short                              ")</f>
        <v xml:space="preserve">     Bad Debts/Over/Short                              </v>
      </c>
      <c r="C89" s="14"/>
      <c r="D89" s="1">
        <f>SUM(OSRRefD22_3x_0)</f>
        <v>0.8</v>
      </c>
      <c r="E89" s="1"/>
      <c r="F89" s="5">
        <f t="shared" si="38"/>
        <v>8.9927248855675766E-5</v>
      </c>
      <c r="G89" s="1"/>
      <c r="H89" s="1">
        <f>SUM(OSRRefH22_3x_0)</f>
        <v>-30.21</v>
      </c>
      <c r="I89" s="1"/>
      <c r="J89" s="5">
        <f t="shared" si="39"/>
        <v>-2.1792143777076982E-4</v>
      </c>
      <c r="K89" s="1"/>
      <c r="L89" s="1">
        <f t="shared" si="40"/>
        <v>31.01</v>
      </c>
      <c r="M89" s="1"/>
      <c r="N89" s="5">
        <f t="shared" si="41"/>
        <v>-1.0264812975835815</v>
      </c>
      <c r="O89" s="14"/>
      <c r="P89" s="1">
        <f>SUM(OSRRefP22_3x_0)</f>
        <v>1.1000000000000001</v>
      </c>
      <c r="Q89" s="1"/>
      <c r="R89" s="5">
        <f t="shared" si="42"/>
        <v>5.1657695446890725E-5</v>
      </c>
      <c r="S89" s="1"/>
      <c r="T89" s="1">
        <f>SUM(OSRRefT22_3x_0)</f>
        <v>-39.28</v>
      </c>
      <c r="U89" s="1"/>
      <c r="V89" s="5">
        <f t="shared" si="43"/>
        <v>-1.3510866392906523E-4</v>
      </c>
      <c r="W89" s="1"/>
      <c r="X89" s="1">
        <f t="shared" si="44"/>
        <v>40.380000000000003</v>
      </c>
      <c r="Y89" s="1"/>
      <c r="Z89" s="5">
        <f t="shared" si="45"/>
        <v>-1.0280040733197557</v>
      </c>
    </row>
    <row r="90" spans="1:26" s="24" customFormat="1" hidden="1" outlineLevel="2" x14ac:dyDescent="0.25">
      <c r="A90" s="28"/>
      <c r="B90" s="11" t="str">
        <f>CONCATENATE("          ", "6272", " - ", "CASH (OVER/SHORT)")</f>
        <v xml:space="preserve">          6272 - CASH (OVER/SHORT)</v>
      </c>
      <c r="C90" s="11"/>
      <c r="D90" s="7">
        <v>0.8</v>
      </c>
      <c r="E90" s="2"/>
      <c r="F90" s="6">
        <f t="shared" si="38"/>
        <v>8.9927248855675766E-5</v>
      </c>
      <c r="G90" s="2"/>
      <c r="H90" s="7">
        <v>-30.21</v>
      </c>
      <c r="I90" s="2"/>
      <c r="J90" s="6">
        <f t="shared" si="39"/>
        <v>-2.1792143777076982E-4</v>
      </c>
      <c r="K90" s="2"/>
      <c r="L90" s="7">
        <f t="shared" si="40"/>
        <v>31.01</v>
      </c>
      <c r="M90" s="2"/>
      <c r="N90" s="6">
        <f t="shared" si="41"/>
        <v>-1.0264812975835815</v>
      </c>
      <c r="O90" s="11"/>
      <c r="P90" s="7">
        <v>1.1000000000000001</v>
      </c>
      <c r="Q90" s="2"/>
      <c r="R90" s="6">
        <f t="shared" si="42"/>
        <v>5.1657695446890725E-5</v>
      </c>
      <c r="S90" s="2"/>
      <c r="T90" s="7">
        <v>-39.28</v>
      </c>
      <c r="U90" s="2"/>
      <c r="V90" s="6">
        <f t="shared" si="43"/>
        <v>-1.3510866392906523E-4</v>
      </c>
      <c r="W90" s="2"/>
      <c r="X90" s="7">
        <f t="shared" si="44"/>
        <v>40.380000000000003</v>
      </c>
      <c r="Y90" s="2"/>
      <c r="Z90" s="6">
        <f t="shared" si="45"/>
        <v>-1.0280040733197557</v>
      </c>
    </row>
    <row r="91" spans="1:26" s="27" customFormat="1" outlineLevel="1" collapsed="1" x14ac:dyDescent="0.25">
      <c r="A91" s="29"/>
      <c r="B91" s="14" t="str">
        <f>CONCATENATE("     ","Discounts and Markdowns                           ")</f>
        <v xml:space="preserve">     Discounts and Markdowns                           </v>
      </c>
      <c r="C91" s="14"/>
      <c r="D91" s="1">
        <f>SUM(OSRRefD22_4x_0)</f>
        <v>0</v>
      </c>
      <c r="E91" s="1"/>
      <c r="F91" s="5">
        <f t="shared" si="38"/>
        <v>0</v>
      </c>
      <c r="G91" s="1"/>
      <c r="H91" s="1">
        <f>SUM(OSRRefH22_4x_0)</f>
        <v>1400.83</v>
      </c>
      <c r="I91" s="1"/>
      <c r="J91" s="5">
        <f t="shared" si="39"/>
        <v>1.0104961525072077E-2</v>
      </c>
      <c r="K91" s="1"/>
      <c r="L91" s="1">
        <f t="shared" si="40"/>
        <v>-1400.83</v>
      </c>
      <c r="M91" s="1"/>
      <c r="N91" s="5">
        <f t="shared" si="41"/>
        <v>-1</v>
      </c>
      <c r="O91" s="14"/>
      <c r="P91" s="1">
        <f>SUM(OSRRefP22_4x_0)</f>
        <v>0</v>
      </c>
      <c r="Q91" s="1"/>
      <c r="R91" s="5">
        <f t="shared" si="42"/>
        <v>0</v>
      </c>
      <c r="S91" s="1"/>
      <c r="T91" s="1">
        <f>SUM(OSRRefT22_4x_0)</f>
        <v>6902.24</v>
      </c>
      <c r="U91" s="1"/>
      <c r="V91" s="5">
        <f t="shared" si="43"/>
        <v>2.3741151337009957E-2</v>
      </c>
      <c r="W91" s="1"/>
      <c r="X91" s="1">
        <f t="shared" si="44"/>
        <v>-6902.24</v>
      </c>
      <c r="Y91" s="1"/>
      <c r="Z91" s="5">
        <f t="shared" si="45"/>
        <v>-1</v>
      </c>
    </row>
    <row r="92" spans="1:26" s="24" customFormat="1" hidden="1" outlineLevel="2" x14ac:dyDescent="0.25">
      <c r="A92" s="28"/>
      <c r="B92" s="11" t="str">
        <f>CONCATENATE("          ", "6382", " - ", "DISCOUNTS/MARK DOWNS")</f>
        <v xml:space="preserve">          6382 - DISCOUNTS/MARK DOWNS</v>
      </c>
      <c r="C92" s="11"/>
      <c r="D92" s="7"/>
      <c r="E92" s="2"/>
      <c r="F92" s="6">
        <f t="shared" si="38"/>
        <v>0</v>
      </c>
      <c r="G92" s="2"/>
      <c r="H92" s="7">
        <v>1393.51</v>
      </c>
      <c r="I92" s="2"/>
      <c r="J92" s="6">
        <f t="shared" si="39"/>
        <v>1.0052158316714513E-2</v>
      </c>
      <c r="K92" s="2"/>
      <c r="L92" s="7">
        <f t="shared" si="40"/>
        <v>-1393.51</v>
      </c>
      <c r="M92" s="2"/>
      <c r="N92" s="6">
        <f t="shared" si="41"/>
        <v>-1</v>
      </c>
      <c r="O92" s="11"/>
      <c r="P92" s="7"/>
      <c r="Q92" s="2"/>
      <c r="R92" s="6">
        <f t="shared" si="42"/>
        <v>0</v>
      </c>
      <c r="S92" s="2"/>
      <c r="T92" s="7">
        <v>7008.16</v>
      </c>
      <c r="U92" s="2"/>
      <c r="V92" s="6">
        <f t="shared" si="43"/>
        <v>2.4105476939946989E-2</v>
      </c>
      <c r="W92" s="2"/>
      <c r="X92" s="7">
        <f t="shared" si="44"/>
        <v>-7008.16</v>
      </c>
      <c r="Y92" s="2"/>
      <c r="Z92" s="6">
        <f t="shared" si="45"/>
        <v>-1</v>
      </c>
    </row>
    <row r="93" spans="1:26" s="24" customFormat="1" hidden="1" outlineLevel="2" x14ac:dyDescent="0.25">
      <c r="A93" s="28"/>
      <c r="B93" s="11" t="str">
        <f>CONCATENATE("          ", "9175", " - ", "EARNED DISCOUNTS")</f>
        <v xml:space="preserve">          9175 - EARNED DISCOUNTS</v>
      </c>
      <c r="C93" s="11"/>
      <c r="D93" s="7"/>
      <c r="E93" s="2"/>
      <c r="F93" s="6">
        <f t="shared" si="38"/>
        <v>0</v>
      </c>
      <c r="G93" s="2"/>
      <c r="H93" s="7">
        <v>7.32</v>
      </c>
      <c r="I93" s="2"/>
      <c r="J93" s="6">
        <f t="shared" si="39"/>
        <v>5.280320835756488E-5</v>
      </c>
      <c r="K93" s="2"/>
      <c r="L93" s="7">
        <f t="shared" si="40"/>
        <v>-7.32</v>
      </c>
      <c r="M93" s="2"/>
      <c r="N93" s="6">
        <f t="shared" si="41"/>
        <v>-1</v>
      </c>
      <c r="O93" s="11"/>
      <c r="P93" s="7"/>
      <c r="Q93" s="2"/>
      <c r="R93" s="6">
        <f t="shared" si="42"/>
        <v>0</v>
      </c>
      <c r="S93" s="2"/>
      <c r="T93" s="7">
        <v>-105.92</v>
      </c>
      <c r="U93" s="2"/>
      <c r="V93" s="6">
        <f t="shared" si="43"/>
        <v>-3.6432560293703128E-4</v>
      </c>
      <c r="W93" s="2"/>
      <c r="X93" s="7">
        <f t="shared" si="44"/>
        <v>105.92</v>
      </c>
      <c r="Y93" s="2"/>
      <c r="Z93" s="6">
        <f t="shared" si="45"/>
        <v>-1</v>
      </c>
    </row>
    <row r="94" spans="1:26" s="27" customFormat="1" outlineLevel="1" collapsed="1" x14ac:dyDescent="0.25">
      <c r="A94" s="29"/>
      <c r="B94" s="14" t="str">
        <f>CONCATENATE("     ","General                                           ")</f>
        <v xml:space="preserve">     General                                           </v>
      </c>
      <c r="C94" s="14"/>
      <c r="D94" s="1">
        <f>SUM(OSRRefD22_5x_0)</f>
        <v>0</v>
      </c>
      <c r="E94" s="1"/>
      <c r="F94" s="5">
        <f t="shared" ref="F94:F100" si="46">IF(D$12=0,0,D94/D$12)</f>
        <v>0</v>
      </c>
      <c r="G94" s="1"/>
      <c r="H94" s="1">
        <f>SUM(OSRRefH22_5x_0)</f>
        <v>0</v>
      </c>
      <c r="I94" s="1"/>
      <c r="J94" s="5">
        <f t="shared" ref="J94:J100" si="47">IF(H$12=0,0,H94/H$12)</f>
        <v>0</v>
      </c>
      <c r="K94" s="1"/>
      <c r="L94" s="1">
        <f t="shared" ref="L94:L100" si="48">+D94-H94</f>
        <v>0</v>
      </c>
      <c r="M94" s="1"/>
      <c r="N94" s="5">
        <f t="shared" ref="N94:N100" si="49">IF(H94=0,0,L94/H94)</f>
        <v>0</v>
      </c>
      <c r="O94" s="14"/>
      <c r="P94" s="1">
        <f>SUM(OSRRefP22_5x_0)</f>
        <v>719.55</v>
      </c>
      <c r="Q94" s="1"/>
      <c r="R94" s="5">
        <f t="shared" ref="R94:R100" si="50">IF(P$12=0,0,P94/P$12)</f>
        <v>3.3791177053463836E-2</v>
      </c>
      <c r="S94" s="1"/>
      <c r="T94" s="1">
        <f>SUM(OSRRefT22_5x_0)</f>
        <v>694.55</v>
      </c>
      <c r="U94" s="1"/>
      <c r="V94" s="5">
        <f t="shared" ref="V94:V100" si="51">IF(T$12=0,0,T94/T$12)</f>
        <v>2.3889949728088658E-3</v>
      </c>
      <c r="W94" s="1"/>
      <c r="X94" s="1">
        <f t="shared" ref="X94:X100" si="52">+P94-T94</f>
        <v>25</v>
      </c>
      <c r="Y94" s="1"/>
      <c r="Z94" s="5">
        <f t="shared" ref="Z94:Z100" si="53">IF(T94=0,0,X94/T94)</f>
        <v>3.5994528831617599E-2</v>
      </c>
    </row>
    <row r="95" spans="1:26" s="24" customFormat="1" hidden="1" outlineLevel="2" x14ac:dyDescent="0.25">
      <c r="A95" s="28"/>
      <c r="B95" s="11" t="str">
        <f>CONCATENATE("          ", "6279", " - ", "GENERAL EXPENSE")</f>
        <v xml:space="preserve">          6279 - GENERAL EXPENSE</v>
      </c>
      <c r="C95" s="11"/>
      <c r="D95" s="7"/>
      <c r="E95" s="2"/>
      <c r="F95" s="6">
        <f t="shared" si="46"/>
        <v>0</v>
      </c>
      <c r="G95" s="2"/>
      <c r="H95" s="7"/>
      <c r="I95" s="2"/>
      <c r="J95" s="6">
        <f t="shared" si="47"/>
        <v>0</v>
      </c>
      <c r="K95" s="2"/>
      <c r="L95" s="7">
        <f t="shared" si="48"/>
        <v>0</v>
      </c>
      <c r="M95" s="2"/>
      <c r="N95" s="6">
        <f t="shared" si="49"/>
        <v>0</v>
      </c>
      <c r="O95" s="11"/>
      <c r="P95" s="7">
        <v>719.55</v>
      </c>
      <c r="Q95" s="2"/>
      <c r="R95" s="6">
        <f t="shared" si="50"/>
        <v>3.3791177053463836E-2</v>
      </c>
      <c r="S95" s="2"/>
      <c r="T95" s="7">
        <v>694.55</v>
      </c>
      <c r="U95" s="2"/>
      <c r="V95" s="6">
        <f t="shared" si="51"/>
        <v>2.3889949728088658E-3</v>
      </c>
      <c r="W95" s="2"/>
      <c r="X95" s="7">
        <f t="shared" si="52"/>
        <v>25</v>
      </c>
      <c r="Y95" s="2"/>
      <c r="Z95" s="6">
        <f t="shared" si="53"/>
        <v>3.5994528831617599E-2</v>
      </c>
    </row>
    <row r="96" spans="1:26" s="27" customFormat="1" outlineLevel="1" collapsed="1" x14ac:dyDescent="0.25">
      <c r="A96" s="29"/>
      <c r="B96" s="14" t="str">
        <f>CONCATENATE("     ","Professional Services                             ")</f>
        <v xml:space="preserve">     Professional Services                             </v>
      </c>
      <c r="C96" s="14"/>
      <c r="D96" s="1">
        <f>SUM(OSRRefD22_6x_0)</f>
        <v>0</v>
      </c>
      <c r="E96" s="1"/>
      <c r="F96" s="5">
        <f t="shared" si="46"/>
        <v>0</v>
      </c>
      <c r="G96" s="1"/>
      <c r="H96" s="1">
        <f>SUM(OSRRefH22_6x_0)</f>
        <v>0</v>
      </c>
      <c r="I96" s="1"/>
      <c r="J96" s="5">
        <f t="shared" si="47"/>
        <v>0</v>
      </c>
      <c r="K96" s="1"/>
      <c r="L96" s="1">
        <f t="shared" si="48"/>
        <v>0</v>
      </c>
      <c r="M96" s="1"/>
      <c r="N96" s="5">
        <f t="shared" si="49"/>
        <v>0</v>
      </c>
      <c r="O96" s="14"/>
      <c r="P96" s="1">
        <f>SUM(OSRRefP22_6x_0)</f>
        <v>0</v>
      </c>
      <c r="Q96" s="1"/>
      <c r="R96" s="5">
        <f t="shared" si="50"/>
        <v>0</v>
      </c>
      <c r="S96" s="1"/>
      <c r="T96" s="1">
        <f>SUM(OSRRefT22_6x_0)</f>
        <v>750</v>
      </c>
      <c r="U96" s="1"/>
      <c r="V96" s="5">
        <f t="shared" si="51"/>
        <v>2.5797224528207462E-3</v>
      </c>
      <c r="W96" s="1"/>
      <c r="X96" s="1">
        <f t="shared" si="52"/>
        <v>-750</v>
      </c>
      <c r="Y96" s="1"/>
      <c r="Z96" s="5">
        <f t="shared" si="53"/>
        <v>-1</v>
      </c>
    </row>
    <row r="97" spans="1:26" s="24" customFormat="1" hidden="1" outlineLevel="2" x14ac:dyDescent="0.25">
      <c r="A97" s="28"/>
      <c r="B97" s="11" t="str">
        <f>CONCATENATE("          ", "6336", " - ", "PROFESSIONAL SERVICES")</f>
        <v xml:space="preserve">          6336 - PROFESSIONAL SERVICES</v>
      </c>
      <c r="C97" s="11"/>
      <c r="D97" s="7"/>
      <c r="E97" s="2"/>
      <c r="F97" s="6">
        <f t="shared" si="46"/>
        <v>0</v>
      </c>
      <c r="G97" s="2"/>
      <c r="H97" s="7"/>
      <c r="I97" s="2"/>
      <c r="J97" s="6">
        <f t="shared" si="47"/>
        <v>0</v>
      </c>
      <c r="K97" s="2"/>
      <c r="L97" s="7">
        <f t="shared" si="48"/>
        <v>0</v>
      </c>
      <c r="M97" s="2"/>
      <c r="N97" s="6">
        <f t="shared" si="49"/>
        <v>0</v>
      </c>
      <c r="O97" s="11"/>
      <c r="P97" s="7"/>
      <c r="Q97" s="2"/>
      <c r="R97" s="6">
        <f t="shared" si="50"/>
        <v>0</v>
      </c>
      <c r="S97" s="2"/>
      <c r="T97" s="7">
        <v>750</v>
      </c>
      <c r="U97" s="2"/>
      <c r="V97" s="6">
        <f t="shared" si="51"/>
        <v>2.5797224528207462E-3</v>
      </c>
      <c r="W97" s="2"/>
      <c r="X97" s="7">
        <f t="shared" si="52"/>
        <v>-750</v>
      </c>
      <c r="Y97" s="2"/>
      <c r="Z97" s="6">
        <f t="shared" si="53"/>
        <v>-1</v>
      </c>
    </row>
    <row r="98" spans="1:26" s="27" customFormat="1" outlineLevel="1" collapsed="1" x14ac:dyDescent="0.25">
      <c r="A98" s="29"/>
      <c r="B98" s="14" t="str">
        <f>CONCATENATE("     ","Repair and Maintenance                            ")</f>
        <v xml:space="preserve">     Repair and Maintenance                            </v>
      </c>
      <c r="C98" s="14"/>
      <c r="D98" s="1">
        <f>SUM(OSRRefD22_7x_0)</f>
        <v>61.11</v>
      </c>
      <c r="E98" s="1"/>
      <c r="F98" s="5">
        <f t="shared" si="46"/>
        <v>6.8693177219629319E-3</v>
      </c>
      <c r="G98" s="1"/>
      <c r="H98" s="1">
        <f>SUM(OSRRefH22_7x_0)</f>
        <v>9.8000000000000007</v>
      </c>
      <c r="I98" s="1"/>
      <c r="J98" s="5">
        <f t="shared" si="47"/>
        <v>7.0692819932259004E-5</v>
      </c>
      <c r="K98" s="1"/>
      <c r="L98" s="1">
        <f t="shared" si="48"/>
        <v>51.31</v>
      </c>
      <c r="M98" s="1"/>
      <c r="N98" s="5">
        <f t="shared" si="49"/>
        <v>5.2357142857142858</v>
      </c>
      <c r="O98" s="14"/>
      <c r="P98" s="1">
        <f>SUM(OSRRefP22_7x_0)</f>
        <v>139.71</v>
      </c>
      <c r="Q98" s="1"/>
      <c r="R98" s="5">
        <f t="shared" si="50"/>
        <v>6.5609969371682756E-3</v>
      </c>
      <c r="S98" s="1"/>
      <c r="T98" s="1">
        <f>SUM(OSRRefT22_7x_0)</f>
        <v>9.8000000000000007</v>
      </c>
      <c r="U98" s="1"/>
      <c r="V98" s="5">
        <f t="shared" si="51"/>
        <v>3.370837338352442E-5</v>
      </c>
      <c r="W98" s="1"/>
      <c r="X98" s="1">
        <f t="shared" si="52"/>
        <v>129.91</v>
      </c>
      <c r="Y98" s="1"/>
      <c r="Z98" s="5">
        <f t="shared" si="53"/>
        <v>13.256122448979591</v>
      </c>
    </row>
    <row r="99" spans="1:26" s="24" customFormat="1" hidden="1" outlineLevel="2" x14ac:dyDescent="0.25">
      <c r="A99" s="28"/>
      <c r="B99" s="11" t="str">
        <f>CONCATENATE("          ", "6373", " - ", "MAINTENANCE CONTRACTS")</f>
        <v xml:space="preserve">          6373 - MAINTENANCE CONTRACTS</v>
      </c>
      <c r="C99" s="11"/>
      <c r="D99" s="7">
        <v>61.11</v>
      </c>
      <c r="E99" s="2"/>
      <c r="F99" s="6">
        <f t="shared" si="46"/>
        <v>6.8693177219629319E-3</v>
      </c>
      <c r="G99" s="2"/>
      <c r="H99" s="7"/>
      <c r="I99" s="2"/>
      <c r="J99" s="6">
        <f t="shared" si="47"/>
        <v>0</v>
      </c>
      <c r="K99" s="2"/>
      <c r="L99" s="7">
        <f t="shared" si="48"/>
        <v>61.11</v>
      </c>
      <c r="M99" s="2"/>
      <c r="N99" s="6">
        <f t="shared" si="49"/>
        <v>0</v>
      </c>
      <c r="O99" s="11"/>
      <c r="P99" s="7">
        <v>139.71</v>
      </c>
      <c r="Q99" s="2"/>
      <c r="R99" s="6">
        <f t="shared" si="50"/>
        <v>6.5609969371682756E-3</v>
      </c>
      <c r="S99" s="2"/>
      <c r="T99" s="7"/>
      <c r="U99" s="2"/>
      <c r="V99" s="6">
        <f t="shared" si="51"/>
        <v>0</v>
      </c>
      <c r="W99" s="2"/>
      <c r="X99" s="7">
        <f t="shared" si="52"/>
        <v>139.71</v>
      </c>
      <c r="Y99" s="2"/>
      <c r="Z99" s="6">
        <f t="shared" si="53"/>
        <v>0</v>
      </c>
    </row>
    <row r="100" spans="1:26" s="24" customFormat="1" hidden="1" outlineLevel="2" x14ac:dyDescent="0.25">
      <c r="A100" s="28"/>
      <c r="B100" s="11" t="str">
        <f>CONCATENATE("          ", "6375", " - ", "OUTSIDE REPAIRS &amp; MAINTENANCE")</f>
        <v xml:space="preserve">          6375 - OUTSIDE REPAIRS &amp; MAINTENANCE</v>
      </c>
      <c r="C100" s="11"/>
      <c r="D100" s="7"/>
      <c r="E100" s="2"/>
      <c r="F100" s="6">
        <f t="shared" si="46"/>
        <v>0</v>
      </c>
      <c r="G100" s="2"/>
      <c r="H100" s="7">
        <v>9.8000000000000007</v>
      </c>
      <c r="I100" s="2"/>
      <c r="J100" s="6">
        <f t="shared" si="47"/>
        <v>7.0692819932259004E-5</v>
      </c>
      <c r="K100" s="2"/>
      <c r="L100" s="7">
        <f t="shared" si="48"/>
        <v>-9.8000000000000007</v>
      </c>
      <c r="M100" s="2"/>
      <c r="N100" s="6">
        <f t="shared" si="49"/>
        <v>-1</v>
      </c>
      <c r="O100" s="11"/>
      <c r="P100" s="7"/>
      <c r="Q100" s="2"/>
      <c r="R100" s="6">
        <f t="shared" si="50"/>
        <v>0</v>
      </c>
      <c r="S100" s="2"/>
      <c r="T100" s="7">
        <v>9.8000000000000007</v>
      </c>
      <c r="U100" s="2"/>
      <c r="V100" s="6">
        <f t="shared" si="51"/>
        <v>3.370837338352442E-5</v>
      </c>
      <c r="W100" s="2"/>
      <c r="X100" s="7">
        <f t="shared" si="52"/>
        <v>-9.8000000000000007</v>
      </c>
      <c r="Y100" s="2"/>
      <c r="Z100" s="6">
        <f t="shared" si="53"/>
        <v>-1</v>
      </c>
    </row>
    <row r="101" spans="1:26" s="27" customFormat="1" outlineLevel="1" collapsed="1" x14ac:dyDescent="0.25">
      <c r="A101" s="29"/>
      <c r="B101" s="14" t="str">
        <f>CONCATENATE("     ","Services                                          ")</f>
        <v xml:space="preserve">     Services                                          </v>
      </c>
      <c r="C101" s="14"/>
      <c r="D101" s="1">
        <f>SUM(OSRRefD22_8x_0)</f>
        <v>44</v>
      </c>
      <c r="E101" s="1"/>
      <c r="F101" s="5">
        <f t="shared" ref="F101:F103" si="54">IF(D$12=0,0,D101/D$12)</f>
        <v>4.9459986870621668E-3</v>
      </c>
      <c r="G101" s="1"/>
      <c r="H101" s="1">
        <f>SUM(OSRRefH22_8x_0)</f>
        <v>233.11</v>
      </c>
      <c r="I101" s="1"/>
      <c r="J101" s="5">
        <f t="shared" ref="J101:J103" si="55">IF(H$12=0,0,H101/H$12)</f>
        <v>1.6815513524907036E-3</v>
      </c>
      <c r="K101" s="1"/>
      <c r="L101" s="1">
        <f t="shared" ref="L101:L103" si="56">+D101-H101</f>
        <v>-189.11</v>
      </c>
      <c r="M101" s="1"/>
      <c r="N101" s="5">
        <f t="shared" ref="N101:N103" si="57">IF(H101=0,0,L101/H101)</f>
        <v>-0.81124790871262498</v>
      </c>
      <c r="O101" s="14"/>
      <c r="P101" s="1">
        <f>SUM(OSRRefP22_8x_0)</f>
        <v>-25.5</v>
      </c>
      <c r="Q101" s="1"/>
      <c r="R101" s="5">
        <f t="shared" ref="R101:R103" si="58">IF(P$12=0,0,P101/P$12)</f>
        <v>-1.1975193035415577E-3</v>
      </c>
      <c r="S101" s="1"/>
      <c r="T101" s="1">
        <f>SUM(OSRRefT22_8x_0)</f>
        <v>695.96</v>
      </c>
      <c r="U101" s="1"/>
      <c r="V101" s="5">
        <f t="shared" ref="V101:V103" si="59">IF(T$12=0,0,T101/T$12)</f>
        <v>2.3938448510201688E-3</v>
      </c>
      <c r="W101" s="1"/>
      <c r="X101" s="1">
        <f t="shared" ref="X101:X103" si="60">+P101-T101</f>
        <v>-721.46</v>
      </c>
      <c r="Y101" s="1"/>
      <c r="Z101" s="5">
        <f t="shared" ref="Z101:Z103" si="61">IF(T101=0,0,X101/T101)</f>
        <v>-1.0366400367837232</v>
      </c>
    </row>
    <row r="102" spans="1:26" s="24" customFormat="1" hidden="1" outlineLevel="2" x14ac:dyDescent="0.25">
      <c r="A102" s="28"/>
      <c r="B102" s="11" t="str">
        <f>CONCATENATE("          ", "6282", " - ", "JANITORIAL/EXTERMINATOR EXPENS")</f>
        <v xml:space="preserve">          6282 - JANITORIAL/EXTERMINATOR EXPENS</v>
      </c>
      <c r="C102" s="11"/>
      <c r="D102" s="7">
        <v>44</v>
      </c>
      <c r="E102" s="2"/>
      <c r="F102" s="6">
        <f t="shared" si="54"/>
        <v>4.9459986870621668E-3</v>
      </c>
      <c r="G102" s="2"/>
      <c r="H102" s="7">
        <v>44</v>
      </c>
      <c r="I102" s="2"/>
      <c r="J102" s="6">
        <f t="shared" si="55"/>
        <v>3.1739633438973428E-4</v>
      </c>
      <c r="K102" s="2"/>
      <c r="L102" s="7">
        <f t="shared" si="56"/>
        <v>0</v>
      </c>
      <c r="M102" s="2"/>
      <c r="N102" s="6">
        <f t="shared" si="57"/>
        <v>0</v>
      </c>
      <c r="O102" s="11"/>
      <c r="P102" s="7">
        <v>132</v>
      </c>
      <c r="Q102" s="2"/>
      <c r="R102" s="6">
        <f t="shared" si="58"/>
        <v>6.1989234536268863E-3</v>
      </c>
      <c r="S102" s="2"/>
      <c r="T102" s="7">
        <v>132</v>
      </c>
      <c r="U102" s="2"/>
      <c r="V102" s="6">
        <f t="shared" si="59"/>
        <v>4.5403115169645133E-4</v>
      </c>
      <c r="W102" s="2"/>
      <c r="X102" s="7">
        <f t="shared" si="60"/>
        <v>0</v>
      </c>
      <c r="Y102" s="2"/>
      <c r="Z102" s="6">
        <f t="shared" si="61"/>
        <v>0</v>
      </c>
    </row>
    <row r="103" spans="1:26" s="24" customFormat="1" hidden="1" outlineLevel="2" x14ac:dyDescent="0.25">
      <c r="A103" s="28"/>
      <c r="B103" s="11" t="str">
        <f>CONCATENATE("          ", "6285", " - ", "JANITORIAL SERVICES")</f>
        <v xml:space="preserve">          6285 - JANITORIAL SERVICES</v>
      </c>
      <c r="C103" s="11"/>
      <c r="D103" s="7"/>
      <c r="E103" s="2"/>
      <c r="F103" s="6">
        <f t="shared" si="54"/>
        <v>0</v>
      </c>
      <c r="G103" s="2"/>
      <c r="H103" s="7">
        <v>189.11</v>
      </c>
      <c r="I103" s="2"/>
      <c r="J103" s="6">
        <f t="shared" si="55"/>
        <v>1.3641550181009694E-3</v>
      </c>
      <c r="K103" s="2"/>
      <c r="L103" s="7">
        <f t="shared" si="56"/>
        <v>-189.11</v>
      </c>
      <c r="M103" s="2"/>
      <c r="N103" s="6">
        <f t="shared" si="57"/>
        <v>-1</v>
      </c>
      <c r="O103" s="11"/>
      <c r="P103" s="7">
        <v>-157.5</v>
      </c>
      <c r="Q103" s="2"/>
      <c r="R103" s="6">
        <f t="shared" si="58"/>
        <v>-7.3964427571684447E-3</v>
      </c>
      <c r="S103" s="2"/>
      <c r="T103" s="7">
        <v>563.96</v>
      </c>
      <c r="U103" s="2"/>
      <c r="V103" s="6">
        <f t="shared" si="59"/>
        <v>1.9398136993237175E-3</v>
      </c>
      <c r="W103" s="2"/>
      <c r="X103" s="7">
        <f t="shared" si="60"/>
        <v>-721.46</v>
      </c>
      <c r="Y103" s="2"/>
      <c r="Z103" s="6">
        <f t="shared" si="61"/>
        <v>-1.2792751258954536</v>
      </c>
    </row>
    <row r="104" spans="1:26" s="27" customFormat="1" outlineLevel="1" collapsed="1" x14ac:dyDescent="0.25">
      <c r="A104" s="29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1">
        <f>SUM(OSRRefD22_9x_0)</f>
        <v>0</v>
      </c>
      <c r="E104" s="1"/>
      <c r="F104" s="5">
        <f t="shared" ref="F104:F109" si="62">IF(D$12=0,0,D104/D$12)</f>
        <v>0</v>
      </c>
      <c r="G104" s="1"/>
      <c r="H104" s="1">
        <f>SUM(OSRRefH22_9x_0)</f>
        <v>0</v>
      </c>
      <c r="I104" s="1"/>
      <c r="J104" s="5">
        <f t="shared" ref="J104:J109" si="63">IF(H$12=0,0,H104/H$12)</f>
        <v>0</v>
      </c>
      <c r="K104" s="1"/>
      <c r="L104" s="1">
        <f t="shared" ref="L104:L109" si="64">+D104-H104</f>
        <v>0</v>
      </c>
      <c r="M104" s="1"/>
      <c r="N104" s="5">
        <f t="shared" ref="N104:N109" si="65">IF(H104=0,0,L104/H104)</f>
        <v>0</v>
      </c>
      <c r="O104" s="14"/>
      <c r="P104" s="1">
        <f>SUM(OSRRefP22_9x_0)</f>
        <v>0</v>
      </c>
      <c r="Q104" s="1"/>
      <c r="R104" s="5">
        <f t="shared" ref="R104:R109" si="66">IF(P$12=0,0,P104/P$12)</f>
        <v>0</v>
      </c>
      <c r="S104" s="1"/>
      <c r="T104" s="1">
        <f>SUM(OSRRefT22_9x_0)</f>
        <v>120</v>
      </c>
      <c r="U104" s="1"/>
      <c r="V104" s="5">
        <f t="shared" ref="V104:V109" si="67">IF(T$12=0,0,T104/T$12)</f>
        <v>4.127555924513194E-4</v>
      </c>
      <c r="W104" s="1"/>
      <c r="X104" s="1">
        <f t="shared" ref="X104:X109" si="68">+P104-T104</f>
        <v>-120</v>
      </c>
      <c r="Y104" s="1"/>
      <c r="Z104" s="5">
        <f t="shared" ref="Z104:Z109" si="69">IF(T104=0,0,X104/T104)</f>
        <v>-1</v>
      </c>
    </row>
    <row r="105" spans="1:26" s="24" customFormat="1" hidden="1" outlineLevel="2" x14ac:dyDescent="0.25">
      <c r="A105" s="28"/>
      <c r="B105" s="11" t="str">
        <f>CONCATENATE("          ", "6258", " - ", "MEMBERSHIP DUES")</f>
        <v xml:space="preserve">          6258 - MEMBERSHIP DUES</v>
      </c>
      <c r="C105" s="11"/>
      <c r="D105" s="7"/>
      <c r="E105" s="2"/>
      <c r="F105" s="6">
        <f t="shared" si="62"/>
        <v>0</v>
      </c>
      <c r="G105" s="2"/>
      <c r="H105" s="7"/>
      <c r="I105" s="2"/>
      <c r="J105" s="6">
        <f t="shared" si="63"/>
        <v>0</v>
      </c>
      <c r="K105" s="2"/>
      <c r="L105" s="7">
        <f t="shared" si="64"/>
        <v>0</v>
      </c>
      <c r="M105" s="2"/>
      <c r="N105" s="6">
        <f t="shared" si="65"/>
        <v>0</v>
      </c>
      <c r="O105" s="11"/>
      <c r="P105" s="7"/>
      <c r="Q105" s="2"/>
      <c r="R105" s="6">
        <f t="shared" si="66"/>
        <v>0</v>
      </c>
      <c r="S105" s="2"/>
      <c r="T105" s="7">
        <v>120</v>
      </c>
      <c r="U105" s="2"/>
      <c r="V105" s="6">
        <f t="shared" si="67"/>
        <v>4.127555924513194E-4</v>
      </c>
      <c r="W105" s="2"/>
      <c r="X105" s="7">
        <f t="shared" si="68"/>
        <v>-120</v>
      </c>
      <c r="Y105" s="2"/>
      <c r="Z105" s="6">
        <f t="shared" si="69"/>
        <v>-1</v>
      </c>
    </row>
    <row r="106" spans="1:26" s="27" customFormat="1" outlineLevel="1" collapsed="1" x14ac:dyDescent="0.25">
      <c r="A106" s="29"/>
      <c r="B106" s="14" t="str">
        <f>CONCATENATE("     ","Supplies                                          ")</f>
        <v xml:space="preserve">     Supplies                                          </v>
      </c>
      <c r="C106" s="14"/>
      <c r="D106" s="1">
        <f>SUM(OSRRefD22_10x_0)</f>
        <v>418.01</v>
      </c>
      <c r="E106" s="1"/>
      <c r="F106" s="5">
        <f t="shared" si="62"/>
        <v>4.6988111617701278E-2</v>
      </c>
      <c r="G106" s="1"/>
      <c r="H106" s="1">
        <f>SUM(OSRRefH22_10x_0)</f>
        <v>358.54</v>
      </c>
      <c r="I106" s="1"/>
      <c r="J106" s="5">
        <f t="shared" si="63"/>
        <v>2.5863473120930755E-3</v>
      </c>
      <c r="K106" s="1"/>
      <c r="L106" s="1">
        <f t="shared" si="64"/>
        <v>59.46999999999997</v>
      </c>
      <c r="M106" s="1"/>
      <c r="N106" s="5">
        <f t="shared" si="65"/>
        <v>0.16586712779606172</v>
      </c>
      <c r="O106" s="14"/>
      <c r="P106" s="1">
        <f>SUM(OSRRefP22_10x_0)</f>
        <v>1347.67</v>
      </c>
      <c r="Q106" s="1"/>
      <c r="R106" s="5">
        <f t="shared" si="66"/>
        <v>6.3288660384464748E-2</v>
      </c>
      <c r="S106" s="1"/>
      <c r="T106" s="1">
        <f>SUM(OSRRefT22_10x_0)</f>
        <v>571.96</v>
      </c>
      <c r="U106" s="1"/>
      <c r="V106" s="5">
        <f t="shared" si="67"/>
        <v>1.967330738820472E-3</v>
      </c>
      <c r="W106" s="1"/>
      <c r="X106" s="1">
        <f t="shared" si="68"/>
        <v>775.71</v>
      </c>
      <c r="Y106" s="1"/>
      <c r="Z106" s="5">
        <f t="shared" si="69"/>
        <v>1.3562312049793692</v>
      </c>
    </row>
    <row r="107" spans="1:26" s="24" customFormat="1" hidden="1" outlineLevel="2" x14ac:dyDescent="0.25">
      <c r="A107" s="28"/>
      <c r="B107" s="11" t="str">
        <f>CONCATENATE("          ", "6235", " - ", "COVID-19 EXPENSES")</f>
        <v xml:space="preserve">          6235 - COVID-19 EXPENSES</v>
      </c>
      <c r="C107" s="11"/>
      <c r="D107" s="7"/>
      <c r="E107" s="2"/>
      <c r="F107" s="6">
        <f t="shared" si="62"/>
        <v>0</v>
      </c>
      <c r="G107" s="2"/>
      <c r="H107" s="7"/>
      <c r="I107" s="2"/>
      <c r="J107" s="6">
        <f t="shared" si="63"/>
        <v>0</v>
      </c>
      <c r="K107" s="2"/>
      <c r="L107" s="7">
        <f t="shared" si="64"/>
        <v>0</v>
      </c>
      <c r="M107" s="2"/>
      <c r="N107" s="6">
        <f t="shared" si="65"/>
        <v>0</v>
      </c>
      <c r="O107" s="11"/>
      <c r="P107" s="7">
        <v>444.3</v>
      </c>
      <c r="Q107" s="2"/>
      <c r="R107" s="6">
        <f t="shared" si="66"/>
        <v>2.0865012806412318E-2</v>
      </c>
      <c r="S107" s="2"/>
      <c r="T107" s="7"/>
      <c r="U107" s="2"/>
      <c r="V107" s="6">
        <f t="shared" si="67"/>
        <v>0</v>
      </c>
      <c r="W107" s="2"/>
      <c r="X107" s="7">
        <f t="shared" si="68"/>
        <v>444.3</v>
      </c>
      <c r="Y107" s="2"/>
      <c r="Z107" s="6">
        <f t="shared" si="69"/>
        <v>0</v>
      </c>
    </row>
    <row r="108" spans="1:26" s="24" customFormat="1" hidden="1" outlineLevel="2" x14ac:dyDescent="0.25">
      <c r="A108" s="28"/>
      <c r="B108" s="11" t="str">
        <f>CONCATENATE("          ", "6241", " - ", "OFFICE EXPENSE")</f>
        <v xml:space="preserve">          6241 - OFFICE EXPENSE</v>
      </c>
      <c r="C108" s="11"/>
      <c r="D108" s="7"/>
      <c r="E108" s="2"/>
      <c r="F108" s="6">
        <f t="shared" si="62"/>
        <v>0</v>
      </c>
      <c r="G108" s="2"/>
      <c r="H108" s="7">
        <v>358.54</v>
      </c>
      <c r="I108" s="2"/>
      <c r="J108" s="6">
        <f t="shared" si="63"/>
        <v>2.5863473120930755E-3</v>
      </c>
      <c r="K108" s="2"/>
      <c r="L108" s="7">
        <f t="shared" si="64"/>
        <v>-358.54</v>
      </c>
      <c r="M108" s="2"/>
      <c r="N108" s="6">
        <f t="shared" si="65"/>
        <v>-1</v>
      </c>
      <c r="O108" s="11"/>
      <c r="P108" s="7">
        <v>225.24</v>
      </c>
      <c r="Q108" s="2"/>
      <c r="R108" s="6">
        <f t="shared" si="66"/>
        <v>1.0577617565870607E-2</v>
      </c>
      <c r="S108" s="2"/>
      <c r="T108" s="7">
        <v>571.96</v>
      </c>
      <c r="U108" s="2"/>
      <c r="V108" s="6">
        <f t="shared" si="67"/>
        <v>1.967330738820472E-3</v>
      </c>
      <c r="W108" s="2"/>
      <c r="X108" s="7">
        <f t="shared" si="68"/>
        <v>-346.72</v>
      </c>
      <c r="Y108" s="2"/>
      <c r="Z108" s="6">
        <f t="shared" si="69"/>
        <v>-0.60619623749912577</v>
      </c>
    </row>
    <row r="109" spans="1:26" s="24" customFormat="1" hidden="1" outlineLevel="2" x14ac:dyDescent="0.25">
      <c r="A109" s="28"/>
      <c r="B109" s="11" t="str">
        <f>CONCATENATE("          ", "6247", " - ", "STORE SUPPLIES")</f>
        <v xml:space="preserve">          6247 - STORE SUPPLIES</v>
      </c>
      <c r="C109" s="11"/>
      <c r="D109" s="7">
        <v>418.01</v>
      </c>
      <c r="E109" s="2"/>
      <c r="F109" s="6">
        <f t="shared" si="62"/>
        <v>4.6988111617701278E-2</v>
      </c>
      <c r="G109" s="2"/>
      <c r="H109" s="7"/>
      <c r="I109" s="2"/>
      <c r="J109" s="6">
        <f t="shared" si="63"/>
        <v>0</v>
      </c>
      <c r="K109" s="2"/>
      <c r="L109" s="7">
        <f t="shared" si="64"/>
        <v>418.01</v>
      </c>
      <c r="M109" s="2"/>
      <c r="N109" s="6">
        <f t="shared" si="65"/>
        <v>0</v>
      </c>
      <c r="O109" s="11"/>
      <c r="P109" s="7">
        <v>678.13</v>
      </c>
      <c r="Q109" s="2"/>
      <c r="R109" s="6">
        <f t="shared" si="66"/>
        <v>3.1846030012181822E-2</v>
      </c>
      <c r="S109" s="2"/>
      <c r="T109" s="7"/>
      <c r="U109" s="2"/>
      <c r="V109" s="6">
        <f t="shared" si="67"/>
        <v>0</v>
      </c>
      <c r="W109" s="2"/>
      <c r="X109" s="7">
        <f t="shared" si="68"/>
        <v>678.13</v>
      </c>
      <c r="Y109" s="2"/>
      <c r="Z109" s="6">
        <f t="shared" si="69"/>
        <v>0</v>
      </c>
    </row>
    <row r="110" spans="1:26" s="27" customFormat="1" outlineLevel="1" collapsed="1" x14ac:dyDescent="0.25">
      <c r="A110" s="29"/>
      <c r="B110" s="14" t="str">
        <f>CONCATENATE("     ","Telephone/Data Lines                              ")</f>
        <v xml:space="preserve">     Telephone/Data Lines                              </v>
      </c>
      <c r="C110" s="14"/>
      <c r="D110" s="1">
        <f>SUM(OSRRefD22_11x_0)</f>
        <v>100</v>
      </c>
      <c r="E110" s="1"/>
      <c r="F110" s="5">
        <f t="shared" ref="F110:F111" si="70">IF(D$12=0,0,D110/D$12)</f>
        <v>1.1240906106959469E-2</v>
      </c>
      <c r="G110" s="1"/>
      <c r="H110" s="1">
        <f>SUM(OSRRefH22_11x_0)</f>
        <v>125</v>
      </c>
      <c r="I110" s="1"/>
      <c r="J110" s="5">
        <f t="shared" ref="J110:J111" si="71">IF(H$12=0,0,H110/H$12)</f>
        <v>9.0169413178901783E-4</v>
      </c>
      <c r="K110" s="1"/>
      <c r="L110" s="1">
        <f t="shared" ref="L110:L111" si="72">+D110-H110</f>
        <v>-25</v>
      </c>
      <c r="M110" s="1"/>
      <c r="N110" s="5">
        <f t="shared" ref="N110:N111" si="73">IF(H110=0,0,L110/H110)</f>
        <v>-0.2</v>
      </c>
      <c r="O110" s="14"/>
      <c r="P110" s="1">
        <f>SUM(OSRRefP22_11x_0)</f>
        <v>206</v>
      </c>
      <c r="Q110" s="1"/>
      <c r="R110" s="5">
        <f t="shared" ref="R110:R111" si="74">IF(P$12=0,0,P110/P$12)</f>
        <v>9.6740775109631708E-3</v>
      </c>
      <c r="S110" s="1"/>
      <c r="T110" s="1">
        <f>SUM(OSRRefT22_11x_0)</f>
        <v>302.5</v>
      </c>
      <c r="U110" s="1"/>
      <c r="V110" s="5">
        <f t="shared" ref="V110:V111" si="75">IF(T$12=0,0,T110/T$12)</f>
        <v>1.0404880559710345E-3</v>
      </c>
      <c r="W110" s="1"/>
      <c r="X110" s="1">
        <f t="shared" ref="X110:X111" si="76">+P110-T110</f>
        <v>-96.5</v>
      </c>
      <c r="Y110" s="1"/>
      <c r="Z110" s="5">
        <f t="shared" ref="Z110:Z111" si="77">IF(T110=0,0,X110/T110)</f>
        <v>-0.31900826446280994</v>
      </c>
    </row>
    <row r="111" spans="1:26" s="24" customFormat="1" hidden="1" outlineLevel="2" x14ac:dyDescent="0.25">
      <c r="A111" s="28"/>
      <c r="B111" s="11" t="str">
        <f>CONCATENATE("          ", "6309", " - ", "TELEPHONE")</f>
        <v xml:space="preserve">          6309 - TELEPHONE</v>
      </c>
      <c r="C111" s="11"/>
      <c r="D111" s="7">
        <v>100</v>
      </c>
      <c r="E111" s="2"/>
      <c r="F111" s="6">
        <f t="shared" si="70"/>
        <v>1.1240906106959469E-2</v>
      </c>
      <c r="G111" s="2"/>
      <c r="H111" s="7">
        <v>125</v>
      </c>
      <c r="I111" s="2"/>
      <c r="J111" s="6">
        <f t="shared" si="71"/>
        <v>9.0169413178901783E-4</v>
      </c>
      <c r="K111" s="2"/>
      <c r="L111" s="7">
        <f t="shared" si="72"/>
        <v>-25</v>
      </c>
      <c r="M111" s="2"/>
      <c r="N111" s="6">
        <f t="shared" si="73"/>
        <v>-0.2</v>
      </c>
      <c r="O111" s="11"/>
      <c r="P111" s="7">
        <v>206</v>
      </c>
      <c r="Q111" s="2"/>
      <c r="R111" s="6">
        <f t="shared" si="74"/>
        <v>9.6740775109631708E-3</v>
      </c>
      <c r="S111" s="2"/>
      <c r="T111" s="7">
        <v>302.5</v>
      </c>
      <c r="U111" s="2"/>
      <c r="V111" s="6">
        <f t="shared" si="75"/>
        <v>1.0404880559710345E-3</v>
      </c>
      <c r="W111" s="2"/>
      <c r="X111" s="7">
        <f t="shared" si="76"/>
        <v>-96.5</v>
      </c>
      <c r="Y111" s="2"/>
      <c r="Z111" s="6">
        <f t="shared" si="77"/>
        <v>-0.31900826446280994</v>
      </c>
    </row>
    <row r="112" spans="1:26" s="60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x14ac:dyDescent="0.25">
      <c r="A113" s="10"/>
      <c r="B113" s="26" t="s">
        <v>0</v>
      </c>
      <c r="C113" s="10"/>
      <c r="D113" s="4">
        <f>SUM(0)</f>
        <v>0</v>
      </c>
      <c r="E113" s="4"/>
      <c r="F113" s="12">
        <f>IF(D$12=0,0,D113/D$12)</f>
        <v>0</v>
      </c>
      <c r="G113" s="4"/>
      <c r="H113" s="4">
        <f>SUM(0)</f>
        <v>0</v>
      </c>
      <c r="I113" s="4"/>
      <c r="J113" s="12">
        <f>IF(H$12=0,0,H113/H$12)</f>
        <v>0</v>
      </c>
      <c r="K113" s="4"/>
      <c r="L113" s="4">
        <f>+D113-H113</f>
        <v>0</v>
      </c>
      <c r="M113" s="4"/>
      <c r="N113" s="12">
        <f>IF(H113=0,0,L113/H113)</f>
        <v>0</v>
      </c>
      <c r="O113" s="10"/>
      <c r="P113" s="4">
        <f>SUM(0)</f>
        <v>0</v>
      </c>
      <c r="Q113" s="4"/>
      <c r="R113" s="12">
        <f>IF(P$12=0,0,P113/P$12)</f>
        <v>0</v>
      </c>
      <c r="S113" s="4"/>
      <c r="T113" s="4">
        <f>SUM(0)</f>
        <v>0</v>
      </c>
      <c r="U113" s="4"/>
      <c r="V113" s="12">
        <f>IF(T$12=0,0,T113/T$12)</f>
        <v>0</v>
      </c>
      <c r="W113" s="4"/>
      <c r="X113" s="4">
        <f>+P113-T113</f>
        <v>0</v>
      </c>
      <c r="Y113" s="4"/>
      <c r="Z113" s="12">
        <f>IF(T113=0,0,X113/T113)</f>
        <v>0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5" t="s">
        <v>3</v>
      </c>
      <c r="C115" s="25"/>
      <c r="D115" s="22">
        <f>+D70-D72+D113</f>
        <v>147.47999999999956</v>
      </c>
      <c r="E115" s="13"/>
      <c r="F115" s="21">
        <f>IF(D$12=0,0,D115/D$12)</f>
        <v>1.6578088326543776E-2</v>
      </c>
      <c r="G115" s="13"/>
      <c r="H115" s="22">
        <f>+H70-H72+H113</f>
        <v>48904.159999999931</v>
      </c>
      <c r="I115" s="13"/>
      <c r="J115" s="21">
        <f>IF(H$12=0,0,H115/H$12)</f>
        <v>0.35277275273656922</v>
      </c>
      <c r="K115" s="15"/>
      <c r="L115" s="22">
        <f>+D115-H115</f>
        <v>-48756.679999999935</v>
      </c>
      <c r="M115" s="15"/>
      <c r="N115" s="21">
        <f>IF(H115=0,0,L115/H115)</f>
        <v>-0.99698430562962337</v>
      </c>
      <c r="O115" s="26"/>
      <c r="P115" s="22">
        <f>+P70-P72+P113</f>
        <v>-3082.6999999999953</v>
      </c>
      <c r="Q115" s="13"/>
      <c r="R115" s="21">
        <f>IF(P$12=0,0,P115/P$12)</f>
        <v>-0.14476834341284525</v>
      </c>
      <c r="S115" s="13"/>
      <c r="T115" s="22">
        <f>+T70-T72+T113</f>
        <v>87053.069999999978</v>
      </c>
      <c r="U115" s="13"/>
      <c r="V115" s="21">
        <f>IF(T$12=0,0,T115/T$12)</f>
        <v>0.29943034568796811</v>
      </c>
      <c r="W115" s="15"/>
      <c r="X115" s="22">
        <f>+P115-T115</f>
        <v>-90135.769999999975</v>
      </c>
      <c r="Y115" s="15"/>
      <c r="Z115" s="21">
        <f>IF(T115=0,0,X115/T115)</f>
        <v>-1.0354117321767056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1"/>
      <c r="B117" s="10" t="s">
        <v>13</v>
      </c>
      <c r="C117" s="10"/>
      <c r="D117" s="4">
        <v>1851.59</v>
      </c>
      <c r="E117" s="4"/>
      <c r="F117" s="12">
        <f>IF(D$12=0,0,D117/D$12)</f>
        <v>0.20813549338585083</v>
      </c>
      <c r="G117" s="4"/>
      <c r="H117" s="4">
        <v>12263.92</v>
      </c>
      <c r="I117" s="4"/>
      <c r="J117" s="12">
        <f>IF(H$12=0,0,H117/H$12)</f>
        <v>8.8466437573839762E-2</v>
      </c>
      <c r="K117" s="4"/>
      <c r="L117" s="4">
        <f>+D117-H117</f>
        <v>-10412.33</v>
      </c>
      <c r="M117" s="4"/>
      <c r="N117" s="12">
        <f>IF(H117=0,0,L117/H117)</f>
        <v>-0.84902135695601411</v>
      </c>
      <c r="O117" s="10"/>
      <c r="P117" s="4">
        <v>3944.82</v>
      </c>
      <c r="Q117" s="4"/>
      <c r="R117" s="12">
        <f>IF(P$12=0,0,P117/P$12)</f>
        <v>0.18525482741163951</v>
      </c>
      <c r="S117" s="4"/>
      <c r="T117" s="4">
        <v>31228.140000000003</v>
      </c>
      <c r="U117" s="4"/>
      <c r="V117" s="12">
        <f>IF(T$12=0,0,T117/T$12)</f>
        <v>0.10741324522377289</v>
      </c>
      <c r="W117" s="4"/>
      <c r="X117" s="4">
        <f>+P117-T117</f>
        <v>-27283.320000000003</v>
      </c>
      <c r="Y117" s="4"/>
      <c r="Z117" s="12">
        <f>IF(T117=0,0,X117/T117)</f>
        <v>-0.87367739481121831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5" t="s">
        <v>4</v>
      </c>
      <c r="C119" s="25"/>
      <c r="D119" s="33">
        <f>+D115-D117</f>
        <v>-1704.1100000000004</v>
      </c>
      <c r="E119" s="13"/>
      <c r="F119" s="32">
        <f>IF(D$12=0,0,D119/D$12)</f>
        <v>-0.19155740505930707</v>
      </c>
      <c r="G119" s="13"/>
      <c r="H119" s="33">
        <f>+H115-H117</f>
        <v>36640.239999999932</v>
      </c>
      <c r="I119" s="13"/>
      <c r="J119" s="32">
        <f>IF(H$12=0,0,H119/H$12)</f>
        <v>0.26430631516272945</v>
      </c>
      <c r="K119" s="15"/>
      <c r="L119" s="33">
        <f>D119-H119</f>
        <v>-38344.349999999933</v>
      </c>
      <c r="M119" s="15"/>
      <c r="N119" s="32">
        <f>IF(H119=0,0,L119/H119)</f>
        <v>-1.0465092477560192</v>
      </c>
      <c r="O119" s="26"/>
      <c r="P119" s="33">
        <f>+P115-P117</f>
        <v>-7027.519999999995</v>
      </c>
      <c r="Q119" s="13"/>
      <c r="R119" s="32">
        <f>IF(P$12=0,0,P119/P$12)</f>
        <v>-0.33002317082448474</v>
      </c>
      <c r="S119" s="13"/>
      <c r="T119" s="33">
        <f>+T115-T117</f>
        <v>55824.929999999978</v>
      </c>
      <c r="U119" s="13"/>
      <c r="V119" s="32">
        <f>IF(T$12=0,0,T119/T$12)</f>
        <v>0.19201710046419521</v>
      </c>
      <c r="W119" s="15"/>
      <c r="X119" s="33">
        <f>P119-T119</f>
        <v>-62852.449999999975</v>
      </c>
      <c r="Y119" s="15"/>
      <c r="Z119" s="32">
        <f>IF(T119=0,0,X119/T119)</f>
        <v>-1.1258849764791465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5" t="s">
        <v>5</v>
      </c>
      <c r="C122" s="25"/>
      <c r="D122" s="34">
        <f>SUM(D119:D121)</f>
        <v>-1704.1100000000004</v>
      </c>
      <c r="E122" s="13"/>
      <c r="F122" s="31">
        <f>IF(D$12=0,0,D122/D$12)</f>
        <v>-0.19155740505930707</v>
      </c>
      <c r="G122" s="13"/>
      <c r="H122" s="34">
        <f>SUM(H119:H121)</f>
        <v>36640.239999999932</v>
      </c>
      <c r="I122" s="13"/>
      <c r="J122" s="31">
        <f>IF(H$12=0,0,H122/H$12)</f>
        <v>0.26430631516272945</v>
      </c>
      <c r="K122" s="15"/>
      <c r="L122" s="34">
        <f>+D122-H122</f>
        <v>-38344.349999999933</v>
      </c>
      <c r="M122" s="15"/>
      <c r="N122" s="31">
        <f>IF(H122=0,0,L122/H122)</f>
        <v>-1.0465092477560192</v>
      </c>
      <c r="O122" s="26"/>
      <c r="P122" s="34">
        <f>SUM(P119:P121)</f>
        <v>-7027.519999999995</v>
      </c>
      <c r="Q122" s="13"/>
      <c r="R122" s="31">
        <f>IF(P$12=0,0,P122/P$12)</f>
        <v>-0.33002317082448474</v>
      </c>
      <c r="S122" s="13"/>
      <c r="T122" s="34">
        <f>SUM(T119:T121)</f>
        <v>55824.929999999978</v>
      </c>
      <c r="U122" s="13"/>
      <c r="V122" s="31">
        <f>IF(T$12=0,0,T122/T$12)</f>
        <v>0.19201710046419521</v>
      </c>
      <c r="W122" s="15"/>
      <c r="X122" s="34">
        <f>+P122-T122</f>
        <v>-62852.449999999975</v>
      </c>
      <c r="Y122" s="15"/>
      <c r="Z122" s="31">
        <f>IF(T122=0,0,X122/T122)</f>
        <v>-1.1258849764791465</v>
      </c>
    </row>
    <row r="123" spans="1:26" ht="15.75" thickTop="1" x14ac:dyDescent="0.25">
      <c r="A123" s="9"/>
      <c r="C123" s="9"/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4">
        <v>44123.564714814813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9" t="s">
        <v>313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8"/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8896.08</v>
      </c>
      <c r="E12" s="4"/>
      <c r="F12" s="12"/>
      <c r="G12" s="4"/>
      <c r="H12" s="4">
        <f>SUM(OSRRefH13x_0)</f>
        <v>72673.64</v>
      </c>
      <c r="I12" s="4"/>
      <c r="J12" s="12"/>
      <c r="K12" s="4"/>
      <c r="L12" s="4">
        <f t="shared" ref="L12:L40" si="0">+D12-H12</f>
        <v>-63777.56</v>
      </c>
      <c r="M12" s="4"/>
      <c r="N12" s="12">
        <f t="shared" ref="N12:N40" si="1">IF(H12=0,0,L12/H12)</f>
        <v>-0.87758862773352209</v>
      </c>
      <c r="O12" s="10"/>
      <c r="P12" s="4">
        <f>SUM(OSRRefP13x_0)</f>
        <v>21294.02</v>
      </c>
      <c r="Q12" s="4"/>
      <c r="R12" s="12"/>
      <c r="S12" s="4"/>
      <c r="T12" s="4">
        <f>SUM(OSRRefT13x_0)</f>
        <v>128359.02</v>
      </c>
      <c r="U12" s="4"/>
      <c r="V12" s="12"/>
      <c r="W12" s="4"/>
      <c r="X12" s="4">
        <f t="shared" ref="X12:X40" si="2">+P12-T12</f>
        <v>-107065</v>
      </c>
      <c r="Y12" s="4"/>
      <c r="Z12" s="12">
        <f t="shared" ref="Z12:Z40" si="3">IF(T12=0,0,X12/T12)</f>
        <v>-0.83410577612699133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-25.17</f>
        <v>-25.17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-25.17</v>
      </c>
      <c r="M13" s="2"/>
      <c r="N13" s="19">
        <f t="shared" si="1"/>
        <v>0</v>
      </c>
      <c r="O13" s="11"/>
      <c r="P13" s="2">
        <f>-1094.7</f>
        <v>-1094.7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-1094.7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ref="D14:D15" si="4">0</f>
        <v>0</v>
      </c>
      <c r="E14" s="2"/>
      <c r="F14" s="19"/>
      <c r="G14" s="2"/>
      <c r="H14" s="2">
        <f>--16.47</f>
        <v>16.47</v>
      </c>
      <c r="I14" s="2"/>
      <c r="J14" s="19"/>
      <c r="K14" s="2"/>
      <c r="L14" s="2">
        <f t="shared" si="0"/>
        <v>-16.47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--16.47</f>
        <v>16.47</v>
      </c>
      <c r="U14" s="2"/>
      <c r="V14" s="19"/>
      <c r="W14" s="2"/>
      <c r="X14" s="2">
        <f t="shared" si="2"/>
        <v>-16.47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--396.04</f>
        <v>396.04</v>
      </c>
      <c r="I15" s="2"/>
      <c r="J15" s="19"/>
      <c r="K15" s="2"/>
      <c r="L15" s="2">
        <f t="shared" si="0"/>
        <v>-396.04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--498.76</f>
        <v>498.76</v>
      </c>
      <c r="U15" s="2"/>
      <c r="V15" s="19"/>
      <c r="W15" s="2"/>
      <c r="X15" s="2">
        <f t="shared" si="2"/>
        <v>-498.76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>--17.51</f>
        <v>17.510000000000002</v>
      </c>
      <c r="E16" s="2"/>
      <c r="F16" s="19"/>
      <c r="G16" s="2"/>
      <c r="H16" s="2">
        <f>--847.15</f>
        <v>847.15</v>
      </c>
      <c r="I16" s="2"/>
      <c r="J16" s="19"/>
      <c r="K16" s="2"/>
      <c r="L16" s="2">
        <f t="shared" si="0"/>
        <v>-829.64</v>
      </c>
      <c r="M16" s="2"/>
      <c r="N16" s="19">
        <f t="shared" si="1"/>
        <v>-0.97933069704302667</v>
      </c>
      <c r="O16" s="11"/>
      <c r="P16" s="2">
        <f>--17.51</f>
        <v>17.510000000000002</v>
      </c>
      <c r="Q16" s="2"/>
      <c r="R16" s="19"/>
      <c r="S16" s="2"/>
      <c r="T16" s="2">
        <f>--1520.57</f>
        <v>1520.57</v>
      </c>
      <c r="U16" s="2"/>
      <c r="V16" s="19"/>
      <c r="W16" s="2"/>
      <c r="X16" s="2">
        <f t="shared" si="2"/>
        <v>-1503.06</v>
      </c>
      <c r="Y16" s="2"/>
      <c r="Z16" s="19">
        <f t="shared" si="3"/>
        <v>-0.98848458143985485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>--4601.45</f>
        <v>4601.45</v>
      </c>
      <c r="E17" s="2"/>
      <c r="F17" s="19"/>
      <c r="G17" s="2"/>
      <c r="H17" s="2">
        <f>--1087.24</f>
        <v>1087.24</v>
      </c>
      <c r="I17" s="2"/>
      <c r="J17" s="19"/>
      <c r="K17" s="2"/>
      <c r="L17" s="2">
        <f t="shared" si="0"/>
        <v>3514.21</v>
      </c>
      <c r="M17" s="2"/>
      <c r="N17" s="19">
        <f t="shared" si="1"/>
        <v>3.2322302343548803</v>
      </c>
      <c r="O17" s="11"/>
      <c r="P17" s="2">
        <f>--7990.32</f>
        <v>7990.32</v>
      </c>
      <c r="Q17" s="2"/>
      <c r="R17" s="19"/>
      <c r="S17" s="2"/>
      <c r="T17" s="2">
        <f>--4422.32</f>
        <v>4422.32</v>
      </c>
      <c r="U17" s="2"/>
      <c r="V17" s="19"/>
      <c r="W17" s="2"/>
      <c r="X17" s="2">
        <f t="shared" si="2"/>
        <v>3568</v>
      </c>
      <c r="Y17" s="2"/>
      <c r="Z17" s="19">
        <f t="shared" si="3"/>
        <v>0.80681633169919864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>--2807.8</f>
        <v>2807.8</v>
      </c>
      <c r="E18" s="2"/>
      <c r="F18" s="19"/>
      <c r="G18" s="2"/>
      <c r="H18" s="2">
        <f>--49846.06</f>
        <v>49846.06</v>
      </c>
      <c r="I18" s="2"/>
      <c r="J18" s="19"/>
      <c r="K18" s="2"/>
      <c r="L18" s="2">
        <f t="shared" si="0"/>
        <v>-47038.259999999995</v>
      </c>
      <c r="M18" s="2"/>
      <c r="N18" s="19">
        <f t="shared" si="1"/>
        <v>-0.94367057296002932</v>
      </c>
      <c r="O18" s="11"/>
      <c r="P18" s="2">
        <f>--12479.05</f>
        <v>12479.05</v>
      </c>
      <c r="Q18" s="2"/>
      <c r="R18" s="19"/>
      <c r="S18" s="2"/>
      <c r="T18" s="2">
        <f>--96597.15</f>
        <v>96597.15</v>
      </c>
      <c r="U18" s="2"/>
      <c r="V18" s="19"/>
      <c r="W18" s="2"/>
      <c r="X18" s="2">
        <f t="shared" si="2"/>
        <v>-84118.099999999991</v>
      </c>
      <c r="Y18" s="2"/>
      <c r="Z18" s="19">
        <f t="shared" si="3"/>
        <v>-0.8708134763810319</v>
      </c>
    </row>
    <row r="19" spans="1:26" s="24" customFormat="1" hidden="1" outlineLevel="1" x14ac:dyDescent="0.25">
      <c r="A19" s="44"/>
      <c r="B19" s="11" t="str">
        <f>CONCATENATE("          ", "4031", " - ", "TAXABLE SALES-FOOD")</f>
        <v xml:space="preserve">          4031 - TAXABLE SALES-FOOD</v>
      </c>
      <c r="C19" s="11"/>
      <c r="D19" s="2">
        <f>--244.33</f>
        <v>244.33</v>
      </c>
      <c r="E19" s="2"/>
      <c r="F19" s="19"/>
      <c r="G19" s="2"/>
      <c r="H19" s="2">
        <f>--88.48</f>
        <v>88.48</v>
      </c>
      <c r="I19" s="2"/>
      <c r="J19" s="19"/>
      <c r="K19" s="2"/>
      <c r="L19" s="2">
        <f t="shared" si="0"/>
        <v>155.85000000000002</v>
      </c>
      <c r="M19" s="2"/>
      <c r="N19" s="19">
        <f t="shared" si="1"/>
        <v>1.7614150090415914</v>
      </c>
      <c r="O19" s="11"/>
      <c r="P19" s="2">
        <f>--369.37</f>
        <v>369.37</v>
      </c>
      <c r="Q19" s="2"/>
      <c r="R19" s="19"/>
      <c r="S19" s="2"/>
      <c r="T19" s="2">
        <f>--120.82</f>
        <v>120.82</v>
      </c>
      <c r="U19" s="2"/>
      <c r="V19" s="19"/>
      <c r="W19" s="2"/>
      <c r="X19" s="2">
        <f t="shared" si="2"/>
        <v>248.55</v>
      </c>
      <c r="Y19" s="2"/>
      <c r="Z19" s="19">
        <f t="shared" si="3"/>
        <v>2.0571925177950674</v>
      </c>
    </row>
    <row r="20" spans="1:26" s="24" customFormat="1" hidden="1" outlineLevel="1" x14ac:dyDescent="0.25">
      <c r="A20" s="44"/>
      <c r="B20" s="11" t="str">
        <f>CONCATENATE("          ", "4032", " - ", "TAXABLE SALES-JUICE")</f>
        <v xml:space="preserve">          4032 - TAXABLE SALES-JUICE</v>
      </c>
      <c r="C20" s="11"/>
      <c r="D20" s="2">
        <f t="shared" ref="D20:D24" si="6">0</f>
        <v>0</v>
      </c>
      <c r="E20" s="2"/>
      <c r="F20" s="19"/>
      <c r="G20" s="2"/>
      <c r="H20" s="2">
        <f>--17.54</f>
        <v>17.54</v>
      </c>
      <c r="I20" s="2"/>
      <c r="J20" s="19"/>
      <c r="K20" s="2"/>
      <c r="L20" s="2">
        <f t="shared" si="0"/>
        <v>-17.54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--21.35</f>
        <v>21.35</v>
      </c>
      <c r="U20" s="2"/>
      <c r="V20" s="19"/>
      <c r="W20" s="2"/>
      <c r="X20" s="2">
        <f t="shared" si="2"/>
        <v>-21.35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"4033", " - ", "TAXABLE SALES-CANDY")</f>
        <v xml:space="preserve">          4033 - TAXABLE SALES-CANDY</v>
      </c>
      <c r="C21" s="11"/>
      <c r="D21" s="2">
        <f t="shared" si="6"/>
        <v>0</v>
      </c>
      <c r="E21" s="2"/>
      <c r="F21" s="19"/>
      <c r="G21" s="2"/>
      <c r="H21" s="2">
        <f>--27.97</f>
        <v>27.97</v>
      </c>
      <c r="I21" s="2"/>
      <c r="J21" s="19"/>
      <c r="K21" s="2"/>
      <c r="L21" s="2">
        <f t="shared" si="0"/>
        <v>-27.97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--40.97</f>
        <v>40.97</v>
      </c>
      <c r="U21" s="2"/>
      <c r="V21" s="19"/>
      <c r="W21" s="2"/>
      <c r="X21" s="2">
        <f t="shared" si="2"/>
        <v>-40.97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"4034", " - ", "TAXABLE SALES-SODA")</f>
        <v xml:space="preserve">          4034 - TAXABLE SALES-SODA</v>
      </c>
      <c r="C22" s="11"/>
      <c r="D22" s="2">
        <f t="shared" si="6"/>
        <v>0</v>
      </c>
      <c r="E22" s="2"/>
      <c r="F22" s="19"/>
      <c r="G22" s="2"/>
      <c r="H22" s="2">
        <f>--1544.01</f>
        <v>1544.01</v>
      </c>
      <c r="I22" s="2"/>
      <c r="J22" s="19"/>
      <c r="K22" s="2"/>
      <c r="L22" s="2">
        <f t="shared" si="0"/>
        <v>-1544.01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--1859.55</f>
        <v>1859.55</v>
      </c>
      <c r="U22" s="2"/>
      <c r="V22" s="19"/>
      <c r="W22" s="2"/>
      <c r="X22" s="2">
        <f t="shared" si="2"/>
        <v>-1859.55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"4035", " - ", "TAXABLE SALES-HEALTH &amp; BEAUTY")</f>
        <v xml:space="preserve">          4035 - TAXABLE SALES-HEALTH &amp; BEAUTY</v>
      </c>
      <c r="C23" s="11"/>
      <c r="D23" s="2">
        <f t="shared" si="6"/>
        <v>0</v>
      </c>
      <c r="E23" s="2"/>
      <c r="F23" s="19"/>
      <c r="G23" s="2"/>
      <c r="H23" s="2">
        <f>--330.71</f>
        <v>330.71</v>
      </c>
      <c r="I23" s="2"/>
      <c r="J23" s="19"/>
      <c r="K23" s="2"/>
      <c r="L23" s="2">
        <f t="shared" si="0"/>
        <v>-330.71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--422.23</f>
        <v>422.23</v>
      </c>
      <c r="U23" s="2"/>
      <c r="V23" s="19"/>
      <c r="W23" s="2"/>
      <c r="X23" s="2">
        <f t="shared" si="2"/>
        <v>-422.23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"4037", " - ", "TAXABLE SALES-WATER")</f>
        <v xml:space="preserve">          4037 - TAXABLE SALES-WATER</v>
      </c>
      <c r="C24" s="11"/>
      <c r="D24" s="2">
        <f t="shared" si="6"/>
        <v>0</v>
      </c>
      <c r="E24" s="2"/>
      <c r="F24" s="19"/>
      <c r="G24" s="2"/>
      <c r="H24" s="2">
        <f>--131.98</f>
        <v>131.97999999999999</v>
      </c>
      <c r="I24" s="2"/>
      <c r="J24" s="19"/>
      <c r="K24" s="2"/>
      <c r="L24" s="2">
        <f t="shared" si="0"/>
        <v>-131.97999999999999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--174.15</f>
        <v>174.15</v>
      </c>
      <c r="U24" s="2"/>
      <c r="V24" s="19"/>
      <c r="W24" s="2"/>
      <c r="X24" s="2">
        <f t="shared" si="2"/>
        <v>-174.15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"4081", " - ", "TAXABLE SALES-ELECTRONICS")</f>
        <v xml:space="preserve">          4081 - TAXABLE SALES-ELECTRONICS</v>
      </c>
      <c r="C25" s="11"/>
      <c r="D25" s="2">
        <f>--71.95</f>
        <v>71.95</v>
      </c>
      <c r="E25" s="2"/>
      <c r="F25" s="19"/>
      <c r="G25" s="2"/>
      <c r="H25" s="2">
        <f>--650.56</f>
        <v>650.55999999999995</v>
      </c>
      <c r="I25" s="2"/>
      <c r="J25" s="19"/>
      <c r="K25" s="2"/>
      <c r="L25" s="2">
        <f t="shared" si="0"/>
        <v>-578.6099999999999</v>
      </c>
      <c r="M25" s="2"/>
      <c r="N25" s="19">
        <f t="shared" si="1"/>
        <v>-0.88940297589768802</v>
      </c>
      <c r="O25" s="11"/>
      <c r="P25" s="2">
        <f>--71.95</f>
        <v>71.95</v>
      </c>
      <c r="Q25" s="2"/>
      <c r="R25" s="19"/>
      <c r="S25" s="2"/>
      <c r="T25" s="2">
        <f>--919.42</f>
        <v>919.42</v>
      </c>
      <c r="U25" s="2"/>
      <c r="V25" s="19"/>
      <c r="W25" s="2"/>
      <c r="X25" s="2">
        <f t="shared" si="2"/>
        <v>-847.46999999999991</v>
      </c>
      <c r="Y25" s="2"/>
      <c r="Z25" s="19">
        <f t="shared" si="3"/>
        <v>-0.92174414304670327</v>
      </c>
    </row>
    <row r="26" spans="1:26" s="24" customFormat="1" hidden="1" outlineLevel="1" x14ac:dyDescent="0.25">
      <c r="A26" s="44"/>
      <c r="B26" s="11" t="str">
        <f>CONCATENATE("          ", "4082", " - ", "TAXABLE SALES-COMPUTER HARDWAR")</f>
        <v xml:space="preserve">          4082 - TAXABLE SALES-COMPUTER HARDWAR</v>
      </c>
      <c r="C26" s="11"/>
      <c r="D26" s="2">
        <f>0</f>
        <v>0</v>
      </c>
      <c r="E26" s="2"/>
      <c r="F26" s="19"/>
      <c r="G26" s="2"/>
      <c r="H26" s="2">
        <f>--124</f>
        <v>124</v>
      </c>
      <c r="I26" s="2"/>
      <c r="J26" s="19"/>
      <c r="K26" s="2"/>
      <c r="L26" s="2">
        <f t="shared" si="0"/>
        <v>-124</v>
      </c>
      <c r="M26" s="2"/>
      <c r="N26" s="19">
        <f t="shared" si="1"/>
        <v>-1</v>
      </c>
      <c r="O26" s="11"/>
      <c r="P26" s="2">
        <f>0</f>
        <v>0</v>
      </c>
      <c r="Q26" s="2"/>
      <c r="R26" s="19"/>
      <c r="S26" s="2"/>
      <c r="T26" s="2">
        <f>--162</f>
        <v>162</v>
      </c>
      <c r="U26" s="2"/>
      <c r="V26" s="19"/>
      <c r="W26" s="2"/>
      <c r="X26" s="2">
        <f t="shared" si="2"/>
        <v>-162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"4083", " - ", "TAXABLE SALES-COMPUTER EQUIPME")</f>
        <v xml:space="preserve">          4083 - TAXABLE SALES-COMPUTER EQUIPME</v>
      </c>
      <c r="C27" s="11"/>
      <c r="D27" s="2">
        <f>--9.99</f>
        <v>9.99</v>
      </c>
      <c r="E27" s="2"/>
      <c r="F27" s="19"/>
      <c r="G27" s="2"/>
      <c r="H27" s="2">
        <f>--269.82</f>
        <v>269.82</v>
      </c>
      <c r="I27" s="2"/>
      <c r="J27" s="19"/>
      <c r="K27" s="2"/>
      <c r="L27" s="2">
        <f t="shared" si="0"/>
        <v>-259.83</v>
      </c>
      <c r="M27" s="2"/>
      <c r="N27" s="19">
        <f t="shared" si="1"/>
        <v>-0.9629753168779186</v>
      </c>
      <c r="O27" s="11"/>
      <c r="P27" s="2">
        <f>--9.99</f>
        <v>9.99</v>
      </c>
      <c r="Q27" s="2"/>
      <c r="R27" s="19"/>
      <c r="S27" s="2"/>
      <c r="T27" s="2">
        <f>--299.8</f>
        <v>299.8</v>
      </c>
      <c r="U27" s="2"/>
      <c r="V27" s="19"/>
      <c r="W27" s="2"/>
      <c r="X27" s="2">
        <f t="shared" si="2"/>
        <v>-289.81</v>
      </c>
      <c r="Y27" s="2"/>
      <c r="Z27" s="19">
        <f t="shared" si="3"/>
        <v>-0.9666777851901267</v>
      </c>
    </row>
    <row r="28" spans="1:26" s="24" customFormat="1" hidden="1" outlineLevel="1" x14ac:dyDescent="0.25">
      <c r="A28" s="44"/>
      <c r="B28" s="11" t="str">
        <f>CONCATENATE("          ", "4086", " - ", "TAXABLE SALES-COMPUTER SUPPLIE")</f>
        <v xml:space="preserve">          4086 - TAXABLE SALES-COMPUTER SUPPLIE</v>
      </c>
      <c r="C28" s="11"/>
      <c r="D28" s="2">
        <f t="shared" ref="D28:D30" si="8">0</f>
        <v>0</v>
      </c>
      <c r="E28" s="2"/>
      <c r="F28" s="19"/>
      <c r="G28" s="2"/>
      <c r="H28" s="2">
        <f>--344.87</f>
        <v>344.87</v>
      </c>
      <c r="I28" s="2"/>
      <c r="J28" s="19"/>
      <c r="K28" s="2"/>
      <c r="L28" s="2">
        <f t="shared" si="0"/>
        <v>-344.87</v>
      </c>
      <c r="M28" s="2"/>
      <c r="N28" s="19">
        <f t="shared" si="1"/>
        <v>-1</v>
      </c>
      <c r="O28" s="11"/>
      <c r="P28" s="2">
        <f t="shared" ref="P28:P30" si="9">0</f>
        <v>0</v>
      </c>
      <c r="Q28" s="2"/>
      <c r="R28" s="19"/>
      <c r="S28" s="2"/>
      <c r="T28" s="2">
        <f>--453.82</f>
        <v>453.82</v>
      </c>
      <c r="U28" s="2"/>
      <c r="V28" s="19"/>
      <c r="W28" s="2"/>
      <c r="X28" s="2">
        <f t="shared" si="2"/>
        <v>-453.82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"4127", " - ", "NON-TAXABLE SALES-SCHOOL SUPPL")</f>
        <v xml:space="preserve">          4127 - NON-TAXABLE SALES-SCHOOL SUPPL</v>
      </c>
      <c r="C29" s="11"/>
      <c r="D29" s="2">
        <f t="shared" si="8"/>
        <v>0</v>
      </c>
      <c r="E29" s="2"/>
      <c r="F29" s="19"/>
      <c r="G29" s="2"/>
      <c r="H29" s="2">
        <f>--11.08</f>
        <v>11.08</v>
      </c>
      <c r="I29" s="2"/>
      <c r="J29" s="19"/>
      <c r="K29" s="2"/>
      <c r="L29" s="2">
        <f t="shared" si="0"/>
        <v>-11.08</v>
      </c>
      <c r="M29" s="2"/>
      <c r="N29" s="19">
        <f t="shared" si="1"/>
        <v>-1</v>
      </c>
      <c r="O29" s="11"/>
      <c r="P29" s="2">
        <f t="shared" si="9"/>
        <v>0</v>
      </c>
      <c r="Q29" s="2"/>
      <c r="R29" s="19"/>
      <c r="S29" s="2"/>
      <c r="T29" s="2">
        <f>--11.08</f>
        <v>11.08</v>
      </c>
      <c r="U29" s="2"/>
      <c r="V29" s="19"/>
      <c r="W29" s="2"/>
      <c r="X29" s="2">
        <f t="shared" si="2"/>
        <v>-11.08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"4128", " - ", "NON-TAXABLE SALES-ART/TECH")</f>
        <v xml:space="preserve">          4128 - NON-TAXABLE SALES-ART/TECH</v>
      </c>
      <c r="C30" s="11"/>
      <c r="D30" s="2">
        <f t="shared" si="8"/>
        <v>0</v>
      </c>
      <c r="E30" s="2"/>
      <c r="F30" s="19"/>
      <c r="G30" s="2"/>
      <c r="H30" s="2">
        <f>--42.21</f>
        <v>42.21</v>
      </c>
      <c r="I30" s="2"/>
      <c r="J30" s="19"/>
      <c r="K30" s="2"/>
      <c r="L30" s="2">
        <f t="shared" si="0"/>
        <v>-42.21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--42.21</f>
        <v>42.21</v>
      </c>
      <c r="U30" s="2"/>
      <c r="V30" s="19"/>
      <c r="W30" s="2"/>
      <c r="X30" s="2">
        <f t="shared" si="2"/>
        <v>-42.21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"4131", " - ", "NON-TAXABLE SALES-FOOD")</f>
        <v xml:space="preserve">          4131 - NON-TAXABLE SALES-FOOD</v>
      </c>
      <c r="C31" s="11"/>
      <c r="D31" s="2">
        <f>--1245.56</f>
        <v>1245.56</v>
      </c>
      <c r="E31" s="2"/>
      <c r="F31" s="19"/>
      <c r="G31" s="2"/>
      <c r="H31" s="2">
        <f>--10307.02</f>
        <v>10307.02</v>
      </c>
      <c r="I31" s="2"/>
      <c r="J31" s="19"/>
      <c r="K31" s="2"/>
      <c r="L31" s="2">
        <f t="shared" si="0"/>
        <v>-9061.4600000000009</v>
      </c>
      <c r="M31" s="2"/>
      <c r="N31" s="19">
        <f t="shared" si="1"/>
        <v>-0.8791542075206995</v>
      </c>
      <c r="O31" s="11"/>
      <c r="P31" s="2">
        <f>--1832.7</f>
        <v>1832.7</v>
      </c>
      <c r="Q31" s="2"/>
      <c r="R31" s="19"/>
      <c r="S31" s="2"/>
      <c r="T31" s="2">
        <f>--12760.29</f>
        <v>12760.29</v>
      </c>
      <c r="U31" s="2"/>
      <c r="V31" s="19"/>
      <c r="W31" s="2"/>
      <c r="X31" s="2">
        <f t="shared" si="2"/>
        <v>-10927.59</v>
      </c>
      <c r="Y31" s="2"/>
      <c r="Z31" s="19">
        <f t="shared" si="3"/>
        <v>-0.85637473756474181</v>
      </c>
    </row>
    <row r="32" spans="1:26" s="24" customFormat="1" hidden="1" outlineLevel="1" x14ac:dyDescent="0.25">
      <c r="A32" s="44"/>
      <c r="B32" s="11" t="str">
        <f>CONCATENATE("          ", "4132", " - ", "NON-TAXABLE SALES-JUICE")</f>
        <v xml:space="preserve">          4132 - NON-TAXABLE SALES-JUICE</v>
      </c>
      <c r="C32" s="11"/>
      <c r="D32" s="2">
        <f t="shared" ref="D32:D37" si="10">0</f>
        <v>0</v>
      </c>
      <c r="E32" s="2"/>
      <c r="F32" s="19"/>
      <c r="G32" s="2"/>
      <c r="H32" s="2">
        <f>--3051.46</f>
        <v>3051.46</v>
      </c>
      <c r="I32" s="2"/>
      <c r="J32" s="19"/>
      <c r="K32" s="2"/>
      <c r="L32" s="2">
        <f t="shared" si="0"/>
        <v>-3051.46</v>
      </c>
      <c r="M32" s="2"/>
      <c r="N32" s="19">
        <f t="shared" si="1"/>
        <v>-1</v>
      </c>
      <c r="O32" s="11"/>
      <c r="P32" s="2">
        <f t="shared" ref="P32:P37" si="11">0</f>
        <v>0</v>
      </c>
      <c r="Q32" s="2"/>
      <c r="R32" s="19"/>
      <c r="S32" s="2"/>
      <c r="T32" s="2">
        <f>--3810.37</f>
        <v>3810.37</v>
      </c>
      <c r="U32" s="2"/>
      <c r="V32" s="19"/>
      <c r="W32" s="2"/>
      <c r="X32" s="2">
        <f t="shared" si="2"/>
        <v>-3810.37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"4133", " - ", "NON-TAXABLE SALES-CANDY")</f>
        <v xml:space="preserve">          4133 - NON-TAXABLE SALES-CANDY</v>
      </c>
      <c r="C33" s="11"/>
      <c r="D33" s="2">
        <f t="shared" si="10"/>
        <v>0</v>
      </c>
      <c r="E33" s="2"/>
      <c r="F33" s="19"/>
      <c r="G33" s="2"/>
      <c r="H33" s="2">
        <f>--2893.48</f>
        <v>2893.48</v>
      </c>
      <c r="I33" s="2"/>
      <c r="J33" s="19"/>
      <c r="K33" s="2"/>
      <c r="L33" s="2">
        <f t="shared" si="0"/>
        <v>-2893.48</v>
      </c>
      <c r="M33" s="2"/>
      <c r="N33" s="19">
        <f t="shared" si="1"/>
        <v>-1</v>
      </c>
      <c r="O33" s="11"/>
      <c r="P33" s="2">
        <f t="shared" si="11"/>
        <v>0</v>
      </c>
      <c r="Q33" s="2"/>
      <c r="R33" s="19"/>
      <c r="S33" s="2"/>
      <c r="T33" s="2">
        <f>--3792.63</f>
        <v>3792.63</v>
      </c>
      <c r="U33" s="2"/>
      <c r="V33" s="19"/>
      <c r="W33" s="2"/>
      <c r="X33" s="2">
        <f t="shared" si="2"/>
        <v>-3792.63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"4135", " - ", "NON-TAXABLE SALES")</f>
        <v xml:space="preserve">          4135 - NON-TAXABLE SALES</v>
      </c>
      <c r="C34" s="11"/>
      <c r="D34" s="2">
        <f t="shared" si="10"/>
        <v>0</v>
      </c>
      <c r="E34" s="2"/>
      <c r="F34" s="19"/>
      <c r="G34" s="2"/>
      <c r="H34" s="2">
        <f>--28.72</f>
        <v>28.72</v>
      </c>
      <c r="I34" s="2"/>
      <c r="J34" s="19"/>
      <c r="K34" s="2"/>
      <c r="L34" s="2">
        <f t="shared" si="0"/>
        <v>-28.72</v>
      </c>
      <c r="M34" s="2"/>
      <c r="N34" s="19">
        <f t="shared" si="1"/>
        <v>-1</v>
      </c>
      <c r="O34" s="11"/>
      <c r="P34" s="2">
        <f t="shared" si="11"/>
        <v>0</v>
      </c>
      <c r="Q34" s="2"/>
      <c r="R34" s="19"/>
      <c r="S34" s="2"/>
      <c r="T34" s="2">
        <f>--35.9</f>
        <v>35.9</v>
      </c>
      <c r="U34" s="2"/>
      <c r="V34" s="19"/>
      <c r="W34" s="2"/>
      <c r="X34" s="2">
        <f t="shared" si="2"/>
        <v>-35.9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"4137", " - ", "NON-TAXABLE SALES-WATER")</f>
        <v xml:space="preserve">          4137 - NON-TAXABLE SALES-WATER</v>
      </c>
      <c r="C35" s="11"/>
      <c r="D35" s="2">
        <f t="shared" si="10"/>
        <v>0</v>
      </c>
      <c r="E35" s="2"/>
      <c r="F35" s="19"/>
      <c r="G35" s="2"/>
      <c r="H35" s="2">
        <f>--1614.65</f>
        <v>1614.65</v>
      </c>
      <c r="I35" s="2"/>
      <c r="J35" s="19"/>
      <c r="K35" s="2"/>
      <c r="L35" s="2">
        <f t="shared" si="0"/>
        <v>-1614.65</v>
      </c>
      <c r="M35" s="2"/>
      <c r="N35" s="19">
        <f t="shared" si="1"/>
        <v>-1</v>
      </c>
      <c r="O35" s="11"/>
      <c r="P35" s="2">
        <f t="shared" si="11"/>
        <v>0</v>
      </c>
      <c r="Q35" s="2"/>
      <c r="R35" s="19"/>
      <c r="S35" s="2"/>
      <c r="T35" s="2">
        <f>--2167.37</f>
        <v>2167.37</v>
      </c>
      <c r="U35" s="2"/>
      <c r="V35" s="19"/>
      <c r="W35" s="2"/>
      <c r="X35" s="2">
        <f t="shared" si="2"/>
        <v>-2167.37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"4186", " - ", "NON-TAXABLE SALES-COMPUTER SUP")</f>
        <v xml:space="preserve">          4186 - NON-TAXABLE SALES-COMPUTER SUP</v>
      </c>
      <c r="C36" s="11"/>
      <c r="D36" s="2">
        <f t="shared" si="10"/>
        <v>0</v>
      </c>
      <c r="E36" s="2"/>
      <c r="F36" s="19"/>
      <c r="G36" s="2"/>
      <c r="H36" s="2">
        <f>-34.98</f>
        <v>-34.979999999999997</v>
      </c>
      <c r="I36" s="2"/>
      <c r="J36" s="19"/>
      <c r="K36" s="2"/>
      <c r="L36" s="2">
        <f t="shared" si="0"/>
        <v>34.979999999999997</v>
      </c>
      <c r="M36" s="2"/>
      <c r="N36" s="19">
        <f t="shared" si="1"/>
        <v>-1</v>
      </c>
      <c r="O36" s="11"/>
      <c r="P36" s="2">
        <f t="shared" si="11"/>
        <v>0</v>
      </c>
      <c r="Q36" s="2"/>
      <c r="R36" s="19"/>
      <c r="S36" s="2"/>
      <c r="T36" s="2">
        <f>-34.98</f>
        <v>-34.979999999999997</v>
      </c>
      <c r="U36" s="2"/>
      <c r="V36" s="19"/>
      <c r="W36" s="2"/>
      <c r="X36" s="2">
        <f t="shared" si="2"/>
        <v>34.979999999999997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"4226", " - ", "SALES RETURN TAXABLE-WRITING I")</f>
        <v xml:space="preserve">          4226 - SALES RETURN TAXABLE-WRITING I</v>
      </c>
      <c r="C37" s="11"/>
      <c r="D37" s="2">
        <f t="shared" si="10"/>
        <v>0</v>
      </c>
      <c r="E37" s="2"/>
      <c r="F37" s="19"/>
      <c r="G37" s="2"/>
      <c r="H37" s="2">
        <f>-2.99</f>
        <v>-2.99</v>
      </c>
      <c r="I37" s="2"/>
      <c r="J37" s="19"/>
      <c r="K37" s="2"/>
      <c r="L37" s="2">
        <f t="shared" si="0"/>
        <v>2.99</v>
      </c>
      <c r="M37" s="2"/>
      <c r="N37" s="19">
        <f t="shared" si="1"/>
        <v>-1</v>
      </c>
      <c r="O37" s="11"/>
      <c r="P37" s="2">
        <f t="shared" si="11"/>
        <v>0</v>
      </c>
      <c r="Q37" s="2"/>
      <c r="R37" s="19"/>
      <c r="S37" s="2"/>
      <c r="T37" s="2">
        <f>-2.99</f>
        <v>-2.99</v>
      </c>
      <c r="U37" s="2"/>
      <c r="V37" s="19"/>
      <c r="W37" s="2"/>
      <c r="X37" s="2">
        <f t="shared" si="2"/>
        <v>2.99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"4227", " - ", "SALES RETURN TAXABLE-SCHOOL SU")</f>
        <v xml:space="preserve">          4227 - SALES RETURN TAXABLE-SCHOOL SU</v>
      </c>
      <c r="C38" s="11"/>
      <c r="D38" s="2">
        <f>-19.58</f>
        <v>-19.579999999999998</v>
      </c>
      <c r="E38" s="2"/>
      <c r="F38" s="19"/>
      <c r="G38" s="2"/>
      <c r="H38" s="2">
        <f>-11.76</f>
        <v>-11.76</v>
      </c>
      <c r="I38" s="2"/>
      <c r="J38" s="19"/>
      <c r="K38" s="2"/>
      <c r="L38" s="2">
        <f t="shared" si="0"/>
        <v>-7.8199999999999985</v>
      </c>
      <c r="M38" s="2"/>
      <c r="N38" s="19">
        <f t="shared" si="1"/>
        <v>0.66496598639455773</v>
      </c>
      <c r="O38" s="11"/>
      <c r="P38" s="2">
        <f>-159.97</f>
        <v>-159.97</v>
      </c>
      <c r="Q38" s="2"/>
      <c r="R38" s="19"/>
      <c r="S38" s="2"/>
      <c r="T38" s="2">
        <f>-22.22</f>
        <v>-22.22</v>
      </c>
      <c r="U38" s="2"/>
      <c r="V38" s="19"/>
      <c r="W38" s="2"/>
      <c r="X38" s="2">
        <f t="shared" si="2"/>
        <v>-137.75</v>
      </c>
      <c r="Y38" s="2"/>
      <c r="Z38" s="19">
        <f t="shared" si="3"/>
        <v>6.1993699369936994</v>
      </c>
    </row>
    <row r="39" spans="1:26" s="24" customFormat="1" hidden="1" outlineLevel="1" x14ac:dyDescent="0.25">
      <c r="A39" s="44"/>
      <c r="B39" s="11" t="str">
        <f>CONCATENATE("          ", "4228", " - ", "SALES RETURN TAXABLE-ART/TECH")</f>
        <v xml:space="preserve">          4228 - SALES RETURN TAXABLE-ART/TECH</v>
      </c>
      <c r="C39" s="11"/>
      <c r="D39" s="2">
        <f>-57.76</f>
        <v>-57.76</v>
      </c>
      <c r="E39" s="2"/>
      <c r="F39" s="19"/>
      <c r="G39" s="2"/>
      <c r="H39" s="2">
        <f>-923.16</f>
        <v>-923.16</v>
      </c>
      <c r="I39" s="2"/>
      <c r="J39" s="19"/>
      <c r="K39" s="2"/>
      <c r="L39" s="2">
        <f t="shared" si="0"/>
        <v>865.4</v>
      </c>
      <c r="M39" s="2"/>
      <c r="N39" s="19">
        <f t="shared" si="1"/>
        <v>-0.93743229775986825</v>
      </c>
      <c r="O39" s="11"/>
      <c r="P39" s="2">
        <f>-222.2</f>
        <v>-222.2</v>
      </c>
      <c r="Q39" s="2"/>
      <c r="R39" s="19"/>
      <c r="S39" s="2"/>
      <c r="T39" s="2">
        <f>-1705.03</f>
        <v>-1705.03</v>
      </c>
      <c r="U39" s="2"/>
      <c r="V39" s="19"/>
      <c r="W39" s="2"/>
      <c r="X39" s="2">
        <f t="shared" si="2"/>
        <v>1482.83</v>
      </c>
      <c r="Y39" s="2"/>
      <c r="Z39" s="19">
        <f t="shared" si="3"/>
        <v>-0.86967971238042729</v>
      </c>
    </row>
    <row r="40" spans="1:26" s="24" customFormat="1" hidden="1" outlineLevel="1" x14ac:dyDescent="0.25">
      <c r="A40" s="44"/>
      <c r="B40" s="11" t="str">
        <f>CONCATENATE("          ", "4281", " - ", "SALES RETURN TAXABLE-ELECTRONI")</f>
        <v xml:space="preserve">          4281 - SALES RETURN TAXABLE-ELECTRONI</v>
      </c>
      <c r="C40" s="11"/>
      <c r="D40" s="2">
        <f>0</f>
        <v>0</v>
      </c>
      <c r="E40" s="2"/>
      <c r="F40" s="19"/>
      <c r="G40" s="2"/>
      <c r="H40" s="2">
        <f>-24.99</f>
        <v>-24.99</v>
      </c>
      <c r="I40" s="2"/>
      <c r="J40" s="19"/>
      <c r="K40" s="2"/>
      <c r="L40" s="2">
        <f t="shared" si="0"/>
        <v>24.99</v>
      </c>
      <c r="M40" s="2"/>
      <c r="N40" s="19">
        <f t="shared" si="1"/>
        <v>-1</v>
      </c>
      <c r="O40" s="11"/>
      <c r="P40" s="2">
        <f>0</f>
        <v>0</v>
      </c>
      <c r="Q40" s="2"/>
      <c r="R40" s="19"/>
      <c r="S40" s="2"/>
      <c r="T40" s="2">
        <f>-24.99</f>
        <v>-24.99</v>
      </c>
      <c r="U40" s="2"/>
      <c r="V40" s="19"/>
      <c r="W40" s="2"/>
      <c r="X40" s="2">
        <f t="shared" si="2"/>
        <v>24.99</v>
      </c>
      <c r="Y40" s="2"/>
      <c r="Z40" s="19">
        <f t="shared" si="3"/>
        <v>-1</v>
      </c>
    </row>
    <row r="41" spans="1:26" x14ac:dyDescent="0.25">
      <c r="A41" s="9"/>
      <c r="B41" s="10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collapsed="1" x14ac:dyDescent="0.25">
      <c r="A42" s="10"/>
      <c r="B42" s="26" t="s">
        <v>8</v>
      </c>
      <c r="C42" s="10"/>
      <c r="D42" s="4">
        <f>SUM(OSRRefD16x_0)</f>
        <v>5140</v>
      </c>
      <c r="E42" s="4"/>
      <c r="F42" s="12">
        <f t="shared" ref="F42:F59" si="12">IF(D$12=0,0,D42/D$12)</f>
        <v>0.5777825738977167</v>
      </c>
      <c r="G42" s="4"/>
      <c r="H42" s="4">
        <f>SUM(OSRRefH16x_0)</f>
        <v>37906</v>
      </c>
      <c r="I42" s="4"/>
      <c r="J42" s="12">
        <f t="shared" ref="J42:J59" si="13">IF(H$12=0,0,H42/H$12)</f>
        <v>0.52159214812963817</v>
      </c>
      <c r="K42" s="4"/>
      <c r="L42" s="4">
        <f t="shared" ref="L42:L59" si="14">+D42-H42</f>
        <v>-32766</v>
      </c>
      <c r="M42" s="4"/>
      <c r="N42" s="12">
        <f t="shared" ref="N42:N59" si="15">IF(H42=0,0,L42/H42)</f>
        <v>-0.86440141402416504</v>
      </c>
      <c r="O42" s="10"/>
      <c r="P42" s="4">
        <f>SUM(OSRRefP16x_0)</f>
        <v>14183.05</v>
      </c>
      <c r="Q42" s="4"/>
      <c r="R42" s="12">
        <f t="shared" ref="R42:R59" si="16">IF(P$12=0,0,P42/P$12)</f>
        <v>0.66605788855274861</v>
      </c>
      <c r="S42" s="4"/>
      <c r="T42" s="4">
        <f>SUM(OSRRefT16x_0)</f>
        <v>67324.140000000014</v>
      </c>
      <c r="U42" s="4"/>
      <c r="V42" s="12">
        <f t="shared" ref="V42:V59" si="17">IF(T$12=0,0,T42/T$12)</f>
        <v>0.52449870683026412</v>
      </c>
      <c r="W42" s="4"/>
      <c r="X42" s="4">
        <f t="shared" ref="X42:X59" si="18">+P42-T42</f>
        <v>-53141.090000000011</v>
      </c>
      <c r="Y42" s="4"/>
      <c r="Z42" s="12">
        <f t="shared" ref="Z42:Z59" si="19">IF(T42=0,0,X42/T42)</f>
        <v>-0.78933188006560495</v>
      </c>
    </row>
    <row r="43" spans="1:26" s="24" customFormat="1" hidden="1" outlineLevel="1" x14ac:dyDescent="0.25">
      <c r="A43" s="44"/>
      <c r="B43" s="11" t="str">
        <f>CONCATENATE("          ", "5025", " - ", "PURCHASES @ COST-TEST FORMS")</f>
        <v xml:space="preserve">          5025 - PURCHASES @ COST-TEST FORMS</v>
      </c>
      <c r="C43" s="11"/>
      <c r="D43" s="2"/>
      <c r="E43" s="2"/>
      <c r="F43" s="19">
        <f t="shared" si="12"/>
        <v>0</v>
      </c>
      <c r="G43" s="2"/>
      <c r="H43" s="2">
        <v>144.22</v>
      </c>
      <c r="I43" s="2"/>
      <c r="J43" s="19">
        <f t="shared" si="13"/>
        <v>1.9844884610155759E-3</v>
      </c>
      <c r="K43" s="2"/>
      <c r="L43" s="2">
        <f t="shared" si="14"/>
        <v>-144.22</v>
      </c>
      <c r="M43" s="2"/>
      <c r="N43" s="19">
        <f t="shared" si="15"/>
        <v>-1</v>
      </c>
      <c r="O43" s="11"/>
      <c r="P43" s="2"/>
      <c r="Q43" s="2"/>
      <c r="R43" s="19">
        <f t="shared" si="16"/>
        <v>0</v>
      </c>
      <c r="S43" s="2"/>
      <c r="T43" s="2">
        <v>144.22</v>
      </c>
      <c r="U43" s="2"/>
      <c r="V43" s="19">
        <f t="shared" si="17"/>
        <v>1.1235673192269619E-3</v>
      </c>
      <c r="W43" s="2"/>
      <c r="X43" s="2">
        <f t="shared" si="18"/>
        <v>-144.22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"5026", " - ", "PURCHASES @ COST-WRITING INSTR")</f>
        <v xml:space="preserve">          5026 - PURCHASES @ COST-WRITING INSTR</v>
      </c>
      <c r="C44" s="11"/>
      <c r="D44" s="2"/>
      <c r="E44" s="2"/>
      <c r="F44" s="19">
        <f t="shared" si="12"/>
        <v>0</v>
      </c>
      <c r="G44" s="2"/>
      <c r="H44" s="2">
        <v>171.78</v>
      </c>
      <c r="I44" s="2"/>
      <c r="J44" s="19">
        <f t="shared" si="13"/>
        <v>2.3637181239304925E-3</v>
      </c>
      <c r="K44" s="2"/>
      <c r="L44" s="2">
        <f t="shared" si="14"/>
        <v>-171.78</v>
      </c>
      <c r="M44" s="2"/>
      <c r="N44" s="19">
        <f t="shared" si="15"/>
        <v>-1</v>
      </c>
      <c r="O44" s="11"/>
      <c r="P44" s="2"/>
      <c r="Q44" s="2"/>
      <c r="R44" s="19">
        <f t="shared" si="16"/>
        <v>0</v>
      </c>
      <c r="S44" s="2"/>
      <c r="T44" s="2">
        <v>562.6</v>
      </c>
      <c r="U44" s="2"/>
      <c r="V44" s="19">
        <f t="shared" si="17"/>
        <v>4.3830188170648236E-3</v>
      </c>
      <c r="W44" s="2"/>
      <c r="X44" s="2">
        <f t="shared" si="18"/>
        <v>-562.6</v>
      </c>
      <c r="Y44" s="2"/>
      <c r="Z44" s="19">
        <f t="shared" si="19"/>
        <v>-1</v>
      </c>
    </row>
    <row r="45" spans="1:26" s="24" customFormat="1" hidden="1" outlineLevel="1" x14ac:dyDescent="0.25">
      <c r="A45" s="44"/>
      <c r="B45" s="11" t="str">
        <f>CONCATENATE("          ", "5027", " - ", "PURCHASES @ COST-SCHOOL SUPPLI")</f>
        <v xml:space="preserve">          5027 - PURCHASES @ COST-SCHOOL SUPPLI</v>
      </c>
      <c r="C45" s="11"/>
      <c r="D45" s="2"/>
      <c r="E45" s="2"/>
      <c r="F45" s="19">
        <f t="shared" si="12"/>
        <v>0</v>
      </c>
      <c r="G45" s="2"/>
      <c r="H45" s="2">
        <v>366.46</v>
      </c>
      <c r="I45" s="2"/>
      <c r="J45" s="19">
        <f t="shared" si="13"/>
        <v>5.0425436237953678E-3</v>
      </c>
      <c r="K45" s="2"/>
      <c r="L45" s="2">
        <f t="shared" si="14"/>
        <v>-366.46</v>
      </c>
      <c r="M45" s="2"/>
      <c r="N45" s="19">
        <f t="shared" si="15"/>
        <v>-1</v>
      </c>
      <c r="O45" s="11"/>
      <c r="P45" s="2"/>
      <c r="Q45" s="2"/>
      <c r="R45" s="19">
        <f t="shared" si="16"/>
        <v>0</v>
      </c>
      <c r="S45" s="2"/>
      <c r="T45" s="2">
        <v>763.19</v>
      </c>
      <c r="U45" s="2"/>
      <c r="V45" s="19">
        <f t="shared" si="17"/>
        <v>5.9457449893275905E-3</v>
      </c>
      <c r="W45" s="2"/>
      <c r="X45" s="2">
        <f t="shared" si="18"/>
        <v>-763.19</v>
      </c>
      <c r="Y45" s="2"/>
      <c r="Z45" s="19">
        <f t="shared" si="19"/>
        <v>-1</v>
      </c>
    </row>
    <row r="46" spans="1:26" s="24" customFormat="1" hidden="1" outlineLevel="1" x14ac:dyDescent="0.25">
      <c r="A46" s="44"/>
      <c r="B46" s="11" t="str">
        <f>CONCATENATE("          ", "5028", " - ", "PURCHASES @ COST-ART/TECH")</f>
        <v xml:space="preserve">          5028 - PURCHASES @ COST-ART/TECH</v>
      </c>
      <c r="C46" s="11"/>
      <c r="D46" s="2"/>
      <c r="E46" s="2"/>
      <c r="F46" s="19">
        <f t="shared" si="12"/>
        <v>0</v>
      </c>
      <c r="G46" s="2"/>
      <c r="H46" s="2">
        <v>14367.38</v>
      </c>
      <c r="I46" s="2"/>
      <c r="J46" s="19">
        <f t="shared" si="13"/>
        <v>0.19769726684943811</v>
      </c>
      <c r="K46" s="2"/>
      <c r="L46" s="2">
        <f t="shared" si="14"/>
        <v>-14367.38</v>
      </c>
      <c r="M46" s="2"/>
      <c r="N46" s="19">
        <f t="shared" si="15"/>
        <v>-1</v>
      </c>
      <c r="O46" s="11"/>
      <c r="P46" s="2"/>
      <c r="Q46" s="2"/>
      <c r="R46" s="19">
        <f t="shared" si="16"/>
        <v>0</v>
      </c>
      <c r="S46" s="2"/>
      <c r="T46" s="2">
        <v>67765.95</v>
      </c>
      <c r="U46" s="2"/>
      <c r="V46" s="19">
        <f t="shared" si="17"/>
        <v>0.5279406932212477</v>
      </c>
      <c r="W46" s="2"/>
      <c r="X46" s="2">
        <f t="shared" si="18"/>
        <v>-67765.95</v>
      </c>
      <c r="Y46" s="2"/>
      <c r="Z46" s="19">
        <f t="shared" si="19"/>
        <v>-1</v>
      </c>
    </row>
    <row r="47" spans="1:26" s="24" customFormat="1" hidden="1" outlineLevel="1" x14ac:dyDescent="0.25">
      <c r="A47" s="44"/>
      <c r="B47" s="11" t="str">
        <f>CONCATENATE("          ", "5031", " - ", "PURCHASES @ COST-FOOD")</f>
        <v xml:space="preserve">          5031 - PURCHASES @ COST-FOOD</v>
      </c>
      <c r="C47" s="11"/>
      <c r="D47" s="2">
        <v>2882.41</v>
      </c>
      <c r="E47" s="2"/>
      <c r="F47" s="19">
        <f t="shared" si="12"/>
        <v>0.32400900171761043</v>
      </c>
      <c r="G47" s="2"/>
      <c r="H47" s="2">
        <v>5471.01</v>
      </c>
      <c r="I47" s="2"/>
      <c r="J47" s="19">
        <f t="shared" si="13"/>
        <v>7.5281904140208203E-2</v>
      </c>
      <c r="K47" s="2"/>
      <c r="L47" s="2">
        <f t="shared" si="14"/>
        <v>-2588.6000000000004</v>
      </c>
      <c r="M47" s="2"/>
      <c r="N47" s="19">
        <f t="shared" si="15"/>
        <v>-0.47314846801596055</v>
      </c>
      <c r="O47" s="11"/>
      <c r="P47" s="2">
        <v>2882.41</v>
      </c>
      <c r="Q47" s="2"/>
      <c r="R47" s="19">
        <f t="shared" si="16"/>
        <v>0.13536241630279297</v>
      </c>
      <c r="S47" s="2"/>
      <c r="T47" s="2">
        <v>8000.94</v>
      </c>
      <c r="U47" s="2"/>
      <c r="V47" s="19">
        <f t="shared" si="17"/>
        <v>6.2332510796670147E-2</v>
      </c>
      <c r="W47" s="2"/>
      <c r="X47" s="2">
        <f t="shared" si="18"/>
        <v>-5118.53</v>
      </c>
      <c r="Y47" s="2"/>
      <c r="Z47" s="19">
        <f t="shared" si="19"/>
        <v>-0.63974108042305033</v>
      </c>
    </row>
    <row r="48" spans="1:26" s="24" customFormat="1" hidden="1" outlineLevel="1" x14ac:dyDescent="0.25">
      <c r="A48" s="44"/>
      <c r="B48" s="11" t="str">
        <f>CONCATENATE("          ", "5032", " - ", "PURCHASES @ COST-JUICE")</f>
        <v xml:space="preserve">          5032 - PURCHASES @ COST-JUICE</v>
      </c>
      <c r="C48" s="11"/>
      <c r="D48" s="2"/>
      <c r="E48" s="2"/>
      <c r="F48" s="19">
        <f t="shared" si="12"/>
        <v>0</v>
      </c>
      <c r="G48" s="2"/>
      <c r="H48" s="2">
        <v>477.55</v>
      </c>
      <c r="I48" s="2"/>
      <c r="J48" s="19">
        <f t="shared" si="13"/>
        <v>6.5711584007626424E-3</v>
      </c>
      <c r="K48" s="2"/>
      <c r="L48" s="2">
        <f t="shared" si="14"/>
        <v>-477.55</v>
      </c>
      <c r="M48" s="2"/>
      <c r="N48" s="19">
        <f t="shared" si="15"/>
        <v>-1</v>
      </c>
      <c r="O48" s="11"/>
      <c r="P48" s="2"/>
      <c r="Q48" s="2"/>
      <c r="R48" s="19">
        <f t="shared" si="16"/>
        <v>0</v>
      </c>
      <c r="S48" s="2"/>
      <c r="T48" s="2">
        <v>819.15</v>
      </c>
      <c r="U48" s="2"/>
      <c r="V48" s="19">
        <f t="shared" si="17"/>
        <v>6.3817096764995553E-3</v>
      </c>
      <c r="W48" s="2"/>
      <c r="X48" s="2">
        <f t="shared" si="18"/>
        <v>-819.15</v>
      </c>
      <c r="Y48" s="2"/>
      <c r="Z48" s="19">
        <f t="shared" si="19"/>
        <v>-1</v>
      </c>
    </row>
    <row r="49" spans="1:26" s="24" customFormat="1" hidden="1" outlineLevel="1" x14ac:dyDescent="0.25">
      <c r="A49" s="44"/>
      <c r="B49" s="11" t="str">
        <f>CONCATENATE("          ", "5033", " - ", "PURCHASES @ COST-CANDY")</f>
        <v xml:space="preserve">          5033 - PURCHASES @ COST-CANDY</v>
      </c>
      <c r="C49" s="11"/>
      <c r="D49" s="2"/>
      <c r="E49" s="2"/>
      <c r="F49" s="19">
        <f t="shared" si="12"/>
        <v>0</v>
      </c>
      <c r="G49" s="2"/>
      <c r="H49" s="2">
        <v>1366.65</v>
      </c>
      <c r="I49" s="2"/>
      <c r="J49" s="19">
        <f t="shared" si="13"/>
        <v>1.8805305472520711E-2</v>
      </c>
      <c r="K49" s="2"/>
      <c r="L49" s="2">
        <f t="shared" si="14"/>
        <v>-1366.65</v>
      </c>
      <c r="M49" s="2"/>
      <c r="N49" s="19">
        <f t="shared" si="15"/>
        <v>-1</v>
      </c>
      <c r="O49" s="11"/>
      <c r="P49" s="2"/>
      <c r="Q49" s="2"/>
      <c r="R49" s="19">
        <f t="shared" si="16"/>
        <v>0</v>
      </c>
      <c r="S49" s="2"/>
      <c r="T49" s="2">
        <v>2272.16</v>
      </c>
      <c r="U49" s="2"/>
      <c r="V49" s="19">
        <f t="shared" si="17"/>
        <v>1.7701599778496283E-2</v>
      </c>
      <c r="W49" s="2"/>
      <c r="X49" s="2">
        <f t="shared" si="18"/>
        <v>-2272.16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"5034", " - ", "PURCHASES @ COST-SODA")</f>
        <v xml:space="preserve">          5034 - PURCHASES @ COST-SODA</v>
      </c>
      <c r="C50" s="11"/>
      <c r="D50" s="2"/>
      <c r="E50" s="2"/>
      <c r="F50" s="19">
        <f t="shared" si="12"/>
        <v>0</v>
      </c>
      <c r="G50" s="2"/>
      <c r="H50" s="2">
        <v>330.04</v>
      </c>
      <c r="I50" s="2"/>
      <c r="J50" s="19">
        <f t="shared" si="13"/>
        <v>4.5413990547329133E-3</v>
      </c>
      <c r="K50" s="2"/>
      <c r="L50" s="2">
        <f t="shared" si="14"/>
        <v>-330.04</v>
      </c>
      <c r="M50" s="2"/>
      <c r="N50" s="19">
        <f t="shared" si="15"/>
        <v>-1</v>
      </c>
      <c r="O50" s="11"/>
      <c r="P50" s="2"/>
      <c r="Q50" s="2"/>
      <c r="R50" s="19">
        <f t="shared" si="16"/>
        <v>0</v>
      </c>
      <c r="S50" s="2"/>
      <c r="T50" s="2">
        <v>618.54</v>
      </c>
      <c r="U50" s="2"/>
      <c r="V50" s="19">
        <f t="shared" si="17"/>
        <v>4.8188276912678202E-3</v>
      </c>
      <c r="W50" s="2"/>
      <c r="X50" s="2">
        <f t="shared" si="18"/>
        <v>-618.54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"5035", " - ", "PURCHASES @ COST-HEALTH &amp; BEAU")</f>
        <v xml:space="preserve">          5035 - PURCHASES @ COST-HEALTH &amp; BEAU</v>
      </c>
      <c r="C51" s="11"/>
      <c r="D51" s="2"/>
      <c r="E51" s="2"/>
      <c r="F51" s="19">
        <f t="shared" si="12"/>
        <v>0</v>
      </c>
      <c r="G51" s="2"/>
      <c r="H51" s="2">
        <v>210.83</v>
      </c>
      <c r="I51" s="2"/>
      <c r="J51" s="19">
        <f t="shared" si="13"/>
        <v>2.9010518807094294E-3</v>
      </c>
      <c r="K51" s="2"/>
      <c r="L51" s="2">
        <f t="shared" si="14"/>
        <v>-210.83</v>
      </c>
      <c r="M51" s="2"/>
      <c r="N51" s="19">
        <f t="shared" si="15"/>
        <v>-1</v>
      </c>
      <c r="O51" s="11"/>
      <c r="P51" s="2"/>
      <c r="Q51" s="2"/>
      <c r="R51" s="19">
        <f t="shared" si="16"/>
        <v>0</v>
      </c>
      <c r="S51" s="2"/>
      <c r="T51" s="2">
        <v>253.07</v>
      </c>
      <c r="U51" s="2"/>
      <c r="V51" s="19">
        <f t="shared" si="17"/>
        <v>1.9715794028343312E-3</v>
      </c>
      <c r="W51" s="2"/>
      <c r="X51" s="2">
        <f t="shared" si="18"/>
        <v>-253.07</v>
      </c>
      <c r="Y51" s="2"/>
      <c r="Z51" s="19">
        <f t="shared" si="19"/>
        <v>-1</v>
      </c>
    </row>
    <row r="52" spans="1:26" s="24" customFormat="1" hidden="1" outlineLevel="1" x14ac:dyDescent="0.25">
      <c r="A52" s="44"/>
      <c r="B52" s="11" t="str">
        <f>CONCATENATE("          ", "5037", " - ", "PURCHASES @ COST-WATER")</f>
        <v xml:space="preserve">          5037 - PURCHASES @ COST-WATER</v>
      </c>
      <c r="C52" s="11"/>
      <c r="D52" s="2"/>
      <c r="E52" s="2"/>
      <c r="F52" s="19">
        <f t="shared" si="12"/>
        <v>0</v>
      </c>
      <c r="G52" s="2"/>
      <c r="H52" s="2">
        <v>896.64</v>
      </c>
      <c r="I52" s="2"/>
      <c r="J52" s="19">
        <f t="shared" si="13"/>
        <v>1.2337898583310263E-2</v>
      </c>
      <c r="K52" s="2"/>
      <c r="L52" s="2">
        <f t="shared" si="14"/>
        <v>-896.64</v>
      </c>
      <c r="M52" s="2"/>
      <c r="N52" s="19">
        <f t="shared" si="15"/>
        <v>-1</v>
      </c>
      <c r="O52" s="11"/>
      <c r="P52" s="2"/>
      <c r="Q52" s="2"/>
      <c r="R52" s="19">
        <f t="shared" si="16"/>
        <v>0</v>
      </c>
      <c r="S52" s="2"/>
      <c r="T52" s="2">
        <v>1362.82</v>
      </c>
      <c r="U52" s="2"/>
      <c r="V52" s="19">
        <f t="shared" si="17"/>
        <v>1.0617251518436335E-2</v>
      </c>
      <c r="W52" s="2"/>
      <c r="X52" s="2">
        <f t="shared" si="18"/>
        <v>-1362.82</v>
      </c>
      <c r="Y52" s="2"/>
      <c r="Z52" s="19">
        <f t="shared" si="19"/>
        <v>-1</v>
      </c>
    </row>
    <row r="53" spans="1:26" s="24" customFormat="1" hidden="1" outlineLevel="1" x14ac:dyDescent="0.25">
      <c r="A53" s="44"/>
      <c r="B53" s="11" t="str">
        <f>CONCATENATE("          ", "5081", " - ", "PURCHASES @ COST-ELECTRONICS")</f>
        <v xml:space="preserve">          5081 - PURCHASES @ COST-ELECTRONICS</v>
      </c>
      <c r="C53" s="11"/>
      <c r="D53" s="2"/>
      <c r="E53" s="2"/>
      <c r="F53" s="19">
        <f t="shared" si="12"/>
        <v>0</v>
      </c>
      <c r="G53" s="2"/>
      <c r="H53" s="2">
        <v>167.92</v>
      </c>
      <c r="I53" s="2"/>
      <c r="J53" s="19">
        <f t="shared" si="13"/>
        <v>2.310603954886531E-3</v>
      </c>
      <c r="K53" s="2"/>
      <c r="L53" s="2">
        <f t="shared" si="14"/>
        <v>-167.92</v>
      </c>
      <c r="M53" s="2"/>
      <c r="N53" s="19">
        <f t="shared" si="15"/>
        <v>-1</v>
      </c>
      <c r="O53" s="11"/>
      <c r="P53" s="2"/>
      <c r="Q53" s="2"/>
      <c r="R53" s="19">
        <f t="shared" si="16"/>
        <v>0</v>
      </c>
      <c r="S53" s="2"/>
      <c r="T53" s="2">
        <v>472.08</v>
      </c>
      <c r="U53" s="2"/>
      <c r="V53" s="19">
        <f t="shared" si="17"/>
        <v>3.6778093195164621E-3</v>
      </c>
      <c r="W53" s="2"/>
      <c r="X53" s="2">
        <f t="shared" si="18"/>
        <v>-472.08</v>
      </c>
      <c r="Y53" s="2"/>
      <c r="Z53" s="19">
        <f t="shared" si="19"/>
        <v>-1</v>
      </c>
    </row>
    <row r="54" spans="1:26" s="24" customFormat="1" hidden="1" outlineLevel="1" x14ac:dyDescent="0.25">
      <c r="A54" s="44"/>
      <c r="B54" s="11" t="str">
        <f>CONCATENATE("          ", "5082", " - ", "PURCHASES @ COST-COMPUTER HARD")</f>
        <v xml:space="preserve">          5082 - PURCHASES @ COST-COMPUTER HARD</v>
      </c>
      <c r="C54" s="11"/>
      <c r="D54" s="2"/>
      <c r="E54" s="2"/>
      <c r="F54" s="19">
        <f t="shared" si="12"/>
        <v>0</v>
      </c>
      <c r="G54" s="2"/>
      <c r="H54" s="2">
        <v>19</v>
      </c>
      <c r="I54" s="2"/>
      <c r="J54" s="19">
        <f t="shared" si="13"/>
        <v>2.6144280099359271E-4</v>
      </c>
      <c r="K54" s="2"/>
      <c r="L54" s="2">
        <f t="shared" si="14"/>
        <v>-19</v>
      </c>
      <c r="M54" s="2"/>
      <c r="N54" s="19">
        <f t="shared" si="15"/>
        <v>-1</v>
      </c>
      <c r="O54" s="11"/>
      <c r="P54" s="2"/>
      <c r="Q54" s="2"/>
      <c r="R54" s="19">
        <f t="shared" si="16"/>
        <v>0</v>
      </c>
      <c r="S54" s="2"/>
      <c r="T54" s="2">
        <v>149.6</v>
      </c>
      <c r="U54" s="2"/>
      <c r="V54" s="19">
        <f t="shared" si="17"/>
        <v>1.165481007879306E-3</v>
      </c>
      <c r="W54" s="2"/>
      <c r="X54" s="2">
        <f t="shared" si="18"/>
        <v>-149.6</v>
      </c>
      <c r="Y54" s="2"/>
      <c r="Z54" s="19">
        <f t="shared" si="19"/>
        <v>-1</v>
      </c>
    </row>
    <row r="55" spans="1:26" s="24" customFormat="1" hidden="1" outlineLevel="1" x14ac:dyDescent="0.25">
      <c r="A55" s="44"/>
      <c r="B55" s="11" t="str">
        <f>CONCATENATE("          ", "5083", " - ", "PURCHASES @ COST-COMPUTER EQUI")</f>
        <v xml:space="preserve">          5083 - PURCHASES @ COST-COMPUTER EQUI</v>
      </c>
      <c r="C55" s="11"/>
      <c r="D55" s="2"/>
      <c r="E55" s="2"/>
      <c r="F55" s="19">
        <f t="shared" si="12"/>
        <v>0</v>
      </c>
      <c r="G55" s="2"/>
      <c r="H55" s="2">
        <v>74.55</v>
      </c>
      <c r="I55" s="2"/>
      <c r="J55" s="19">
        <f t="shared" si="13"/>
        <v>1.0258189902143334E-3</v>
      </c>
      <c r="K55" s="2"/>
      <c r="L55" s="2">
        <f t="shared" si="14"/>
        <v>-74.55</v>
      </c>
      <c r="M55" s="2"/>
      <c r="N55" s="19">
        <f t="shared" si="15"/>
        <v>-1</v>
      </c>
      <c r="O55" s="11"/>
      <c r="P55" s="2"/>
      <c r="Q55" s="2"/>
      <c r="R55" s="19">
        <f t="shared" si="16"/>
        <v>0</v>
      </c>
      <c r="S55" s="2"/>
      <c r="T55" s="2">
        <v>116.05</v>
      </c>
      <c r="U55" s="2"/>
      <c r="V55" s="19">
        <f t="shared" si="17"/>
        <v>9.0410475243578509E-4</v>
      </c>
      <c r="W55" s="2"/>
      <c r="X55" s="2">
        <f t="shared" si="18"/>
        <v>-116.05</v>
      </c>
      <c r="Y55" s="2"/>
      <c r="Z55" s="19">
        <f t="shared" si="19"/>
        <v>-1</v>
      </c>
    </row>
    <row r="56" spans="1:26" s="24" customFormat="1" hidden="1" outlineLevel="1" x14ac:dyDescent="0.25">
      <c r="A56" s="44"/>
      <c r="B56" s="11" t="str">
        <f>CONCATENATE("          ", "5086", " - ", "PURCHASES @ COST-COMPUTER SUPP")</f>
        <v xml:space="preserve">          5086 - PURCHASES @ COST-COMPUTER SUPP</v>
      </c>
      <c r="C56" s="11"/>
      <c r="D56" s="2"/>
      <c r="E56" s="2"/>
      <c r="F56" s="19">
        <f t="shared" si="12"/>
        <v>0</v>
      </c>
      <c r="G56" s="2"/>
      <c r="H56" s="2">
        <v>29</v>
      </c>
      <c r="I56" s="2"/>
      <c r="J56" s="19">
        <f t="shared" si="13"/>
        <v>3.9904427520074678E-4</v>
      </c>
      <c r="K56" s="2"/>
      <c r="L56" s="2">
        <f t="shared" si="14"/>
        <v>-29</v>
      </c>
      <c r="M56" s="2"/>
      <c r="N56" s="19">
        <f t="shared" si="15"/>
        <v>-1</v>
      </c>
      <c r="O56" s="11"/>
      <c r="P56" s="2"/>
      <c r="Q56" s="2"/>
      <c r="R56" s="19">
        <f t="shared" si="16"/>
        <v>0</v>
      </c>
      <c r="S56" s="2"/>
      <c r="T56" s="2">
        <v>87</v>
      </c>
      <c r="U56" s="2"/>
      <c r="V56" s="19">
        <f t="shared" si="17"/>
        <v>6.7778641501002417E-4</v>
      </c>
      <c r="W56" s="2"/>
      <c r="X56" s="2">
        <f t="shared" si="18"/>
        <v>-87</v>
      </c>
      <c r="Y56" s="2"/>
      <c r="Z56" s="19">
        <f t="shared" si="19"/>
        <v>-1</v>
      </c>
    </row>
    <row r="57" spans="1:26" s="24" customFormat="1" hidden="1" outlineLevel="1" x14ac:dyDescent="0.25">
      <c r="A57" s="44"/>
      <c r="B57" s="11" t="str">
        <f>CONCATENATE("          ", "5200", " - ", "PURCHASES OFFSET")</f>
        <v xml:space="preserve">          5200 - PURCHASES OFFSET</v>
      </c>
      <c r="C57" s="11"/>
      <c r="D57" s="2">
        <v>-2889.17</v>
      </c>
      <c r="E57" s="2"/>
      <c r="F57" s="19">
        <f t="shared" si="12"/>
        <v>-0.32476888697044093</v>
      </c>
      <c r="G57" s="2"/>
      <c r="H57" s="2">
        <v>-24427</v>
      </c>
      <c r="I57" s="2"/>
      <c r="J57" s="19">
        <f t="shared" si="13"/>
        <v>-0.33611912104581526</v>
      </c>
      <c r="K57" s="2"/>
      <c r="L57" s="2">
        <f t="shared" si="14"/>
        <v>21537.83</v>
      </c>
      <c r="M57" s="2"/>
      <c r="N57" s="19">
        <f t="shared" si="15"/>
        <v>-0.88172227453227991</v>
      </c>
      <c r="O57" s="11"/>
      <c r="P57" s="2">
        <v>-2889.17</v>
      </c>
      <c r="Q57" s="2"/>
      <c r="R57" s="19">
        <f t="shared" si="16"/>
        <v>-0.13567987632208478</v>
      </c>
      <c r="S57" s="2"/>
      <c r="T57" s="2">
        <v>-83977</v>
      </c>
      <c r="U57" s="2"/>
      <c r="V57" s="19">
        <f t="shared" si="17"/>
        <v>-0.65423528475053794</v>
      </c>
      <c r="W57" s="2"/>
      <c r="X57" s="2">
        <f t="shared" si="18"/>
        <v>81087.83</v>
      </c>
      <c r="Y57" s="2"/>
      <c r="Z57" s="19">
        <f t="shared" si="19"/>
        <v>-0.96559569882229657</v>
      </c>
    </row>
    <row r="58" spans="1:26" s="24" customFormat="1" hidden="1" outlineLevel="1" x14ac:dyDescent="0.25">
      <c r="A58" s="44"/>
      <c r="B58" s="11" t="str">
        <f>CONCATENATE("          ", "5300", " - ", "COG$ OFFSET")</f>
        <v xml:space="preserve">          5300 - COG$ OFFSET</v>
      </c>
      <c r="C58" s="11"/>
      <c r="D58" s="2">
        <v>5140</v>
      </c>
      <c r="E58" s="2"/>
      <c r="F58" s="19">
        <f t="shared" si="12"/>
        <v>0.5777825738977167</v>
      </c>
      <c r="G58" s="2"/>
      <c r="H58" s="2">
        <v>37907</v>
      </c>
      <c r="I58" s="2"/>
      <c r="J58" s="19">
        <f t="shared" si="13"/>
        <v>0.52160590827705888</v>
      </c>
      <c r="K58" s="2"/>
      <c r="L58" s="2">
        <f t="shared" si="14"/>
        <v>-32767</v>
      </c>
      <c r="M58" s="2"/>
      <c r="N58" s="19">
        <f t="shared" si="15"/>
        <v>-0.86440499116258207</v>
      </c>
      <c r="O58" s="11"/>
      <c r="P58" s="2">
        <v>14145</v>
      </c>
      <c r="Q58" s="2"/>
      <c r="R58" s="19">
        <f t="shared" si="16"/>
        <v>0.66427100190569932</v>
      </c>
      <c r="S58" s="2"/>
      <c r="T58" s="2">
        <v>67325</v>
      </c>
      <c r="U58" s="2"/>
      <c r="V58" s="19">
        <f t="shared" si="17"/>
        <v>0.52450540678792967</v>
      </c>
      <c r="W58" s="2"/>
      <c r="X58" s="2">
        <f t="shared" si="18"/>
        <v>-53180</v>
      </c>
      <c r="Y58" s="2"/>
      <c r="Z58" s="19">
        <f t="shared" si="19"/>
        <v>-0.78989974006683994</v>
      </c>
    </row>
    <row r="59" spans="1:26" s="24" customFormat="1" hidden="1" outlineLevel="1" x14ac:dyDescent="0.25">
      <c r="A59" s="44"/>
      <c r="B59" s="11" t="str">
        <f>CONCATENATE("          ", "5528", " - ", "FREIGHT-IN-ART/TECH")</f>
        <v xml:space="preserve">          5528 - FREIGHT-IN-ART/TECH</v>
      </c>
      <c r="C59" s="11"/>
      <c r="D59" s="2">
        <v>6.76</v>
      </c>
      <c r="E59" s="2"/>
      <c r="F59" s="19">
        <f t="shared" si="12"/>
        <v>7.5988525283046009E-4</v>
      </c>
      <c r="G59" s="2"/>
      <c r="H59" s="2">
        <v>332.97</v>
      </c>
      <c r="I59" s="2"/>
      <c r="J59" s="19">
        <f t="shared" si="13"/>
        <v>4.581716286675609E-3</v>
      </c>
      <c r="K59" s="2"/>
      <c r="L59" s="2">
        <f t="shared" si="14"/>
        <v>-326.21000000000004</v>
      </c>
      <c r="M59" s="2"/>
      <c r="N59" s="19">
        <f t="shared" si="15"/>
        <v>-0.97969787067904013</v>
      </c>
      <c r="O59" s="11"/>
      <c r="P59" s="2">
        <v>44.81</v>
      </c>
      <c r="Q59" s="2"/>
      <c r="R59" s="19">
        <f t="shared" si="16"/>
        <v>2.1043466663410665E-3</v>
      </c>
      <c r="S59" s="2"/>
      <c r="T59" s="2">
        <v>588.77</v>
      </c>
      <c r="U59" s="2"/>
      <c r="V59" s="19">
        <f t="shared" si="17"/>
        <v>4.5869000869592173E-3</v>
      </c>
      <c r="W59" s="2"/>
      <c r="X59" s="2">
        <f t="shared" si="18"/>
        <v>-543.96</v>
      </c>
      <c r="Y59" s="2"/>
      <c r="Z59" s="19">
        <f t="shared" si="19"/>
        <v>-0.9238921820065561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5" t="s">
        <v>6</v>
      </c>
      <c r="C61" s="25"/>
      <c r="D61" s="22">
        <f>D12-D42</f>
        <v>3756.08</v>
      </c>
      <c r="E61" s="13"/>
      <c r="F61" s="21">
        <f>IF(D$12=0,0,D61/D$12)</f>
        <v>0.42221742610228324</v>
      </c>
      <c r="G61" s="13"/>
      <c r="H61" s="22">
        <f>H12-H42</f>
        <v>34767.64</v>
      </c>
      <c r="I61" s="13"/>
      <c r="J61" s="21">
        <f>IF(H$12=0,0,H61/H$12)</f>
        <v>0.47840785187036178</v>
      </c>
      <c r="K61" s="15"/>
      <c r="L61" s="22">
        <f>+D61-H61</f>
        <v>-31011.559999999998</v>
      </c>
      <c r="M61" s="15"/>
      <c r="N61" s="21">
        <f>IF(H61=0,0,L61/H61)</f>
        <v>-0.89196620765746537</v>
      </c>
      <c r="O61" s="26"/>
      <c r="P61" s="22">
        <f>P12-P42</f>
        <v>7110.9700000000012</v>
      </c>
      <c r="Q61" s="13"/>
      <c r="R61" s="21">
        <f>IF(P$12=0,0,P61/P$12)</f>
        <v>0.33394211144725144</v>
      </c>
      <c r="S61" s="13"/>
      <c r="T61" s="22">
        <f>T12-T42</f>
        <v>61034.87999999999</v>
      </c>
      <c r="U61" s="13"/>
      <c r="V61" s="21">
        <f>IF(T$12=0,0,T61/T$12)</f>
        <v>0.47550129316973588</v>
      </c>
      <c r="W61" s="15"/>
      <c r="X61" s="22">
        <f>+P61-T61</f>
        <v>-53923.909999999989</v>
      </c>
      <c r="Y61" s="15"/>
      <c r="Z61" s="21">
        <f>IF(T61=0,0,X61/T61)</f>
        <v>-0.88349334020153714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6" t="s">
        <v>9</v>
      </c>
      <c r="C63" s="10"/>
      <c r="D63" s="20">
        <f>SUM(OSRRefD22x_0)</f>
        <v>3608.6000000000004</v>
      </c>
      <c r="E63" s="20"/>
      <c r="F63" s="36">
        <f t="shared" ref="F63:F72" si="20">IF(D$12=0,0,D63/D$12)</f>
        <v>0.40563933777573946</v>
      </c>
      <c r="G63" s="20"/>
      <c r="H63" s="20">
        <f>SUM(OSRRefH22x_0)</f>
        <v>11284.590000000004</v>
      </c>
      <c r="I63" s="20"/>
      <c r="J63" s="36">
        <f t="shared" ref="J63:J72" si="21">IF(H$12=0,0,H63/H$12)</f>
        <v>0.15527762198233092</v>
      </c>
      <c r="K63" s="4"/>
      <c r="L63" s="20">
        <f t="shared" ref="L63:L72" si="22">+D63-H63</f>
        <v>-7675.9900000000034</v>
      </c>
      <c r="M63" s="4"/>
      <c r="N63" s="36">
        <f t="shared" ref="N63:N72" si="23">IF(H63=0,0,L63/H63)</f>
        <v>-0.68021877622492277</v>
      </c>
      <c r="O63" s="10"/>
      <c r="P63" s="20">
        <f>SUM(OSRRefP22x_0)</f>
        <v>10193.669999999996</v>
      </c>
      <c r="Q63" s="20"/>
      <c r="R63" s="36">
        <f t="shared" ref="R63:R72" si="24">IF(P$12=0,0,P63/P$12)</f>
        <v>0.47871045486009667</v>
      </c>
      <c r="S63" s="20"/>
      <c r="T63" s="20">
        <f>SUM(OSRRefT22x_0)</f>
        <v>30721.579999999998</v>
      </c>
      <c r="U63" s="20"/>
      <c r="V63" s="36">
        <f t="shared" ref="V63:V72" si="25">IF(T$12=0,0,T63/T$12)</f>
        <v>0.23934102955912251</v>
      </c>
      <c r="W63" s="4"/>
      <c r="X63" s="20">
        <f t="shared" ref="X63:X72" si="26">+P63-T63</f>
        <v>-20527.910000000003</v>
      </c>
      <c r="Y63" s="4"/>
      <c r="Z63" s="36">
        <f t="shared" ref="Z63:Z72" si="27">IF(T63=0,0,X63/T63)</f>
        <v>-0.66819187034000216</v>
      </c>
    </row>
    <row r="64" spans="1:26" s="27" customFormat="1" outlineLevel="1" collapsed="1" x14ac:dyDescent="0.25">
      <c r="A64" s="29"/>
      <c r="B64" s="14" t="str">
        <f>CONCATENATE("     ","*Benefits                                         ")</f>
        <v xml:space="preserve">     *Benefits                                         </v>
      </c>
      <c r="C64" s="14"/>
      <c r="D64" s="1">
        <f>SUM(OSRRefD22_0x_0)</f>
        <v>248.82999999999998</v>
      </c>
      <c r="E64" s="1"/>
      <c r="F64" s="5">
        <f t="shared" si="20"/>
        <v>2.7970746665947246E-2</v>
      </c>
      <c r="G64" s="1"/>
      <c r="H64" s="1">
        <f>SUM(OSRRefH22_0x_0)</f>
        <v>979.6099999999999</v>
      </c>
      <c r="I64" s="1"/>
      <c r="J64" s="5">
        <f t="shared" si="21"/>
        <v>1.3479578014807017E-2</v>
      </c>
      <c r="K64" s="1"/>
      <c r="L64" s="1">
        <f t="shared" si="22"/>
        <v>-730.78</v>
      </c>
      <c r="M64" s="1"/>
      <c r="N64" s="5">
        <f t="shared" si="23"/>
        <v>-0.74599075142148408</v>
      </c>
      <c r="O64" s="14"/>
      <c r="P64" s="1">
        <f>SUM(OSRRefP22_0x_0)</f>
        <v>562.16999999999996</v>
      </c>
      <c r="Q64" s="1"/>
      <c r="R64" s="5">
        <f t="shared" si="24"/>
        <v>2.6400369681253231E-2</v>
      </c>
      <c r="S64" s="1"/>
      <c r="T64" s="1">
        <f>SUM(OSRRefT22_0x_0)</f>
        <v>4180.13</v>
      </c>
      <c r="U64" s="1"/>
      <c r="V64" s="5">
        <f t="shared" si="25"/>
        <v>3.2565923298573017E-2</v>
      </c>
      <c r="W64" s="1"/>
      <c r="X64" s="1">
        <f t="shared" si="26"/>
        <v>-3617.96</v>
      </c>
      <c r="Y64" s="1"/>
      <c r="Z64" s="5">
        <f t="shared" si="27"/>
        <v>-0.86551375196465186</v>
      </c>
    </row>
    <row r="65" spans="1:26" s="24" customFormat="1" hidden="1" outlineLevel="2" x14ac:dyDescent="0.25">
      <c r="A65" s="28"/>
      <c r="B65" s="11" t="str">
        <f>CONCATENATE("          ", "6111", " - ", "F.I.C.A.")</f>
        <v xml:space="preserve">          6111 - F.I.C.A.</v>
      </c>
      <c r="C65" s="11"/>
      <c r="D65" s="7">
        <v>149.04</v>
      </c>
      <c r="E65" s="2"/>
      <c r="F65" s="6">
        <f t="shared" si="20"/>
        <v>1.6753446461812392E-2</v>
      </c>
      <c r="G65" s="2"/>
      <c r="H65" s="7">
        <v>183.6</v>
      </c>
      <c r="I65" s="2"/>
      <c r="J65" s="6">
        <f t="shared" si="21"/>
        <v>2.5263630664433484E-3</v>
      </c>
      <c r="K65" s="2"/>
      <c r="L65" s="7">
        <f t="shared" si="22"/>
        <v>-34.56</v>
      </c>
      <c r="M65" s="2"/>
      <c r="N65" s="6">
        <f t="shared" si="23"/>
        <v>-0.18823529411764708</v>
      </c>
      <c r="O65" s="11"/>
      <c r="P65" s="7">
        <v>406.4</v>
      </c>
      <c r="Q65" s="2"/>
      <c r="R65" s="6">
        <f t="shared" si="24"/>
        <v>1.9085170390560353E-2</v>
      </c>
      <c r="S65" s="2"/>
      <c r="T65" s="7">
        <v>905.23</v>
      </c>
      <c r="U65" s="2"/>
      <c r="V65" s="6">
        <f t="shared" si="25"/>
        <v>7.0523286949370602E-3</v>
      </c>
      <c r="W65" s="2"/>
      <c r="X65" s="7">
        <f t="shared" si="26"/>
        <v>-498.83000000000004</v>
      </c>
      <c r="Y65" s="2"/>
      <c r="Z65" s="6">
        <f t="shared" si="27"/>
        <v>-0.55105332346475489</v>
      </c>
    </row>
    <row r="66" spans="1:26" s="24" customFormat="1" hidden="1" outlineLevel="2" x14ac:dyDescent="0.25">
      <c r="A66" s="28"/>
      <c r="B66" s="11" t="str">
        <f>CONCATENATE("          ", "6112", " - ", "COMPENSATION INSURANCE")</f>
        <v xml:space="preserve">          6112 - COMPENSATION INSURANCE</v>
      </c>
      <c r="C66" s="11"/>
      <c r="D66" s="7">
        <v>87.49</v>
      </c>
      <c r="E66" s="2"/>
      <c r="F66" s="6">
        <f t="shared" si="20"/>
        <v>9.8346687529788403E-3</v>
      </c>
      <c r="G66" s="2"/>
      <c r="H66" s="7">
        <v>161.19999999999999</v>
      </c>
      <c r="I66" s="2"/>
      <c r="J66" s="6">
        <f t="shared" si="21"/>
        <v>2.2181357642193232E-3</v>
      </c>
      <c r="K66" s="2"/>
      <c r="L66" s="7">
        <f t="shared" si="22"/>
        <v>-73.709999999999994</v>
      </c>
      <c r="M66" s="2"/>
      <c r="N66" s="6">
        <f t="shared" si="23"/>
        <v>-0.45725806451612905</v>
      </c>
      <c r="O66" s="11"/>
      <c r="P66" s="7">
        <v>134.72999999999999</v>
      </c>
      <c r="Q66" s="2"/>
      <c r="R66" s="6">
        <f t="shared" si="24"/>
        <v>6.3271284614178063E-3</v>
      </c>
      <c r="S66" s="2"/>
      <c r="T66" s="7">
        <v>339.94</v>
      </c>
      <c r="U66" s="2"/>
      <c r="V66" s="6">
        <f t="shared" si="25"/>
        <v>2.6483530335460648E-3</v>
      </c>
      <c r="W66" s="2"/>
      <c r="X66" s="7">
        <f t="shared" si="26"/>
        <v>-205.21</v>
      </c>
      <c r="Y66" s="2"/>
      <c r="Z66" s="6">
        <f t="shared" si="27"/>
        <v>-0.60366535270930166</v>
      </c>
    </row>
    <row r="67" spans="1:26" s="24" customFormat="1" hidden="1" outlineLevel="2" x14ac:dyDescent="0.25">
      <c r="A67" s="28"/>
      <c r="B67" s="11" t="str">
        <f>CONCATENATE("          ", "6113", " - ", "GROUP INSURANCE")</f>
        <v xml:space="preserve">          6113 - GROUP INSURANCE</v>
      </c>
      <c r="C67" s="11"/>
      <c r="D67" s="7"/>
      <c r="E67" s="2"/>
      <c r="F67" s="6">
        <f t="shared" si="20"/>
        <v>0</v>
      </c>
      <c r="G67" s="2"/>
      <c r="H67" s="7">
        <v>68.09</v>
      </c>
      <c r="I67" s="2"/>
      <c r="J67" s="6">
        <f t="shared" si="21"/>
        <v>9.3692843787651213E-4</v>
      </c>
      <c r="K67" s="2"/>
      <c r="L67" s="7">
        <f t="shared" si="22"/>
        <v>-68.09</v>
      </c>
      <c r="M67" s="2"/>
      <c r="N67" s="6">
        <f t="shared" si="23"/>
        <v>-1</v>
      </c>
      <c r="O67" s="11"/>
      <c r="P67" s="7"/>
      <c r="Q67" s="2"/>
      <c r="R67" s="6">
        <f t="shared" si="24"/>
        <v>0</v>
      </c>
      <c r="S67" s="2"/>
      <c r="T67" s="7">
        <v>1045.1099999999999</v>
      </c>
      <c r="U67" s="2"/>
      <c r="V67" s="6">
        <f t="shared" si="25"/>
        <v>8.1420845998980036E-3</v>
      </c>
      <c r="W67" s="2"/>
      <c r="X67" s="7">
        <f t="shared" si="26"/>
        <v>-1045.1099999999999</v>
      </c>
      <c r="Y67" s="2"/>
      <c r="Z67" s="6">
        <f t="shared" si="27"/>
        <v>-1</v>
      </c>
    </row>
    <row r="68" spans="1:26" s="24" customFormat="1" hidden="1" outlineLevel="2" x14ac:dyDescent="0.25">
      <c r="A68" s="28"/>
      <c r="B68" s="11" t="str">
        <f>CONCATENATE("          ", "6114", " - ", "STATE UNEMPLOYMENT INSURANCE")</f>
        <v xml:space="preserve">          6114 - STATE UNEMPLOYMENT INSURANCE</v>
      </c>
      <c r="C68" s="11"/>
      <c r="D68" s="7">
        <v>12.3</v>
      </c>
      <c r="E68" s="2"/>
      <c r="F68" s="6">
        <f t="shared" si="20"/>
        <v>1.3826314511560149E-3</v>
      </c>
      <c r="G68" s="2"/>
      <c r="H68" s="7">
        <v>22.06</v>
      </c>
      <c r="I68" s="2"/>
      <c r="J68" s="6">
        <f t="shared" si="21"/>
        <v>3.0354885210098184E-4</v>
      </c>
      <c r="K68" s="2"/>
      <c r="L68" s="7">
        <f t="shared" si="22"/>
        <v>-9.759999999999998</v>
      </c>
      <c r="M68" s="2"/>
      <c r="N68" s="6">
        <f t="shared" si="23"/>
        <v>-0.44242973708068895</v>
      </c>
      <c r="O68" s="11"/>
      <c r="P68" s="7">
        <v>21.04</v>
      </c>
      <c r="Q68" s="2"/>
      <c r="R68" s="6">
        <f t="shared" si="24"/>
        <v>9.8807082927507349E-4</v>
      </c>
      <c r="S68" s="2"/>
      <c r="T68" s="7">
        <v>46.52</v>
      </c>
      <c r="U68" s="2"/>
      <c r="V68" s="6">
        <f t="shared" si="25"/>
        <v>3.6242096581915319E-4</v>
      </c>
      <c r="W68" s="2"/>
      <c r="X68" s="7">
        <f t="shared" si="26"/>
        <v>-25.480000000000004</v>
      </c>
      <c r="Y68" s="2"/>
      <c r="Z68" s="6">
        <f t="shared" si="27"/>
        <v>-0.5477214101461737</v>
      </c>
    </row>
    <row r="69" spans="1:26" s="24" customFormat="1" hidden="1" outlineLevel="2" x14ac:dyDescent="0.25">
      <c r="A69" s="28"/>
      <c r="B69" s="11" t="str">
        <f>CONCATENATE("          ", "6115", " - ", "P.E.R.S.")</f>
        <v xml:space="preserve">          6115 - P.E.R.S.</v>
      </c>
      <c r="C69" s="11"/>
      <c r="D69" s="7"/>
      <c r="E69" s="2"/>
      <c r="F69" s="6">
        <f t="shared" si="20"/>
        <v>0</v>
      </c>
      <c r="G69" s="2"/>
      <c r="H69" s="7">
        <v>167.64</v>
      </c>
      <c r="I69" s="2"/>
      <c r="J69" s="6">
        <f t="shared" si="21"/>
        <v>2.3067511136087306E-3</v>
      </c>
      <c r="K69" s="2"/>
      <c r="L69" s="7">
        <f t="shared" si="22"/>
        <v>-167.64</v>
      </c>
      <c r="M69" s="2"/>
      <c r="N69" s="6">
        <f t="shared" si="23"/>
        <v>-1</v>
      </c>
      <c r="O69" s="11"/>
      <c r="P69" s="7"/>
      <c r="Q69" s="2"/>
      <c r="R69" s="6">
        <f t="shared" si="24"/>
        <v>0</v>
      </c>
      <c r="S69" s="2"/>
      <c r="T69" s="7">
        <v>569.98</v>
      </c>
      <c r="U69" s="2"/>
      <c r="V69" s="6">
        <f t="shared" si="25"/>
        <v>4.4405138026139494E-3</v>
      </c>
      <c r="W69" s="2"/>
      <c r="X69" s="7">
        <f t="shared" si="26"/>
        <v>-569.98</v>
      </c>
      <c r="Y69" s="2"/>
      <c r="Z69" s="6">
        <f t="shared" si="27"/>
        <v>-1</v>
      </c>
    </row>
    <row r="70" spans="1:26" s="24" customFormat="1" hidden="1" outlineLevel="2" x14ac:dyDescent="0.25">
      <c r="A70" s="28"/>
      <c r="B70" s="11" t="str">
        <f>CONCATENATE("          ", "6118", " - ", "VACATION")</f>
        <v xml:space="preserve">          6118 - VACATION</v>
      </c>
      <c r="C70" s="11"/>
      <c r="D70" s="7"/>
      <c r="E70" s="2"/>
      <c r="F70" s="6">
        <f t="shared" si="20"/>
        <v>0</v>
      </c>
      <c r="G70" s="2"/>
      <c r="H70" s="7">
        <v>92.4</v>
      </c>
      <c r="I70" s="2"/>
      <c r="J70" s="6">
        <f t="shared" si="21"/>
        <v>1.2714376216741037E-3</v>
      </c>
      <c r="K70" s="2"/>
      <c r="L70" s="7">
        <f t="shared" si="22"/>
        <v>-92.4</v>
      </c>
      <c r="M70" s="2"/>
      <c r="N70" s="6">
        <f t="shared" si="23"/>
        <v>-1</v>
      </c>
      <c r="O70" s="11"/>
      <c r="P70" s="7"/>
      <c r="Q70" s="2"/>
      <c r="R70" s="6">
        <f t="shared" si="24"/>
        <v>0</v>
      </c>
      <c r="S70" s="2"/>
      <c r="T70" s="7">
        <v>424.32</v>
      </c>
      <c r="U70" s="2"/>
      <c r="V70" s="6">
        <f t="shared" si="25"/>
        <v>3.3057279496213044E-3</v>
      </c>
      <c r="W70" s="2"/>
      <c r="X70" s="7">
        <f t="shared" si="26"/>
        <v>-424.32</v>
      </c>
      <c r="Y70" s="2"/>
      <c r="Z70" s="6">
        <f t="shared" si="27"/>
        <v>-1</v>
      </c>
    </row>
    <row r="71" spans="1:26" s="24" customFormat="1" hidden="1" outlineLevel="2" x14ac:dyDescent="0.25">
      <c r="A71" s="28"/>
      <c r="B71" s="11" t="str">
        <f>CONCATENATE("          ", "6119", " - ", "SICK LEAVE")</f>
        <v xml:space="preserve">          6119 - SICK LEAVE</v>
      </c>
      <c r="C71" s="11"/>
      <c r="D71" s="7"/>
      <c r="E71" s="2"/>
      <c r="F71" s="6">
        <f t="shared" si="20"/>
        <v>0</v>
      </c>
      <c r="G71" s="2"/>
      <c r="H71" s="7">
        <v>110.7</v>
      </c>
      <c r="I71" s="2"/>
      <c r="J71" s="6">
        <f t="shared" si="21"/>
        <v>1.5232483194731956E-3</v>
      </c>
      <c r="K71" s="2"/>
      <c r="L71" s="7">
        <f t="shared" si="22"/>
        <v>-110.7</v>
      </c>
      <c r="M71" s="2"/>
      <c r="N71" s="6">
        <f t="shared" si="23"/>
        <v>-1</v>
      </c>
      <c r="O71" s="11"/>
      <c r="P71" s="7"/>
      <c r="Q71" s="2"/>
      <c r="R71" s="6">
        <f t="shared" si="24"/>
        <v>0</v>
      </c>
      <c r="S71" s="2"/>
      <c r="T71" s="7">
        <v>376.38</v>
      </c>
      <c r="U71" s="2"/>
      <c r="V71" s="6">
        <f t="shared" si="25"/>
        <v>2.9322442630054357E-3</v>
      </c>
      <c r="W71" s="2"/>
      <c r="X71" s="7">
        <f t="shared" si="26"/>
        <v>-376.38</v>
      </c>
      <c r="Y71" s="2"/>
      <c r="Z71" s="6">
        <f t="shared" si="27"/>
        <v>-1</v>
      </c>
    </row>
    <row r="72" spans="1:26" s="24" customFormat="1" hidden="1" outlineLevel="2" x14ac:dyDescent="0.25">
      <c r="A72" s="28"/>
      <c r="B72" s="11" t="str">
        <f>CONCATENATE("          ", "6156", " - ", "EMPLOYEE MEALS")</f>
        <v xml:space="preserve">          6156 - EMPLOYEE MEALS</v>
      </c>
      <c r="C72" s="11"/>
      <c r="D72" s="7"/>
      <c r="E72" s="2"/>
      <c r="F72" s="6">
        <f t="shared" si="20"/>
        <v>0</v>
      </c>
      <c r="G72" s="2"/>
      <c r="H72" s="7">
        <v>173.92</v>
      </c>
      <c r="I72" s="2"/>
      <c r="J72" s="6">
        <f t="shared" si="21"/>
        <v>2.3931648394108235E-3</v>
      </c>
      <c r="K72" s="2"/>
      <c r="L72" s="7">
        <f t="shared" si="22"/>
        <v>-173.92</v>
      </c>
      <c r="M72" s="2"/>
      <c r="N72" s="6">
        <f t="shared" si="23"/>
        <v>-1</v>
      </c>
      <c r="O72" s="11"/>
      <c r="P72" s="7"/>
      <c r="Q72" s="2"/>
      <c r="R72" s="6">
        <f t="shared" si="24"/>
        <v>0</v>
      </c>
      <c r="S72" s="2"/>
      <c r="T72" s="7">
        <v>472.65</v>
      </c>
      <c r="U72" s="2"/>
      <c r="V72" s="6">
        <f t="shared" si="25"/>
        <v>3.6822499891320452E-3</v>
      </c>
      <c r="W72" s="2"/>
      <c r="X72" s="7">
        <f t="shared" si="26"/>
        <v>-472.65</v>
      </c>
      <c r="Y72" s="2"/>
      <c r="Z72" s="6">
        <f t="shared" si="27"/>
        <v>-1</v>
      </c>
    </row>
    <row r="73" spans="1:26" s="27" customFormat="1" outlineLevel="1" collapsed="1" x14ac:dyDescent="0.25">
      <c r="A73" s="29"/>
      <c r="B73" s="14" t="str">
        <f>CONCATENATE("     ","*Payroll                                          ")</f>
        <v xml:space="preserve">     *Payroll                                          </v>
      </c>
      <c r="C73" s="14"/>
      <c r="D73" s="1">
        <f>SUM(OSRRefD22_1x_0)</f>
        <v>2735.85</v>
      </c>
      <c r="E73" s="1"/>
      <c r="F73" s="5">
        <f t="shared" ref="F73:F77" si="28">IF(D$12=0,0,D73/D$12)</f>
        <v>0.30753432972725064</v>
      </c>
      <c r="G73" s="1"/>
      <c r="H73" s="1">
        <f>SUM(OSRRefH22_1x_0)</f>
        <v>8429</v>
      </c>
      <c r="I73" s="1"/>
      <c r="J73" s="5">
        <f t="shared" ref="J73:J77" si="29">IF(H$12=0,0,H73/H$12)</f>
        <v>0.11598428260921016</v>
      </c>
      <c r="K73" s="1"/>
      <c r="L73" s="1">
        <f t="shared" ref="L73:L77" si="30">+D73-H73</f>
        <v>-5693.15</v>
      </c>
      <c r="M73" s="1"/>
      <c r="N73" s="5">
        <f t="shared" ref="N73:N77" si="31">IF(H73=0,0,L73/H73)</f>
        <v>-0.67542413097639098</v>
      </c>
      <c r="O73" s="14"/>
      <c r="P73" s="1">
        <f>SUM(OSRRefP22_1x_0)</f>
        <v>7242.9699999999993</v>
      </c>
      <c r="Q73" s="1"/>
      <c r="R73" s="5">
        <f t="shared" ref="R73:R77" si="32">IF(P$12=0,0,P73/P$12)</f>
        <v>0.34014103490087821</v>
      </c>
      <c r="S73" s="1"/>
      <c r="T73" s="1">
        <f>SUM(OSRRefT22_1x_0)</f>
        <v>20087.75</v>
      </c>
      <c r="U73" s="1"/>
      <c r="V73" s="5">
        <f t="shared" ref="V73:V77" si="33">IF(T$12=0,0,T73/T$12)</f>
        <v>0.15649659836916796</v>
      </c>
      <c r="W73" s="1"/>
      <c r="X73" s="1">
        <f t="shared" ref="X73:X77" si="34">+P73-T73</f>
        <v>-12844.78</v>
      </c>
      <c r="Y73" s="1"/>
      <c r="Z73" s="5">
        <f t="shared" ref="Z73:Z77" si="35">IF(T73=0,0,X73/T73)</f>
        <v>-0.63943348558200896</v>
      </c>
    </row>
    <row r="74" spans="1:26" s="24" customFormat="1" hidden="1" outlineLevel="2" x14ac:dyDescent="0.25">
      <c r="A74" s="28"/>
      <c r="B74" s="11" t="str">
        <f>CONCATENATE("          ", "6002", " - ", "STAFF SALARIES")</f>
        <v xml:space="preserve">          6002 - STAFF SALARIES</v>
      </c>
      <c r="C74" s="11"/>
      <c r="D74" s="7"/>
      <c r="E74" s="2"/>
      <c r="F74" s="6">
        <f t="shared" si="28"/>
        <v>0</v>
      </c>
      <c r="G74" s="2"/>
      <c r="H74" s="7">
        <v>2280</v>
      </c>
      <c r="I74" s="2"/>
      <c r="J74" s="6">
        <f t="shared" si="29"/>
        <v>3.1373136119231128E-2</v>
      </c>
      <c r="K74" s="2"/>
      <c r="L74" s="7">
        <f t="shared" si="30"/>
        <v>-2280</v>
      </c>
      <c r="M74" s="2"/>
      <c r="N74" s="6">
        <f t="shared" si="31"/>
        <v>-1</v>
      </c>
      <c r="O74" s="11"/>
      <c r="P74" s="7"/>
      <c r="Q74" s="2"/>
      <c r="R74" s="6">
        <f t="shared" si="32"/>
        <v>0</v>
      </c>
      <c r="S74" s="2"/>
      <c r="T74" s="7">
        <v>8616</v>
      </c>
      <c r="U74" s="2"/>
      <c r="V74" s="6">
        <f t="shared" si="33"/>
        <v>6.7124227031337566E-2</v>
      </c>
      <c r="W74" s="2"/>
      <c r="X74" s="7">
        <f t="shared" si="34"/>
        <v>-8616</v>
      </c>
      <c r="Y74" s="2"/>
      <c r="Z74" s="6">
        <f t="shared" si="35"/>
        <v>-1</v>
      </c>
    </row>
    <row r="75" spans="1:26" s="24" customFormat="1" hidden="1" outlineLevel="2" x14ac:dyDescent="0.25">
      <c r="A75" s="28"/>
      <c r="B75" s="11" t="str">
        <f>CONCATENATE("          ", "6005", " - ", "TEMPORARY WAGES-HOURLY")</f>
        <v xml:space="preserve">          6005 - TEMPORARY WAGES-HOURLY</v>
      </c>
      <c r="C75" s="11"/>
      <c r="D75" s="7">
        <v>1948.22</v>
      </c>
      <c r="E75" s="2"/>
      <c r="F75" s="6">
        <f t="shared" si="28"/>
        <v>0.21899758095700578</v>
      </c>
      <c r="G75" s="2"/>
      <c r="H75" s="7"/>
      <c r="I75" s="2"/>
      <c r="J75" s="6">
        <f t="shared" si="29"/>
        <v>0</v>
      </c>
      <c r="K75" s="2"/>
      <c r="L75" s="7">
        <f t="shared" si="30"/>
        <v>1948.22</v>
      </c>
      <c r="M75" s="2"/>
      <c r="N75" s="6">
        <f t="shared" si="31"/>
        <v>0</v>
      </c>
      <c r="O75" s="11"/>
      <c r="P75" s="7">
        <v>4356.45</v>
      </c>
      <c r="Q75" s="2"/>
      <c r="R75" s="6">
        <f t="shared" si="32"/>
        <v>0.20458560666327916</v>
      </c>
      <c r="S75" s="2"/>
      <c r="T75" s="7"/>
      <c r="U75" s="2"/>
      <c r="V75" s="6">
        <f t="shared" si="33"/>
        <v>0</v>
      </c>
      <c r="W75" s="2"/>
      <c r="X75" s="7">
        <f t="shared" si="34"/>
        <v>4356.45</v>
      </c>
      <c r="Y75" s="2"/>
      <c r="Z75" s="6">
        <f t="shared" si="35"/>
        <v>0</v>
      </c>
    </row>
    <row r="76" spans="1:26" s="24" customFormat="1" hidden="1" outlineLevel="2" x14ac:dyDescent="0.25">
      <c r="A76" s="28"/>
      <c r="B76" s="11" t="str">
        <f>CONCATENATE("          ", "6006", " - ", "TEMPORARY PART TIME")</f>
        <v xml:space="preserve">          6006 - TEMPORARY PART TIME</v>
      </c>
      <c r="C76" s="11"/>
      <c r="D76" s="7"/>
      <c r="E76" s="2"/>
      <c r="F76" s="6">
        <f t="shared" si="28"/>
        <v>0</v>
      </c>
      <c r="G76" s="2"/>
      <c r="H76" s="7"/>
      <c r="I76" s="2"/>
      <c r="J76" s="6">
        <f t="shared" si="29"/>
        <v>0</v>
      </c>
      <c r="K76" s="2"/>
      <c r="L76" s="7">
        <f t="shared" si="30"/>
        <v>0</v>
      </c>
      <c r="M76" s="2"/>
      <c r="N76" s="6">
        <f t="shared" si="31"/>
        <v>0</v>
      </c>
      <c r="O76" s="11"/>
      <c r="P76" s="7"/>
      <c r="Q76" s="2"/>
      <c r="R76" s="6">
        <f t="shared" si="32"/>
        <v>0</v>
      </c>
      <c r="S76" s="2"/>
      <c r="T76" s="7">
        <v>25.5</v>
      </c>
      <c r="U76" s="2"/>
      <c r="V76" s="6">
        <f t="shared" si="33"/>
        <v>1.9866153543397262E-4</v>
      </c>
      <c r="W76" s="2"/>
      <c r="X76" s="7">
        <f t="shared" si="34"/>
        <v>-25.5</v>
      </c>
      <c r="Y76" s="2"/>
      <c r="Z76" s="6">
        <f t="shared" si="35"/>
        <v>-1</v>
      </c>
    </row>
    <row r="77" spans="1:26" s="24" customFormat="1" hidden="1" outlineLevel="2" x14ac:dyDescent="0.25">
      <c r="A77" s="28"/>
      <c r="B77" s="11" t="str">
        <f>CONCATENATE("          ", "6007", " - ", "STUDENT HOURLY")</f>
        <v xml:space="preserve">          6007 - STUDENT HOURLY</v>
      </c>
      <c r="C77" s="11"/>
      <c r="D77" s="7">
        <v>787.63</v>
      </c>
      <c r="E77" s="2"/>
      <c r="F77" s="6">
        <f t="shared" si="28"/>
        <v>8.8536748770244866E-2</v>
      </c>
      <c r="G77" s="2"/>
      <c r="H77" s="7">
        <v>6149</v>
      </c>
      <c r="I77" s="2"/>
      <c r="J77" s="6">
        <f t="shared" si="29"/>
        <v>8.4611146489979042E-2</v>
      </c>
      <c r="K77" s="2"/>
      <c r="L77" s="7">
        <f t="shared" si="30"/>
        <v>-5361.37</v>
      </c>
      <c r="M77" s="2"/>
      <c r="N77" s="6">
        <f t="shared" si="31"/>
        <v>-0.87190925353716053</v>
      </c>
      <c r="O77" s="11"/>
      <c r="P77" s="7">
        <v>2886.52</v>
      </c>
      <c r="Q77" s="2"/>
      <c r="R77" s="6">
        <f t="shared" si="32"/>
        <v>0.13555542823759908</v>
      </c>
      <c r="S77" s="2"/>
      <c r="T77" s="7">
        <v>11446.25</v>
      </c>
      <c r="U77" s="2"/>
      <c r="V77" s="6">
        <f t="shared" si="33"/>
        <v>8.9173709802396431E-2</v>
      </c>
      <c r="W77" s="2"/>
      <c r="X77" s="7">
        <f t="shared" si="34"/>
        <v>-8559.73</v>
      </c>
      <c r="Y77" s="2"/>
      <c r="Z77" s="6">
        <f t="shared" si="35"/>
        <v>-0.74781959156929123</v>
      </c>
    </row>
    <row r="78" spans="1:26" s="27" customFormat="1" outlineLevel="1" collapsed="1" x14ac:dyDescent="0.25">
      <c r="A78" s="29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0</v>
      </c>
      <c r="E78" s="1"/>
      <c r="F78" s="5">
        <f t="shared" ref="F78:F84" si="36">IF(D$12=0,0,D78/D$12)</f>
        <v>0</v>
      </c>
      <c r="G78" s="1"/>
      <c r="H78" s="1">
        <f>SUM(OSRRefH22_2x_0)</f>
        <v>100.85</v>
      </c>
      <c r="I78" s="1"/>
      <c r="J78" s="5">
        <f t="shared" ref="J78:J84" si="37">IF(H$12=0,0,H78/H$12)</f>
        <v>1.3877108673791487E-3</v>
      </c>
      <c r="K78" s="1"/>
      <c r="L78" s="1">
        <f t="shared" ref="L78:L84" si="38">+D78-H78</f>
        <v>-100.85</v>
      </c>
      <c r="M78" s="1"/>
      <c r="N78" s="5">
        <f t="shared" ref="N78:N84" si="39">IF(H78=0,0,L78/H78)</f>
        <v>-1</v>
      </c>
      <c r="O78" s="14"/>
      <c r="P78" s="1">
        <f>SUM(OSRRefP22_2x_0)</f>
        <v>0</v>
      </c>
      <c r="Q78" s="1"/>
      <c r="R78" s="5">
        <f t="shared" ref="R78:R84" si="40">IF(P$12=0,0,P78/P$12)</f>
        <v>0</v>
      </c>
      <c r="S78" s="1"/>
      <c r="T78" s="1">
        <f>SUM(OSRRefT22_2x_0)</f>
        <v>146.71</v>
      </c>
      <c r="U78" s="1"/>
      <c r="V78" s="5">
        <f t="shared" ref="V78:V84" si="41">IF(T$12=0,0,T78/T$12)</f>
        <v>1.1429660338634559E-3</v>
      </c>
      <c r="W78" s="1"/>
      <c r="X78" s="1">
        <f t="shared" ref="X78:X84" si="42">+P78-T78</f>
        <v>-146.71</v>
      </c>
      <c r="Y78" s="1"/>
      <c r="Z78" s="5">
        <f t="shared" ref="Z78:Z84" si="43">IF(T78=0,0,X78/T78)</f>
        <v>-1</v>
      </c>
    </row>
    <row r="79" spans="1:26" s="24" customFormat="1" hidden="1" outlineLevel="2" x14ac:dyDescent="0.25">
      <c r="A79" s="28"/>
      <c r="B79" s="11" t="str">
        <f>CONCATENATE("          ", "6362", " - ", "ADVERTISING EXPENSE")</f>
        <v xml:space="preserve">          6362 - ADVERTISING EXPENSE</v>
      </c>
      <c r="C79" s="11"/>
      <c r="D79" s="7"/>
      <c r="E79" s="2"/>
      <c r="F79" s="6">
        <f t="shared" si="36"/>
        <v>0</v>
      </c>
      <c r="G79" s="2"/>
      <c r="H79" s="7">
        <v>100.85</v>
      </c>
      <c r="I79" s="2"/>
      <c r="J79" s="6">
        <f t="shared" si="37"/>
        <v>1.3877108673791487E-3</v>
      </c>
      <c r="K79" s="2"/>
      <c r="L79" s="7">
        <f t="shared" si="38"/>
        <v>-100.85</v>
      </c>
      <c r="M79" s="2"/>
      <c r="N79" s="6">
        <f t="shared" si="39"/>
        <v>-1</v>
      </c>
      <c r="O79" s="11"/>
      <c r="P79" s="7"/>
      <c r="Q79" s="2"/>
      <c r="R79" s="6">
        <f t="shared" si="40"/>
        <v>0</v>
      </c>
      <c r="S79" s="2"/>
      <c r="T79" s="7">
        <v>146.71</v>
      </c>
      <c r="U79" s="2"/>
      <c r="V79" s="6">
        <f t="shared" si="41"/>
        <v>1.1429660338634559E-3</v>
      </c>
      <c r="W79" s="2"/>
      <c r="X79" s="7">
        <f t="shared" si="42"/>
        <v>-146.71</v>
      </c>
      <c r="Y79" s="2"/>
      <c r="Z79" s="6">
        <f t="shared" si="43"/>
        <v>-1</v>
      </c>
    </row>
    <row r="80" spans="1:26" s="27" customFormat="1" outlineLevel="1" collapsed="1" x14ac:dyDescent="0.25">
      <c r="A80" s="29"/>
      <c r="B80" s="14" t="str">
        <f>CONCATENATE("     ","Bad Debts/Over/Short                              ")</f>
        <v xml:space="preserve">     Bad Debts/Over/Short                              </v>
      </c>
      <c r="C80" s="14"/>
      <c r="D80" s="1">
        <f>SUM(OSRRefD22_3x_0)</f>
        <v>0.8</v>
      </c>
      <c r="E80" s="1"/>
      <c r="F80" s="5">
        <f t="shared" si="36"/>
        <v>8.9927248855675766E-5</v>
      </c>
      <c r="G80" s="1"/>
      <c r="H80" s="1">
        <f>SUM(OSRRefH22_3x_0)</f>
        <v>-30.21</v>
      </c>
      <c r="I80" s="1"/>
      <c r="J80" s="5">
        <f t="shared" si="37"/>
        <v>-4.1569405357981244E-4</v>
      </c>
      <c r="K80" s="1"/>
      <c r="L80" s="1">
        <f t="shared" si="38"/>
        <v>31.01</v>
      </c>
      <c r="M80" s="1"/>
      <c r="N80" s="5">
        <f t="shared" si="39"/>
        <v>-1.0264812975835815</v>
      </c>
      <c r="O80" s="14"/>
      <c r="P80" s="1">
        <f>SUM(OSRRefP22_3x_0)</f>
        <v>1.1000000000000001</v>
      </c>
      <c r="Q80" s="1"/>
      <c r="R80" s="5">
        <f t="shared" si="40"/>
        <v>5.1657695446890725E-5</v>
      </c>
      <c r="S80" s="1"/>
      <c r="T80" s="1">
        <f>SUM(OSRRefT22_3x_0)</f>
        <v>-39.28</v>
      </c>
      <c r="U80" s="1"/>
      <c r="V80" s="5">
        <f t="shared" si="41"/>
        <v>-3.0601667105280175E-4</v>
      </c>
      <c r="W80" s="1"/>
      <c r="X80" s="1">
        <f t="shared" si="42"/>
        <v>40.380000000000003</v>
      </c>
      <c r="Y80" s="1"/>
      <c r="Z80" s="5">
        <f t="shared" si="43"/>
        <v>-1.0280040733197557</v>
      </c>
    </row>
    <row r="81" spans="1:26" s="24" customFormat="1" hidden="1" outlineLevel="2" x14ac:dyDescent="0.25">
      <c r="A81" s="28"/>
      <c r="B81" s="11" t="str">
        <f>CONCATENATE("          ", "6272", " - ", "CASH (OVER/SHORT)")</f>
        <v xml:space="preserve">          6272 - CASH (OVER/SHORT)</v>
      </c>
      <c r="C81" s="11"/>
      <c r="D81" s="7">
        <v>0.8</v>
      </c>
      <c r="E81" s="2"/>
      <c r="F81" s="6">
        <f t="shared" si="36"/>
        <v>8.9927248855675766E-5</v>
      </c>
      <c r="G81" s="2"/>
      <c r="H81" s="7">
        <v>-30.21</v>
      </c>
      <c r="I81" s="2"/>
      <c r="J81" s="6">
        <f t="shared" si="37"/>
        <v>-4.1569405357981244E-4</v>
      </c>
      <c r="K81" s="2"/>
      <c r="L81" s="7">
        <f t="shared" si="38"/>
        <v>31.01</v>
      </c>
      <c r="M81" s="2"/>
      <c r="N81" s="6">
        <f t="shared" si="39"/>
        <v>-1.0264812975835815</v>
      </c>
      <c r="O81" s="11"/>
      <c r="P81" s="7">
        <v>1.1000000000000001</v>
      </c>
      <c r="Q81" s="2"/>
      <c r="R81" s="6">
        <f t="shared" si="40"/>
        <v>5.1657695446890725E-5</v>
      </c>
      <c r="S81" s="2"/>
      <c r="T81" s="7">
        <v>-39.28</v>
      </c>
      <c r="U81" s="2"/>
      <c r="V81" s="6">
        <f t="shared" si="41"/>
        <v>-3.0601667105280175E-4</v>
      </c>
      <c r="W81" s="2"/>
      <c r="X81" s="7">
        <f t="shared" si="42"/>
        <v>40.380000000000003</v>
      </c>
      <c r="Y81" s="2"/>
      <c r="Z81" s="6">
        <f t="shared" si="43"/>
        <v>-1.0280040733197557</v>
      </c>
    </row>
    <row r="82" spans="1:26" s="27" customFormat="1" outlineLevel="1" collapsed="1" x14ac:dyDescent="0.25">
      <c r="A82" s="29"/>
      <c r="B82" s="14" t="str">
        <f>CONCATENATE("     ","Discounts and Markdowns                           ")</f>
        <v xml:space="preserve">     Discounts and Markdowns                           </v>
      </c>
      <c r="C82" s="14"/>
      <c r="D82" s="1">
        <f>SUM(OSRRefD22_4x_0)</f>
        <v>0</v>
      </c>
      <c r="E82" s="1"/>
      <c r="F82" s="5">
        <f t="shared" si="36"/>
        <v>0</v>
      </c>
      <c r="G82" s="1"/>
      <c r="H82" s="1">
        <f>SUM(OSRRefH22_4x_0)</f>
        <v>1078.8900000000001</v>
      </c>
      <c r="I82" s="1"/>
      <c r="J82" s="5">
        <f t="shared" si="37"/>
        <v>1.4845685450735646E-2</v>
      </c>
      <c r="K82" s="1"/>
      <c r="L82" s="1">
        <f t="shared" si="38"/>
        <v>-1078.8900000000001</v>
      </c>
      <c r="M82" s="1"/>
      <c r="N82" s="5">
        <f t="shared" si="39"/>
        <v>-1</v>
      </c>
      <c r="O82" s="14"/>
      <c r="P82" s="1">
        <f>SUM(OSRRefP22_4x_0)</f>
        <v>0</v>
      </c>
      <c r="Q82" s="1"/>
      <c r="R82" s="5">
        <f t="shared" si="40"/>
        <v>0</v>
      </c>
      <c r="S82" s="1"/>
      <c r="T82" s="1">
        <f>SUM(OSRRefT22_4x_0)</f>
        <v>3519.83</v>
      </c>
      <c r="U82" s="1"/>
      <c r="V82" s="5">
        <f t="shared" si="41"/>
        <v>2.7421758128100385E-2</v>
      </c>
      <c r="W82" s="1"/>
      <c r="X82" s="1">
        <f t="shared" si="42"/>
        <v>-3519.83</v>
      </c>
      <c r="Y82" s="1"/>
      <c r="Z82" s="5">
        <f t="shared" si="43"/>
        <v>-1</v>
      </c>
    </row>
    <row r="83" spans="1:26" s="24" customFormat="1" hidden="1" outlineLevel="2" x14ac:dyDescent="0.25">
      <c r="A83" s="28"/>
      <c r="B83" s="11" t="str">
        <f>CONCATENATE("          ", "6382", " - ", "DISCOUNTS/MARK DOWNS")</f>
        <v xml:space="preserve">          6382 - DISCOUNTS/MARK DOWNS</v>
      </c>
      <c r="C83" s="11"/>
      <c r="D83" s="7"/>
      <c r="E83" s="2"/>
      <c r="F83" s="6">
        <f t="shared" si="36"/>
        <v>0</v>
      </c>
      <c r="G83" s="2"/>
      <c r="H83" s="7">
        <v>1020.45</v>
      </c>
      <c r="I83" s="2"/>
      <c r="J83" s="6">
        <f t="shared" si="37"/>
        <v>1.4041542435469038E-2</v>
      </c>
      <c r="K83" s="2"/>
      <c r="L83" s="7">
        <f t="shared" si="38"/>
        <v>-1020.45</v>
      </c>
      <c r="M83" s="2"/>
      <c r="N83" s="6">
        <f t="shared" si="39"/>
        <v>-1</v>
      </c>
      <c r="O83" s="11"/>
      <c r="P83" s="7"/>
      <c r="Q83" s="2"/>
      <c r="R83" s="6">
        <f t="shared" si="40"/>
        <v>0</v>
      </c>
      <c r="S83" s="2"/>
      <c r="T83" s="7">
        <v>3519.83</v>
      </c>
      <c r="U83" s="2"/>
      <c r="V83" s="6">
        <f t="shared" si="41"/>
        <v>2.7421758128100385E-2</v>
      </c>
      <c r="W83" s="2"/>
      <c r="X83" s="7">
        <f t="shared" si="42"/>
        <v>-3519.83</v>
      </c>
      <c r="Y83" s="2"/>
      <c r="Z83" s="6">
        <f t="shared" si="43"/>
        <v>-1</v>
      </c>
    </row>
    <row r="84" spans="1:26" s="24" customFormat="1" hidden="1" outlineLevel="2" x14ac:dyDescent="0.25">
      <c r="A84" s="28"/>
      <c r="B84" s="11" t="str">
        <f>CONCATENATE("          ", "9175", " - ", "EARNED DISCOUNTS")</f>
        <v xml:space="preserve">          9175 - EARNED DISCOUNTS</v>
      </c>
      <c r="C84" s="11"/>
      <c r="D84" s="7"/>
      <c r="E84" s="2"/>
      <c r="F84" s="6">
        <f t="shared" si="36"/>
        <v>0</v>
      </c>
      <c r="G84" s="2"/>
      <c r="H84" s="7">
        <v>58.44</v>
      </c>
      <c r="I84" s="2"/>
      <c r="J84" s="6">
        <f t="shared" si="37"/>
        <v>8.0414301526660829E-4</v>
      </c>
      <c r="K84" s="2"/>
      <c r="L84" s="7">
        <f t="shared" si="38"/>
        <v>-58.44</v>
      </c>
      <c r="M84" s="2"/>
      <c r="N84" s="6">
        <f t="shared" si="39"/>
        <v>-1</v>
      </c>
      <c r="O84" s="11"/>
      <c r="P84" s="7"/>
      <c r="Q84" s="2"/>
      <c r="R84" s="6">
        <f t="shared" si="40"/>
        <v>0</v>
      </c>
      <c r="S84" s="2"/>
      <c r="T84" s="7">
        <v>0</v>
      </c>
      <c r="U84" s="2"/>
      <c r="V84" s="6">
        <f t="shared" si="41"/>
        <v>0</v>
      </c>
      <c r="W84" s="2"/>
      <c r="X84" s="7">
        <f t="shared" si="42"/>
        <v>0</v>
      </c>
      <c r="Y84" s="2"/>
      <c r="Z84" s="6">
        <f t="shared" si="43"/>
        <v>0</v>
      </c>
    </row>
    <row r="85" spans="1:26" s="27" customFormat="1" outlineLevel="1" collapsed="1" x14ac:dyDescent="0.25">
      <c r="A85" s="29"/>
      <c r="B85" s="14" t="str">
        <f>CONCATENATE("     ","General                                           ")</f>
        <v xml:space="preserve">     General                                           </v>
      </c>
      <c r="C85" s="14"/>
      <c r="D85" s="1">
        <f>SUM(OSRRefD22_5x_0)</f>
        <v>0</v>
      </c>
      <c r="E85" s="1"/>
      <c r="F85" s="5">
        <f t="shared" ref="F85:F91" si="44">IF(D$12=0,0,D85/D$12)</f>
        <v>0</v>
      </c>
      <c r="G85" s="1"/>
      <c r="H85" s="1">
        <f>SUM(OSRRefH22_5x_0)</f>
        <v>0</v>
      </c>
      <c r="I85" s="1"/>
      <c r="J85" s="5">
        <f t="shared" ref="J85:J91" si="45">IF(H$12=0,0,H85/H$12)</f>
        <v>0</v>
      </c>
      <c r="K85" s="1"/>
      <c r="L85" s="1">
        <f t="shared" ref="L85:L91" si="46">+D85-H85</f>
        <v>0</v>
      </c>
      <c r="M85" s="1"/>
      <c r="N85" s="5">
        <f t="shared" ref="N85:N91" si="47">IF(H85=0,0,L85/H85)</f>
        <v>0</v>
      </c>
      <c r="O85" s="14"/>
      <c r="P85" s="1">
        <f>SUM(OSRRefP22_5x_0)</f>
        <v>719.55</v>
      </c>
      <c r="Q85" s="1"/>
      <c r="R85" s="5">
        <f t="shared" ref="R85:R91" si="48">IF(P$12=0,0,P85/P$12)</f>
        <v>3.3791177053463836E-2</v>
      </c>
      <c r="S85" s="1"/>
      <c r="T85" s="1">
        <f>SUM(OSRRefT22_5x_0)</f>
        <v>694.55</v>
      </c>
      <c r="U85" s="1"/>
      <c r="V85" s="5">
        <f t="shared" ref="V85:V91" si="49">IF(T$12=0,0,T85/T$12)</f>
        <v>5.4109948798300262E-3</v>
      </c>
      <c r="W85" s="1"/>
      <c r="X85" s="1">
        <f t="shared" ref="X85:X91" si="50">+P85-T85</f>
        <v>25</v>
      </c>
      <c r="Y85" s="1"/>
      <c r="Z85" s="5">
        <f t="shared" ref="Z85:Z91" si="51">IF(T85=0,0,X85/T85)</f>
        <v>3.5994528831617599E-2</v>
      </c>
    </row>
    <row r="86" spans="1:26" s="24" customFormat="1" hidden="1" outlineLevel="2" x14ac:dyDescent="0.25">
      <c r="A86" s="28"/>
      <c r="B86" s="11" t="str">
        <f>CONCATENATE("          ", "6279", " - ", "GENERAL EXPENSE")</f>
        <v xml:space="preserve">          6279 - GENERAL EXPENSE</v>
      </c>
      <c r="C86" s="11"/>
      <c r="D86" s="7"/>
      <c r="E86" s="2"/>
      <c r="F86" s="6">
        <f t="shared" si="44"/>
        <v>0</v>
      </c>
      <c r="G86" s="2"/>
      <c r="H86" s="7"/>
      <c r="I86" s="2"/>
      <c r="J86" s="6">
        <f t="shared" si="45"/>
        <v>0</v>
      </c>
      <c r="K86" s="2"/>
      <c r="L86" s="7">
        <f t="shared" si="46"/>
        <v>0</v>
      </c>
      <c r="M86" s="2"/>
      <c r="N86" s="6">
        <f t="shared" si="47"/>
        <v>0</v>
      </c>
      <c r="O86" s="11"/>
      <c r="P86" s="7">
        <v>719.55</v>
      </c>
      <c r="Q86" s="2"/>
      <c r="R86" s="6">
        <f t="shared" si="48"/>
        <v>3.3791177053463836E-2</v>
      </c>
      <c r="S86" s="2"/>
      <c r="T86" s="7">
        <v>694.55</v>
      </c>
      <c r="U86" s="2"/>
      <c r="V86" s="6">
        <f t="shared" si="49"/>
        <v>5.4109948798300262E-3</v>
      </c>
      <c r="W86" s="2"/>
      <c r="X86" s="7">
        <f t="shared" si="50"/>
        <v>25</v>
      </c>
      <c r="Y86" s="2"/>
      <c r="Z86" s="6">
        <f t="shared" si="51"/>
        <v>3.5994528831617599E-2</v>
      </c>
    </row>
    <row r="87" spans="1:26" s="27" customFormat="1" outlineLevel="1" collapsed="1" x14ac:dyDescent="0.25">
      <c r="A87" s="29"/>
      <c r="B87" s="14" t="str">
        <f>CONCATENATE("     ","Professional Services                             ")</f>
        <v xml:space="preserve">     Professional Services                             </v>
      </c>
      <c r="C87" s="14"/>
      <c r="D87" s="1">
        <f>SUM(OSRRefD22_6x_0)</f>
        <v>0</v>
      </c>
      <c r="E87" s="1"/>
      <c r="F87" s="5">
        <f t="shared" si="44"/>
        <v>0</v>
      </c>
      <c r="G87" s="1"/>
      <c r="H87" s="1">
        <f>SUM(OSRRefH22_6x_0)</f>
        <v>0</v>
      </c>
      <c r="I87" s="1"/>
      <c r="J87" s="5">
        <f t="shared" si="45"/>
        <v>0</v>
      </c>
      <c r="K87" s="1"/>
      <c r="L87" s="1">
        <f t="shared" si="46"/>
        <v>0</v>
      </c>
      <c r="M87" s="1"/>
      <c r="N87" s="5">
        <f t="shared" si="47"/>
        <v>0</v>
      </c>
      <c r="O87" s="14"/>
      <c r="P87" s="1">
        <f>SUM(OSRRefP22_6x_0)</f>
        <v>0</v>
      </c>
      <c r="Q87" s="1"/>
      <c r="R87" s="5">
        <f t="shared" si="48"/>
        <v>0</v>
      </c>
      <c r="S87" s="1"/>
      <c r="T87" s="1">
        <f>SUM(OSRRefT22_6x_0)</f>
        <v>750</v>
      </c>
      <c r="U87" s="1"/>
      <c r="V87" s="5">
        <f t="shared" si="49"/>
        <v>5.8429863362933123E-3</v>
      </c>
      <c r="W87" s="1"/>
      <c r="X87" s="1">
        <f t="shared" si="50"/>
        <v>-750</v>
      </c>
      <c r="Y87" s="1"/>
      <c r="Z87" s="5">
        <f t="shared" si="51"/>
        <v>-1</v>
      </c>
    </row>
    <row r="88" spans="1:26" s="24" customFormat="1" hidden="1" outlineLevel="2" x14ac:dyDescent="0.25">
      <c r="A88" s="28"/>
      <c r="B88" s="11" t="str">
        <f>CONCATENATE("          ", "6336", " - ", "PROFESSIONAL SERVICES")</f>
        <v xml:space="preserve">          6336 - PROFESSIONAL SERVICES</v>
      </c>
      <c r="C88" s="11"/>
      <c r="D88" s="7"/>
      <c r="E88" s="2"/>
      <c r="F88" s="6">
        <f t="shared" si="44"/>
        <v>0</v>
      </c>
      <c r="G88" s="2"/>
      <c r="H88" s="7"/>
      <c r="I88" s="2"/>
      <c r="J88" s="6">
        <f t="shared" si="45"/>
        <v>0</v>
      </c>
      <c r="K88" s="2"/>
      <c r="L88" s="7">
        <f t="shared" si="46"/>
        <v>0</v>
      </c>
      <c r="M88" s="2"/>
      <c r="N88" s="6">
        <f t="shared" si="47"/>
        <v>0</v>
      </c>
      <c r="O88" s="11"/>
      <c r="P88" s="7"/>
      <c r="Q88" s="2"/>
      <c r="R88" s="6">
        <f t="shared" si="48"/>
        <v>0</v>
      </c>
      <c r="S88" s="2"/>
      <c r="T88" s="7">
        <v>750</v>
      </c>
      <c r="U88" s="2"/>
      <c r="V88" s="6">
        <f t="shared" si="49"/>
        <v>5.8429863362933123E-3</v>
      </c>
      <c r="W88" s="2"/>
      <c r="X88" s="7">
        <f t="shared" si="50"/>
        <v>-750</v>
      </c>
      <c r="Y88" s="2"/>
      <c r="Z88" s="6">
        <f t="shared" si="51"/>
        <v>-1</v>
      </c>
    </row>
    <row r="89" spans="1:26" s="27" customFormat="1" outlineLevel="1" collapsed="1" x14ac:dyDescent="0.25">
      <c r="A89" s="29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SUM(OSRRefD22_7x_0)</f>
        <v>61.11</v>
      </c>
      <c r="E89" s="1"/>
      <c r="F89" s="5">
        <f t="shared" si="44"/>
        <v>6.8693177219629319E-3</v>
      </c>
      <c r="G89" s="1"/>
      <c r="H89" s="1">
        <f>SUM(OSRRefH22_7x_0)</f>
        <v>9.8000000000000007</v>
      </c>
      <c r="I89" s="1"/>
      <c r="J89" s="5">
        <f t="shared" si="45"/>
        <v>1.34849444723011E-4</v>
      </c>
      <c r="K89" s="1"/>
      <c r="L89" s="1">
        <f t="shared" si="46"/>
        <v>51.31</v>
      </c>
      <c r="M89" s="1"/>
      <c r="N89" s="5">
        <f t="shared" si="47"/>
        <v>5.2357142857142858</v>
      </c>
      <c r="O89" s="14"/>
      <c r="P89" s="1">
        <f>SUM(OSRRefP22_7x_0)</f>
        <v>139.71</v>
      </c>
      <c r="Q89" s="1"/>
      <c r="R89" s="5">
        <f t="shared" si="48"/>
        <v>6.5609969371682756E-3</v>
      </c>
      <c r="S89" s="1"/>
      <c r="T89" s="1">
        <f>SUM(OSRRefT22_7x_0)</f>
        <v>9.8000000000000007</v>
      </c>
      <c r="U89" s="1"/>
      <c r="V89" s="5">
        <f t="shared" si="49"/>
        <v>7.6348354794232616E-5</v>
      </c>
      <c r="W89" s="1"/>
      <c r="X89" s="1">
        <f t="shared" si="50"/>
        <v>129.91</v>
      </c>
      <c r="Y89" s="1"/>
      <c r="Z89" s="5">
        <f t="shared" si="51"/>
        <v>13.256122448979591</v>
      </c>
    </row>
    <row r="90" spans="1:26" s="24" customFormat="1" hidden="1" outlineLevel="2" x14ac:dyDescent="0.25">
      <c r="A90" s="28"/>
      <c r="B90" s="11" t="str">
        <f>CONCATENATE("          ", "6373", " - ", "MAINTENANCE CONTRACTS")</f>
        <v xml:space="preserve">          6373 - MAINTENANCE CONTRACTS</v>
      </c>
      <c r="C90" s="11"/>
      <c r="D90" s="7">
        <v>61.11</v>
      </c>
      <c r="E90" s="2"/>
      <c r="F90" s="6">
        <f t="shared" si="44"/>
        <v>6.8693177219629319E-3</v>
      </c>
      <c r="G90" s="2"/>
      <c r="H90" s="7"/>
      <c r="I90" s="2"/>
      <c r="J90" s="6">
        <f t="shared" si="45"/>
        <v>0</v>
      </c>
      <c r="K90" s="2"/>
      <c r="L90" s="7">
        <f t="shared" si="46"/>
        <v>61.11</v>
      </c>
      <c r="M90" s="2"/>
      <c r="N90" s="6">
        <f t="shared" si="47"/>
        <v>0</v>
      </c>
      <c r="O90" s="11"/>
      <c r="P90" s="7">
        <v>139.71</v>
      </c>
      <c r="Q90" s="2"/>
      <c r="R90" s="6">
        <f t="shared" si="48"/>
        <v>6.5609969371682756E-3</v>
      </c>
      <c r="S90" s="2"/>
      <c r="T90" s="7"/>
      <c r="U90" s="2"/>
      <c r="V90" s="6">
        <f t="shared" si="49"/>
        <v>0</v>
      </c>
      <c r="W90" s="2"/>
      <c r="X90" s="7">
        <f t="shared" si="50"/>
        <v>139.71</v>
      </c>
      <c r="Y90" s="2"/>
      <c r="Z90" s="6">
        <f t="shared" si="51"/>
        <v>0</v>
      </c>
    </row>
    <row r="91" spans="1:26" s="24" customFormat="1" hidden="1" outlineLevel="2" x14ac:dyDescent="0.25">
      <c r="A91" s="28"/>
      <c r="B91" s="11" t="str">
        <f>CONCATENATE("          ", "6375", " - ", "OUTSIDE REPAIRS &amp; MAINTENANCE")</f>
        <v xml:space="preserve">          6375 - OUTSIDE REPAIRS &amp; MAINTENANCE</v>
      </c>
      <c r="C91" s="11"/>
      <c r="D91" s="7"/>
      <c r="E91" s="2"/>
      <c r="F91" s="6">
        <f t="shared" si="44"/>
        <v>0</v>
      </c>
      <c r="G91" s="2"/>
      <c r="H91" s="7">
        <v>9.8000000000000007</v>
      </c>
      <c r="I91" s="2"/>
      <c r="J91" s="6">
        <f t="shared" si="45"/>
        <v>1.34849444723011E-4</v>
      </c>
      <c r="K91" s="2"/>
      <c r="L91" s="7">
        <f t="shared" si="46"/>
        <v>-9.8000000000000007</v>
      </c>
      <c r="M91" s="2"/>
      <c r="N91" s="6">
        <f t="shared" si="47"/>
        <v>-1</v>
      </c>
      <c r="O91" s="11"/>
      <c r="P91" s="7"/>
      <c r="Q91" s="2"/>
      <c r="R91" s="6">
        <f t="shared" si="48"/>
        <v>0</v>
      </c>
      <c r="S91" s="2"/>
      <c r="T91" s="7">
        <v>9.8000000000000007</v>
      </c>
      <c r="U91" s="2"/>
      <c r="V91" s="6">
        <f t="shared" si="49"/>
        <v>7.6348354794232616E-5</v>
      </c>
      <c r="W91" s="2"/>
      <c r="X91" s="7">
        <f t="shared" si="50"/>
        <v>-9.8000000000000007</v>
      </c>
      <c r="Y91" s="2"/>
      <c r="Z91" s="6">
        <f t="shared" si="51"/>
        <v>-1</v>
      </c>
    </row>
    <row r="92" spans="1:26" s="27" customFormat="1" outlineLevel="1" collapsed="1" x14ac:dyDescent="0.25">
      <c r="A92" s="29"/>
      <c r="B92" s="14" t="str">
        <f>CONCATENATE("     ","Services                                          ")</f>
        <v xml:space="preserve">     Services                                          </v>
      </c>
      <c r="C92" s="14"/>
      <c r="D92" s="1">
        <f>SUM(OSRRefD22_8x_0)</f>
        <v>44</v>
      </c>
      <c r="E92" s="1"/>
      <c r="F92" s="5">
        <f t="shared" ref="F92:F94" si="52">IF(D$12=0,0,D92/D$12)</f>
        <v>4.9459986870621668E-3</v>
      </c>
      <c r="G92" s="1"/>
      <c r="H92" s="1">
        <f>SUM(OSRRefH22_8x_0)</f>
        <v>233.11</v>
      </c>
      <c r="I92" s="1"/>
      <c r="J92" s="5">
        <f t="shared" ref="J92:J94" si="53">IF(H$12=0,0,H92/H$12)</f>
        <v>3.2076279652429687E-3</v>
      </c>
      <c r="K92" s="1"/>
      <c r="L92" s="1">
        <f t="shared" ref="L92:L94" si="54">+D92-H92</f>
        <v>-189.11</v>
      </c>
      <c r="M92" s="1"/>
      <c r="N92" s="5">
        <f t="shared" ref="N92:N94" si="55">IF(H92=0,0,L92/H92)</f>
        <v>-0.81124790871262498</v>
      </c>
      <c r="O92" s="14"/>
      <c r="P92" s="1">
        <f>SUM(OSRRefP22_8x_0)</f>
        <v>-25.5</v>
      </c>
      <c r="Q92" s="1"/>
      <c r="R92" s="5">
        <f t="shared" ref="R92:R94" si="56">IF(P$12=0,0,P92/P$12)</f>
        <v>-1.1975193035415577E-3</v>
      </c>
      <c r="S92" s="1"/>
      <c r="T92" s="1">
        <f>SUM(OSRRefT22_8x_0)</f>
        <v>695.96</v>
      </c>
      <c r="U92" s="1"/>
      <c r="V92" s="5">
        <f t="shared" ref="V92:V94" si="57">IF(T$12=0,0,T92/T$12)</f>
        <v>5.4219796941422579E-3</v>
      </c>
      <c r="W92" s="1"/>
      <c r="X92" s="1">
        <f t="shared" ref="X92:X94" si="58">+P92-T92</f>
        <v>-721.46</v>
      </c>
      <c r="Y92" s="1"/>
      <c r="Z92" s="5">
        <f t="shared" ref="Z92:Z94" si="59">IF(T92=0,0,X92/T92)</f>
        <v>-1.0366400367837232</v>
      </c>
    </row>
    <row r="93" spans="1:26" s="24" customFormat="1" hidden="1" outlineLevel="2" x14ac:dyDescent="0.25">
      <c r="A93" s="28"/>
      <c r="B93" s="11" t="str">
        <f>CONCATENATE("          ", "6282", " - ", "JANITORIAL/EXTERMINATOR EXPENS")</f>
        <v xml:space="preserve">          6282 - JANITORIAL/EXTERMINATOR EXPENS</v>
      </c>
      <c r="C93" s="11"/>
      <c r="D93" s="7">
        <v>44</v>
      </c>
      <c r="E93" s="2"/>
      <c r="F93" s="6">
        <f t="shared" si="52"/>
        <v>4.9459986870621668E-3</v>
      </c>
      <c r="G93" s="2"/>
      <c r="H93" s="7">
        <v>44</v>
      </c>
      <c r="I93" s="2"/>
      <c r="J93" s="6">
        <f t="shared" si="53"/>
        <v>6.0544648651147785E-4</v>
      </c>
      <c r="K93" s="2"/>
      <c r="L93" s="7">
        <f t="shared" si="54"/>
        <v>0</v>
      </c>
      <c r="M93" s="2"/>
      <c r="N93" s="6">
        <f t="shared" si="55"/>
        <v>0</v>
      </c>
      <c r="O93" s="11"/>
      <c r="P93" s="7">
        <v>132</v>
      </c>
      <c r="Q93" s="2"/>
      <c r="R93" s="6">
        <f t="shared" si="56"/>
        <v>6.1989234536268863E-3</v>
      </c>
      <c r="S93" s="2"/>
      <c r="T93" s="7">
        <v>132</v>
      </c>
      <c r="U93" s="2"/>
      <c r="V93" s="6">
        <f t="shared" si="57"/>
        <v>1.028365595187623E-3</v>
      </c>
      <c r="W93" s="2"/>
      <c r="X93" s="7">
        <f t="shared" si="58"/>
        <v>0</v>
      </c>
      <c r="Y93" s="2"/>
      <c r="Z93" s="6">
        <f t="shared" si="59"/>
        <v>0</v>
      </c>
    </row>
    <row r="94" spans="1:26" s="24" customFormat="1" hidden="1" outlineLevel="2" x14ac:dyDescent="0.25">
      <c r="A94" s="28"/>
      <c r="B94" s="11" t="str">
        <f>CONCATENATE("          ", "6285", " - ", "JANITORIAL SERVICES")</f>
        <v xml:space="preserve">          6285 - JANITORIAL SERVICES</v>
      </c>
      <c r="C94" s="11"/>
      <c r="D94" s="7"/>
      <c r="E94" s="2"/>
      <c r="F94" s="6">
        <f t="shared" si="52"/>
        <v>0</v>
      </c>
      <c r="G94" s="2"/>
      <c r="H94" s="7">
        <v>189.11</v>
      </c>
      <c r="I94" s="2"/>
      <c r="J94" s="6">
        <f t="shared" si="53"/>
        <v>2.6021814787314909E-3</v>
      </c>
      <c r="K94" s="2"/>
      <c r="L94" s="7">
        <f t="shared" si="54"/>
        <v>-189.11</v>
      </c>
      <c r="M94" s="2"/>
      <c r="N94" s="6">
        <f t="shared" si="55"/>
        <v>-1</v>
      </c>
      <c r="O94" s="11"/>
      <c r="P94" s="7">
        <v>-157.5</v>
      </c>
      <c r="Q94" s="2"/>
      <c r="R94" s="6">
        <f t="shared" si="56"/>
        <v>-7.3964427571684447E-3</v>
      </c>
      <c r="S94" s="2"/>
      <c r="T94" s="7">
        <v>563.96</v>
      </c>
      <c r="U94" s="2"/>
      <c r="V94" s="6">
        <f t="shared" si="57"/>
        <v>4.393614098954635E-3</v>
      </c>
      <c r="W94" s="2"/>
      <c r="X94" s="7">
        <f t="shared" si="58"/>
        <v>-721.46</v>
      </c>
      <c r="Y94" s="2"/>
      <c r="Z94" s="6">
        <f t="shared" si="59"/>
        <v>-1.2792751258954536</v>
      </c>
    </row>
    <row r="95" spans="1:26" s="27" customFormat="1" outlineLevel="1" collapsed="1" x14ac:dyDescent="0.25">
      <c r="A95" s="29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SUM(OSRRefD22_9x_0)</f>
        <v>418.01</v>
      </c>
      <c r="E95" s="1"/>
      <c r="F95" s="5">
        <f t="shared" ref="F95:F98" si="60">IF(D$12=0,0,D95/D$12)</f>
        <v>4.6988111617701278E-2</v>
      </c>
      <c r="G95" s="1"/>
      <c r="H95" s="1">
        <f>SUM(OSRRefH22_9x_0)</f>
        <v>358.54</v>
      </c>
      <c r="I95" s="1"/>
      <c r="J95" s="5">
        <f t="shared" ref="J95:J98" si="61">IF(H$12=0,0,H95/H$12)</f>
        <v>4.9335632562233023E-3</v>
      </c>
      <c r="K95" s="1"/>
      <c r="L95" s="1">
        <f t="shared" ref="L95:L98" si="62">+D95-H95</f>
        <v>59.46999999999997</v>
      </c>
      <c r="M95" s="1"/>
      <c r="N95" s="5">
        <f t="shared" ref="N95:N98" si="63">IF(H95=0,0,L95/H95)</f>
        <v>0.16586712779606172</v>
      </c>
      <c r="O95" s="14"/>
      <c r="P95" s="1">
        <f>SUM(OSRRefP22_9x_0)</f>
        <v>1347.67</v>
      </c>
      <c r="Q95" s="1"/>
      <c r="R95" s="5">
        <f t="shared" ref="R95:R98" si="64">IF(P$12=0,0,P95/P$12)</f>
        <v>6.3288660384464748E-2</v>
      </c>
      <c r="S95" s="1"/>
      <c r="T95" s="1">
        <f>SUM(OSRRefT22_9x_0)</f>
        <v>373.63</v>
      </c>
      <c r="U95" s="1"/>
      <c r="V95" s="5">
        <f t="shared" ref="V95:V98" si="65">IF(T$12=0,0,T95/T$12)</f>
        <v>2.9108199797723603E-3</v>
      </c>
      <c r="W95" s="1"/>
      <c r="X95" s="1">
        <f t="shared" ref="X95:X98" si="66">+P95-T95</f>
        <v>974.04000000000008</v>
      </c>
      <c r="Y95" s="1"/>
      <c r="Z95" s="5">
        <f t="shared" ref="Z95:Z98" si="67">IF(T95=0,0,X95/T95)</f>
        <v>2.6069641088777669</v>
      </c>
    </row>
    <row r="96" spans="1:26" s="24" customFormat="1" hidden="1" outlineLevel="2" x14ac:dyDescent="0.25">
      <c r="A96" s="28"/>
      <c r="B96" s="11" t="str">
        <f>CONCATENATE("          ", "6235", " - ", "COVID-19 EXPENSES")</f>
        <v xml:space="preserve">          6235 - COVID-19 EXPENSES</v>
      </c>
      <c r="C96" s="11"/>
      <c r="D96" s="7"/>
      <c r="E96" s="2"/>
      <c r="F96" s="6">
        <f t="shared" si="60"/>
        <v>0</v>
      </c>
      <c r="G96" s="2"/>
      <c r="H96" s="7"/>
      <c r="I96" s="2"/>
      <c r="J96" s="6">
        <f t="shared" si="61"/>
        <v>0</v>
      </c>
      <c r="K96" s="2"/>
      <c r="L96" s="7">
        <f t="shared" si="62"/>
        <v>0</v>
      </c>
      <c r="M96" s="2"/>
      <c r="N96" s="6">
        <f t="shared" si="63"/>
        <v>0</v>
      </c>
      <c r="O96" s="11"/>
      <c r="P96" s="7">
        <v>444.3</v>
      </c>
      <c r="Q96" s="2"/>
      <c r="R96" s="6">
        <f t="shared" si="64"/>
        <v>2.0865012806412318E-2</v>
      </c>
      <c r="S96" s="2"/>
      <c r="T96" s="7"/>
      <c r="U96" s="2"/>
      <c r="V96" s="6">
        <f t="shared" si="65"/>
        <v>0</v>
      </c>
      <c r="W96" s="2"/>
      <c r="X96" s="7">
        <f t="shared" si="66"/>
        <v>444.3</v>
      </c>
      <c r="Y96" s="2"/>
      <c r="Z96" s="6">
        <f t="shared" si="67"/>
        <v>0</v>
      </c>
    </row>
    <row r="97" spans="1:26" s="24" customFormat="1" hidden="1" outlineLevel="2" x14ac:dyDescent="0.25">
      <c r="A97" s="28"/>
      <c r="B97" s="11" t="str">
        <f>CONCATENATE("          ", "6241", " - ", "OFFICE EXPENSE")</f>
        <v xml:space="preserve">          6241 - OFFICE EXPENSE</v>
      </c>
      <c r="C97" s="11"/>
      <c r="D97" s="7"/>
      <c r="E97" s="2"/>
      <c r="F97" s="6">
        <f t="shared" si="60"/>
        <v>0</v>
      </c>
      <c r="G97" s="2"/>
      <c r="H97" s="7">
        <v>358.54</v>
      </c>
      <c r="I97" s="2"/>
      <c r="J97" s="6">
        <f t="shared" si="61"/>
        <v>4.9335632562233023E-3</v>
      </c>
      <c r="K97" s="2"/>
      <c r="L97" s="7">
        <f t="shared" si="62"/>
        <v>-358.54</v>
      </c>
      <c r="M97" s="2"/>
      <c r="N97" s="6">
        <f t="shared" si="63"/>
        <v>-1</v>
      </c>
      <c r="O97" s="11"/>
      <c r="P97" s="7">
        <v>225.24</v>
      </c>
      <c r="Q97" s="2"/>
      <c r="R97" s="6">
        <f t="shared" si="64"/>
        <v>1.0577617565870607E-2</v>
      </c>
      <c r="S97" s="2"/>
      <c r="T97" s="7">
        <v>373.63</v>
      </c>
      <c r="U97" s="2"/>
      <c r="V97" s="6">
        <f t="shared" si="65"/>
        <v>2.9108199797723603E-3</v>
      </c>
      <c r="W97" s="2"/>
      <c r="X97" s="7">
        <f t="shared" si="66"/>
        <v>-148.38999999999999</v>
      </c>
      <c r="Y97" s="2"/>
      <c r="Z97" s="6">
        <f t="shared" si="67"/>
        <v>-0.39715761582314052</v>
      </c>
    </row>
    <row r="98" spans="1:26" s="24" customFormat="1" hidden="1" outlineLevel="2" x14ac:dyDescent="0.25">
      <c r="A98" s="28"/>
      <c r="B98" s="11" t="str">
        <f>CONCATENATE("          ", "6247", " - ", "STORE SUPPLIES")</f>
        <v xml:space="preserve">          6247 - STORE SUPPLIES</v>
      </c>
      <c r="C98" s="11"/>
      <c r="D98" s="7">
        <v>418.01</v>
      </c>
      <c r="E98" s="2"/>
      <c r="F98" s="6">
        <f t="shared" si="60"/>
        <v>4.6988111617701278E-2</v>
      </c>
      <c r="G98" s="2"/>
      <c r="H98" s="7"/>
      <c r="I98" s="2"/>
      <c r="J98" s="6">
        <f t="shared" si="61"/>
        <v>0</v>
      </c>
      <c r="K98" s="2"/>
      <c r="L98" s="7">
        <f t="shared" si="62"/>
        <v>418.01</v>
      </c>
      <c r="M98" s="2"/>
      <c r="N98" s="6">
        <f t="shared" si="63"/>
        <v>0</v>
      </c>
      <c r="O98" s="11"/>
      <c r="P98" s="7">
        <v>678.13</v>
      </c>
      <c r="Q98" s="2"/>
      <c r="R98" s="6">
        <f t="shared" si="64"/>
        <v>3.1846030012181822E-2</v>
      </c>
      <c r="S98" s="2"/>
      <c r="T98" s="7"/>
      <c r="U98" s="2"/>
      <c r="V98" s="6">
        <f t="shared" si="65"/>
        <v>0</v>
      </c>
      <c r="W98" s="2"/>
      <c r="X98" s="7">
        <f t="shared" si="66"/>
        <v>678.13</v>
      </c>
      <c r="Y98" s="2"/>
      <c r="Z98" s="6">
        <f t="shared" si="67"/>
        <v>0</v>
      </c>
    </row>
    <row r="99" spans="1:26" s="27" customFormat="1" outlineLevel="1" collapsed="1" x14ac:dyDescent="0.25">
      <c r="A99" s="29"/>
      <c r="B99" s="14" t="str">
        <f>CONCATENATE("     ","Telephone/Data Lines                              ")</f>
        <v xml:space="preserve">     Telephone/Data Lines                              </v>
      </c>
      <c r="C99" s="14"/>
      <c r="D99" s="1">
        <f>SUM(OSRRefD22_10x_0)</f>
        <v>100</v>
      </c>
      <c r="E99" s="1"/>
      <c r="F99" s="5">
        <f t="shared" ref="F99:F100" si="68">IF(D$12=0,0,D99/D$12)</f>
        <v>1.1240906106959469E-2</v>
      </c>
      <c r="G99" s="1"/>
      <c r="H99" s="1">
        <f>SUM(OSRRefH22_10x_0)</f>
        <v>125</v>
      </c>
      <c r="I99" s="1"/>
      <c r="J99" s="5">
        <f t="shared" ref="J99:J100" si="69">IF(H$12=0,0,H99/H$12)</f>
        <v>1.7200184275894259E-3</v>
      </c>
      <c r="K99" s="1"/>
      <c r="L99" s="1">
        <f t="shared" ref="L99:L100" si="70">+D99-H99</f>
        <v>-25</v>
      </c>
      <c r="M99" s="1"/>
      <c r="N99" s="5">
        <f t="shared" ref="N99:N100" si="71">IF(H99=0,0,L99/H99)</f>
        <v>-0.2</v>
      </c>
      <c r="O99" s="14"/>
      <c r="P99" s="1">
        <f>SUM(OSRRefP22_10x_0)</f>
        <v>206</v>
      </c>
      <c r="Q99" s="1"/>
      <c r="R99" s="5">
        <f t="shared" ref="R99:R100" si="72">IF(P$12=0,0,P99/P$12)</f>
        <v>9.6740775109631708E-3</v>
      </c>
      <c r="S99" s="1"/>
      <c r="T99" s="1">
        <f>SUM(OSRRefT22_10x_0)</f>
        <v>302.5</v>
      </c>
      <c r="U99" s="1"/>
      <c r="V99" s="5">
        <f t="shared" ref="V99:V100" si="73">IF(T$12=0,0,T99/T$12)</f>
        <v>2.3566711556383024E-3</v>
      </c>
      <c r="W99" s="1"/>
      <c r="X99" s="1">
        <f t="shared" ref="X99:X100" si="74">+P99-T99</f>
        <v>-96.5</v>
      </c>
      <c r="Y99" s="1"/>
      <c r="Z99" s="5">
        <f t="shared" ref="Z99:Z100" si="75">IF(T99=0,0,X99/T99)</f>
        <v>-0.31900826446280994</v>
      </c>
    </row>
    <row r="100" spans="1:26" s="24" customFormat="1" hidden="1" outlineLevel="2" x14ac:dyDescent="0.25">
      <c r="A100" s="28"/>
      <c r="B100" s="11" t="str">
        <f>CONCATENATE("          ", "6309", " - ", "TELEPHONE")</f>
        <v xml:space="preserve">          6309 - TELEPHONE</v>
      </c>
      <c r="C100" s="11"/>
      <c r="D100" s="7">
        <v>100</v>
      </c>
      <c r="E100" s="2"/>
      <c r="F100" s="6">
        <f t="shared" si="68"/>
        <v>1.1240906106959469E-2</v>
      </c>
      <c r="G100" s="2"/>
      <c r="H100" s="7">
        <v>125</v>
      </c>
      <c r="I100" s="2"/>
      <c r="J100" s="6">
        <f t="shared" si="69"/>
        <v>1.7200184275894259E-3</v>
      </c>
      <c r="K100" s="2"/>
      <c r="L100" s="7">
        <f t="shared" si="70"/>
        <v>-25</v>
      </c>
      <c r="M100" s="2"/>
      <c r="N100" s="6">
        <f t="shared" si="71"/>
        <v>-0.2</v>
      </c>
      <c r="O100" s="11"/>
      <c r="P100" s="7">
        <v>206</v>
      </c>
      <c r="Q100" s="2"/>
      <c r="R100" s="6">
        <f t="shared" si="72"/>
        <v>9.6740775109631708E-3</v>
      </c>
      <c r="S100" s="2"/>
      <c r="T100" s="7">
        <v>302.5</v>
      </c>
      <c r="U100" s="2"/>
      <c r="V100" s="6">
        <f t="shared" si="73"/>
        <v>2.3566711556383024E-3</v>
      </c>
      <c r="W100" s="2"/>
      <c r="X100" s="7">
        <f t="shared" si="74"/>
        <v>-96.5</v>
      </c>
      <c r="Y100" s="2"/>
      <c r="Z100" s="6">
        <f t="shared" si="75"/>
        <v>-0.31900826446280994</v>
      </c>
    </row>
    <row r="101" spans="1:26" s="60" customFormat="1" x14ac:dyDescent="0.25">
      <c r="A101" s="37"/>
      <c r="B101" s="37"/>
      <c r="C101" s="37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7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x14ac:dyDescent="0.25">
      <c r="A102" s="10"/>
      <c r="B102" s="26" t="s">
        <v>0</v>
      </c>
      <c r="C102" s="10"/>
      <c r="D102" s="4">
        <f>SUM(0)</f>
        <v>0</v>
      </c>
      <c r="E102" s="4"/>
      <c r="F102" s="12">
        <f>IF(D$12=0,0,D102/D$12)</f>
        <v>0</v>
      </c>
      <c r="G102" s="4"/>
      <c r="H102" s="4">
        <f>SUM(0)</f>
        <v>0</v>
      </c>
      <c r="I102" s="4"/>
      <c r="J102" s="12">
        <f>IF(H$12=0,0,H102/H$12)</f>
        <v>0</v>
      </c>
      <c r="K102" s="4"/>
      <c r="L102" s="4">
        <f>+D102-H102</f>
        <v>0</v>
      </c>
      <c r="M102" s="4"/>
      <c r="N102" s="12">
        <f>IF(H102=0,0,L102/H102)</f>
        <v>0</v>
      </c>
      <c r="O102" s="10"/>
      <c r="P102" s="4">
        <f>SUM(0)</f>
        <v>0</v>
      </c>
      <c r="Q102" s="4"/>
      <c r="R102" s="12">
        <f>IF(P$12=0,0,P102/P$12)</f>
        <v>0</v>
      </c>
      <c r="S102" s="4"/>
      <c r="T102" s="4">
        <f>SUM(0)</f>
        <v>0</v>
      </c>
      <c r="U102" s="4"/>
      <c r="V102" s="12">
        <f>IF(T$12=0,0,T102/T$12)</f>
        <v>0</v>
      </c>
      <c r="W102" s="4"/>
      <c r="X102" s="4">
        <f>+P102-T102</f>
        <v>0</v>
      </c>
      <c r="Y102" s="4"/>
      <c r="Z102" s="12">
        <f>IF(T102=0,0,X102/T102)</f>
        <v>0</v>
      </c>
    </row>
    <row r="103" spans="1:26" x14ac:dyDescent="0.25">
      <c r="A103" s="9"/>
      <c r="B103" s="10"/>
      <c r="C103" s="10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O103" s="10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10"/>
      <c r="B104" s="25" t="s">
        <v>3</v>
      </c>
      <c r="C104" s="25"/>
      <c r="D104" s="22">
        <f>+D61-D63+D102</f>
        <v>147.47999999999956</v>
      </c>
      <c r="E104" s="13"/>
      <c r="F104" s="21">
        <f>IF(D$12=0,0,D104/D$12)</f>
        <v>1.6578088326543776E-2</v>
      </c>
      <c r="G104" s="13"/>
      <c r="H104" s="22">
        <f>+H61-H63+H102</f>
        <v>23483.049999999996</v>
      </c>
      <c r="I104" s="13"/>
      <c r="J104" s="21">
        <f>IF(H$12=0,0,H104/H$12)</f>
        <v>0.32313022988803086</v>
      </c>
      <c r="K104" s="15"/>
      <c r="L104" s="22">
        <f>+D104-H104</f>
        <v>-23335.569999999996</v>
      </c>
      <c r="M104" s="15"/>
      <c r="N104" s="21">
        <f>IF(H104=0,0,L104/H104)</f>
        <v>-0.99371972550414023</v>
      </c>
      <c r="O104" s="26"/>
      <c r="P104" s="22">
        <f>+P61-P63+P102</f>
        <v>-3082.6999999999953</v>
      </c>
      <c r="Q104" s="13"/>
      <c r="R104" s="21">
        <f>IF(P$12=0,0,P104/P$12)</f>
        <v>-0.14476834341284525</v>
      </c>
      <c r="S104" s="13"/>
      <c r="T104" s="22">
        <f>+T61-T63+T102</f>
        <v>30313.299999999992</v>
      </c>
      <c r="U104" s="13"/>
      <c r="V104" s="21">
        <f>IF(T$12=0,0,T104/T$12)</f>
        <v>0.23616026361061335</v>
      </c>
      <c r="W104" s="15"/>
      <c r="X104" s="22">
        <f>+P104-T104</f>
        <v>-33395.999999999985</v>
      </c>
      <c r="Y104" s="15"/>
      <c r="Z104" s="21">
        <f>IF(T104=0,0,X104/T104)</f>
        <v>-1.1016946356879651</v>
      </c>
    </row>
    <row r="105" spans="1:26" x14ac:dyDescent="0.25">
      <c r="A105" s="9"/>
      <c r="B105" s="10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51"/>
      <c r="B106" s="10" t="s">
        <v>13</v>
      </c>
      <c r="C106" s="10"/>
      <c r="D106" s="4">
        <v>1851.59</v>
      </c>
      <c r="E106" s="4"/>
      <c r="F106" s="12">
        <f>IF(D$12=0,0,D106/D$12)</f>
        <v>0.20813549338585083</v>
      </c>
      <c r="G106" s="4"/>
      <c r="H106" s="4">
        <v>6844.51</v>
      </c>
      <c r="I106" s="4"/>
      <c r="J106" s="12">
        <f>IF(H$12=0,0,H106/H$12)</f>
        <v>9.4181466622560814E-2</v>
      </c>
      <c r="K106" s="4"/>
      <c r="L106" s="4">
        <f>+D106-H106</f>
        <v>-4992.92</v>
      </c>
      <c r="M106" s="4"/>
      <c r="N106" s="12">
        <f>IF(H106=0,0,L106/H106)</f>
        <v>-0.72947807805087583</v>
      </c>
      <c r="O106" s="10"/>
      <c r="P106" s="4">
        <v>3944.82</v>
      </c>
      <c r="Q106" s="4"/>
      <c r="R106" s="12">
        <f>IF(P$12=0,0,P106/P$12)</f>
        <v>0.18525482741163951</v>
      </c>
      <c r="S106" s="4"/>
      <c r="T106" s="4">
        <v>13787.46</v>
      </c>
      <c r="U106" s="4"/>
      <c r="V106" s="12">
        <f>IF(T$12=0,0,T106/T$12)</f>
        <v>0.10741325385625411</v>
      </c>
      <c r="W106" s="4"/>
      <c r="X106" s="4">
        <f>+P106-T106</f>
        <v>-9842.64</v>
      </c>
      <c r="Y106" s="4"/>
      <c r="Z106" s="12">
        <f>IF(T106=0,0,X106/T106)</f>
        <v>-0.7138834854280629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5" t="s">
        <v>4</v>
      </c>
      <c r="C108" s="25"/>
      <c r="D108" s="33">
        <f>+D104-D106</f>
        <v>-1704.1100000000004</v>
      </c>
      <c r="E108" s="13"/>
      <c r="F108" s="32">
        <f>IF(D$12=0,0,D108/D$12)</f>
        <v>-0.19155740505930707</v>
      </c>
      <c r="G108" s="13"/>
      <c r="H108" s="33">
        <f>+H104-H106</f>
        <v>16638.539999999994</v>
      </c>
      <c r="I108" s="13"/>
      <c r="J108" s="32">
        <f>IF(H$12=0,0,H108/H$12)</f>
        <v>0.22894876326547003</v>
      </c>
      <c r="K108" s="15"/>
      <c r="L108" s="33">
        <f>D108-H108</f>
        <v>-18342.649999999994</v>
      </c>
      <c r="M108" s="15"/>
      <c r="N108" s="32">
        <f>IF(H108=0,0,L108/H108)</f>
        <v>-1.1024194430520948</v>
      </c>
      <c r="O108" s="26"/>
      <c r="P108" s="33">
        <f>+P104-P106</f>
        <v>-7027.519999999995</v>
      </c>
      <c r="Q108" s="13"/>
      <c r="R108" s="32">
        <f>IF(P$12=0,0,P108/P$12)</f>
        <v>-0.33002317082448474</v>
      </c>
      <c r="S108" s="13"/>
      <c r="T108" s="33">
        <f>+T104-T106</f>
        <v>16525.839999999993</v>
      </c>
      <c r="U108" s="13"/>
      <c r="V108" s="32">
        <f>IF(T$12=0,0,T108/T$12)</f>
        <v>0.12874700975435924</v>
      </c>
      <c r="W108" s="15"/>
      <c r="X108" s="33">
        <f>P108-T108</f>
        <v>-23553.359999999986</v>
      </c>
      <c r="Y108" s="15"/>
      <c r="Z108" s="32">
        <f>IF(T108=0,0,X108/T108)</f>
        <v>-1.4252443446142524</v>
      </c>
    </row>
    <row r="109" spans="1:26" ht="15.75" thickTop="1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5" t="s">
        <v>5</v>
      </c>
      <c r="C111" s="25"/>
      <c r="D111" s="34">
        <f>SUM(D108:D110)</f>
        <v>-1704.1100000000004</v>
      </c>
      <c r="E111" s="13"/>
      <c r="F111" s="31">
        <f>IF(D$12=0,0,D111/D$12)</f>
        <v>-0.19155740505930707</v>
      </c>
      <c r="G111" s="13"/>
      <c r="H111" s="34">
        <f>SUM(H108:H110)</f>
        <v>16638.539999999994</v>
      </c>
      <c r="I111" s="13"/>
      <c r="J111" s="31">
        <f>IF(H$12=0,0,H111/H$12)</f>
        <v>0.22894876326547003</v>
      </c>
      <c r="K111" s="15"/>
      <c r="L111" s="34">
        <f>+D111-H111</f>
        <v>-18342.649999999994</v>
      </c>
      <c r="M111" s="15"/>
      <c r="N111" s="31">
        <f>IF(H111=0,0,L111/H111)</f>
        <v>-1.1024194430520948</v>
      </c>
      <c r="O111" s="26"/>
      <c r="P111" s="34">
        <f>SUM(P108:P110)</f>
        <v>-7027.519999999995</v>
      </c>
      <c r="Q111" s="13"/>
      <c r="R111" s="31">
        <f>IF(P$12=0,0,P111/P$12)</f>
        <v>-0.33002317082448474</v>
      </c>
      <c r="S111" s="13"/>
      <c r="T111" s="34">
        <f>SUM(T108:T110)</f>
        <v>16525.839999999993</v>
      </c>
      <c r="U111" s="13"/>
      <c r="V111" s="31">
        <f>IF(T$12=0,0,T111/T$12)</f>
        <v>0.12874700975435924</v>
      </c>
      <c r="W111" s="15"/>
      <c r="X111" s="34">
        <f>+P111-T111</f>
        <v>-23553.359999999986</v>
      </c>
      <c r="Y111" s="15"/>
      <c r="Z111" s="31">
        <f>IF(T111=0,0,X111/T111)</f>
        <v>-1.4252443446142524</v>
      </c>
    </row>
    <row r="112" spans="1:26" ht="15.75" thickTop="1" x14ac:dyDescent="0.25">
      <c r="A112" s="9"/>
      <c r="C112" s="9"/>
      <c r="D112" s="18"/>
      <c r="E112" s="18"/>
      <c r="G112" s="18"/>
      <c r="H112" s="18"/>
      <c r="I112" s="18"/>
      <c r="J112" s="42"/>
      <c r="K112" s="18"/>
      <c r="L112" s="18"/>
      <c r="M112" s="18"/>
      <c r="P112" s="18"/>
      <c r="Q112" s="18"/>
      <c r="R112" s="42"/>
      <c r="S112" s="18"/>
      <c r="T112" s="18"/>
      <c r="U112" s="18"/>
      <c r="V112" s="42"/>
      <c r="W112" s="18"/>
      <c r="X112" s="18"/>
    </row>
    <row r="113" spans="1:24" x14ac:dyDescent="0.25">
      <c r="A113" s="9"/>
      <c r="B113" s="54">
        <v>44123.565185613428</v>
      </c>
      <c r="D113" s="18"/>
      <c r="E113" s="18"/>
      <c r="G113" s="18"/>
      <c r="H113" s="18"/>
      <c r="I113" s="18"/>
      <c r="J113" s="42"/>
      <c r="K113" s="18"/>
      <c r="L113" s="18"/>
      <c r="M113" s="18"/>
      <c r="P113" s="18"/>
      <c r="Q113" s="18"/>
      <c r="R113" s="42"/>
      <c r="S113" s="18"/>
      <c r="T113" s="18"/>
      <c r="U113" s="18"/>
      <c r="V113" s="42"/>
      <c r="W113" s="18"/>
      <c r="X113" s="18"/>
    </row>
    <row r="114" spans="1:24" x14ac:dyDescent="0.25">
      <c r="A114" s="9"/>
      <c r="B114" s="59" t="s">
        <v>313</v>
      </c>
      <c r="D114" s="18"/>
      <c r="E114" s="18"/>
      <c r="G114" s="18"/>
      <c r="H114" s="18"/>
      <c r="I114" s="18"/>
      <c r="J114" s="42"/>
      <c r="K114" s="18"/>
      <c r="L114" s="18"/>
      <c r="M114" s="18"/>
      <c r="P114" s="18"/>
      <c r="Q114" s="18"/>
      <c r="R114" s="42"/>
      <c r="S114" s="18"/>
      <c r="T114" s="18"/>
      <c r="U114" s="18"/>
      <c r="V114" s="42"/>
      <c r="W114" s="18"/>
      <c r="X114" s="18"/>
    </row>
    <row r="115" spans="1:24" x14ac:dyDescent="0.25">
      <c r="A115" s="9"/>
      <c r="B115" s="58"/>
      <c r="D115" s="18"/>
      <c r="E115" s="18"/>
      <c r="G115" s="18"/>
      <c r="H115" s="18"/>
      <c r="I115" s="18"/>
      <c r="J115" s="42"/>
      <c r="K115" s="18"/>
      <c r="L115" s="18"/>
      <c r="M115" s="18"/>
      <c r="P115" s="18"/>
      <c r="Q115" s="18"/>
      <c r="R115" s="42"/>
      <c r="S115" s="18"/>
      <c r="T115" s="18"/>
      <c r="U115" s="18"/>
      <c r="V115" s="42"/>
      <c r="W115" s="18"/>
      <c r="X115" s="18"/>
    </row>
    <row r="116" spans="1:24" x14ac:dyDescent="0.25">
      <c r="D116" s="18"/>
      <c r="E116" s="18"/>
      <c r="G116" s="18"/>
      <c r="H116" s="18"/>
      <c r="I116" s="18"/>
      <c r="J116" s="42"/>
      <c r="K116" s="18"/>
      <c r="L116" s="18"/>
      <c r="M116" s="18"/>
      <c r="P116" s="18"/>
      <c r="Q116" s="18"/>
      <c r="R116" s="42"/>
      <c r="S116" s="18"/>
      <c r="T116" s="18"/>
      <c r="U116" s="18"/>
      <c r="V116" s="42"/>
      <c r="W116" s="18"/>
      <c r="X116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","314", " - ", "Tech/Supplies")</f>
        <v>Department 314 - Tech/Supplies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65954.300000000017</v>
      </c>
      <c r="I12" s="4"/>
      <c r="J12" s="12"/>
      <c r="K12" s="4"/>
      <c r="L12" s="4">
        <f t="shared" ref="L12:L31" si="0">+D12-H12</f>
        <v>-65954.300000000017</v>
      </c>
      <c r="M12" s="4"/>
      <c r="N12" s="12">
        <f t="shared" ref="N12:N31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162369.93000000005</v>
      </c>
      <c r="U12" s="4"/>
      <c r="V12" s="12"/>
      <c r="W12" s="4"/>
      <c r="X12" s="4">
        <f t="shared" ref="X12:X31" si="2">+P12-T12</f>
        <v>-162369.93000000005</v>
      </c>
      <c r="Y12" s="4"/>
      <c r="Z12" s="12">
        <f t="shared" ref="Z12:Z31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1" si="4">0</f>
        <v>0</v>
      </c>
      <c r="E13" s="2"/>
      <c r="F13" s="19"/>
      <c r="G13" s="2"/>
      <c r="H13" s="2">
        <f>--48.92</f>
        <v>48.92</v>
      </c>
      <c r="I13" s="2"/>
      <c r="J13" s="19"/>
      <c r="K13" s="2"/>
      <c r="L13" s="2">
        <f t="shared" si="0"/>
        <v>-48.92</v>
      </c>
      <c r="M13" s="2"/>
      <c r="N13" s="19">
        <f t="shared" si="1"/>
        <v>-1</v>
      </c>
      <c r="O13" s="11"/>
      <c r="P13" s="2">
        <f t="shared" ref="P13:P31" si="5">0</f>
        <v>0</v>
      </c>
      <c r="Q13" s="2"/>
      <c r="R13" s="19"/>
      <c r="S13" s="2"/>
      <c r="T13" s="2">
        <f>--206.22</f>
        <v>206.22</v>
      </c>
      <c r="U13" s="2"/>
      <c r="V13" s="19"/>
      <c r="W13" s="2"/>
      <c r="X13" s="2">
        <f t="shared" si="2"/>
        <v>-206.22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--14.95</f>
        <v>14.95</v>
      </c>
      <c r="U14" s="2"/>
      <c r="V14" s="19"/>
      <c r="W14" s="2"/>
      <c r="X14" s="2">
        <f t="shared" si="2"/>
        <v>-14.95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--11441.5</f>
        <v>11441.5</v>
      </c>
      <c r="I15" s="2"/>
      <c r="J15" s="19"/>
      <c r="K15" s="2"/>
      <c r="L15" s="2">
        <f t="shared" si="0"/>
        <v>-11441.5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--15797.31</f>
        <v>15797.31</v>
      </c>
      <c r="U15" s="2"/>
      <c r="V15" s="19"/>
      <c r="W15" s="2"/>
      <c r="X15" s="2">
        <f t="shared" si="2"/>
        <v>-15797.31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--10856.45</f>
        <v>10856.45</v>
      </c>
      <c r="I16" s="2"/>
      <c r="J16" s="19"/>
      <c r="K16" s="2"/>
      <c r="L16" s="2">
        <f t="shared" si="0"/>
        <v>-10856.45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--22895.01</f>
        <v>22895.01</v>
      </c>
      <c r="U16" s="2"/>
      <c r="V16" s="19"/>
      <c r="W16" s="2"/>
      <c r="X16" s="2">
        <f t="shared" si="2"/>
        <v>-22895.01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--43126.62</f>
        <v>43126.62</v>
      </c>
      <c r="I17" s="2"/>
      <c r="J17" s="19"/>
      <c r="K17" s="2"/>
      <c r="L17" s="2">
        <f t="shared" si="0"/>
        <v>-43126.62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--118850.36</f>
        <v>118850.36</v>
      </c>
      <c r="U17" s="2"/>
      <c r="V17" s="19"/>
      <c r="W17" s="2"/>
      <c r="X17" s="2">
        <f t="shared" si="2"/>
        <v>-118850.36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--1966.07</f>
        <v>1966.07</v>
      </c>
      <c r="I18" s="2"/>
      <c r="J18" s="19"/>
      <c r="K18" s="2"/>
      <c r="L18" s="2">
        <f t="shared" si="0"/>
        <v>-1966.07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--4130.53</f>
        <v>4130.53</v>
      </c>
      <c r="U18" s="2"/>
      <c r="V18" s="19"/>
      <c r="W18" s="2"/>
      <c r="X18" s="2">
        <f t="shared" si="2"/>
        <v>-4130.53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>--9.27</f>
        <v>9.27</v>
      </c>
      <c r="I19" s="2"/>
      <c r="J19" s="19"/>
      <c r="K19" s="2"/>
      <c r="L19" s="2">
        <f t="shared" si="0"/>
        <v>-9.27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--16.2</f>
        <v>16.2</v>
      </c>
      <c r="U19" s="2"/>
      <c r="V19" s="19"/>
      <c r="W19" s="2"/>
      <c r="X19" s="2">
        <f t="shared" si="2"/>
        <v>-16.2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>--42.03</f>
        <v>42.03</v>
      </c>
      <c r="I20" s="2"/>
      <c r="J20" s="19"/>
      <c r="K20" s="2"/>
      <c r="L20" s="2">
        <f t="shared" si="0"/>
        <v>-42.03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--124.18</f>
        <v>124.18</v>
      </c>
      <c r="U20" s="2"/>
      <c r="V20" s="19"/>
      <c r="W20" s="2"/>
      <c r="X20" s="2">
        <f t="shared" si="2"/>
        <v>-124.18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--332.14</f>
        <v>332.14</v>
      </c>
      <c r="I21" s="2"/>
      <c r="J21" s="19"/>
      <c r="K21" s="2"/>
      <c r="L21" s="2">
        <f t="shared" si="0"/>
        <v>-332.14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--1343.26</f>
        <v>1343.26</v>
      </c>
      <c r="U21" s="2"/>
      <c r="V21" s="19"/>
      <c r="W21" s="2"/>
      <c r="X21" s="2">
        <f t="shared" si="2"/>
        <v>-1343.26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>--536.13</f>
        <v>536.13</v>
      </c>
      <c r="I22" s="2"/>
      <c r="J22" s="19"/>
      <c r="K22" s="2"/>
      <c r="L22" s="2">
        <f t="shared" si="0"/>
        <v>-536.13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--2406.41</f>
        <v>2406.41</v>
      </c>
      <c r="U22" s="2"/>
      <c r="V22" s="19"/>
      <c r="W22" s="2"/>
      <c r="X22" s="2">
        <f t="shared" si="2"/>
        <v>-2406.41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>--90.59</f>
        <v>90.59</v>
      </c>
      <c r="I23" s="2"/>
      <c r="J23" s="19"/>
      <c r="K23" s="2"/>
      <c r="L23" s="2">
        <f t="shared" si="0"/>
        <v>-90.59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--220.69</f>
        <v>220.69</v>
      </c>
      <c r="U23" s="2"/>
      <c r="V23" s="19"/>
      <c r="W23" s="2"/>
      <c r="X23" s="2">
        <f t="shared" si="2"/>
        <v>-220.69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--241.07</f>
        <v>241.07</v>
      </c>
      <c r="I24" s="2"/>
      <c r="J24" s="19"/>
      <c r="K24" s="2"/>
      <c r="L24" s="2">
        <f t="shared" si="0"/>
        <v>-241.07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--505</f>
        <v>505</v>
      </c>
      <c r="U24" s="2"/>
      <c r="V24" s="19"/>
      <c r="W24" s="2"/>
      <c r="X24" s="2">
        <f t="shared" si="2"/>
        <v>-505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--399.15</f>
        <v>399.15</v>
      </c>
      <c r="I25" s="2"/>
      <c r="J25" s="19"/>
      <c r="K25" s="2"/>
      <c r="L25" s="2">
        <f t="shared" si="0"/>
        <v>-399.15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--872.35</f>
        <v>872.35</v>
      </c>
      <c r="U25" s="2"/>
      <c r="V25" s="19"/>
      <c r="W25" s="2"/>
      <c r="X25" s="2">
        <f t="shared" si="2"/>
        <v>-872.35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>--3.59</f>
        <v>3.59</v>
      </c>
      <c r="I26" s="2"/>
      <c r="J26" s="19"/>
      <c r="K26" s="2"/>
      <c r="L26" s="2">
        <f t="shared" si="0"/>
        <v>-3.59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--50.16</f>
        <v>50.16</v>
      </c>
      <c r="U26" s="2"/>
      <c r="V26" s="19"/>
      <c r="W26" s="2"/>
      <c r="X26" s="2">
        <f t="shared" si="2"/>
        <v>-50.16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"4225", " - ", "SALES RETURN TAXABLE-TEST FORM")</f>
        <v xml:space="preserve">          4225 - SALES RETURN TAXABLE-TEST FORM</v>
      </c>
      <c r="C27" s="11"/>
      <c r="D27" s="2">
        <f t="shared" si="4"/>
        <v>0</v>
      </c>
      <c r="E27" s="2"/>
      <c r="F27" s="19"/>
      <c r="G27" s="2"/>
      <c r="H27" s="2">
        <f>-20.41</f>
        <v>-20.41</v>
      </c>
      <c r="I27" s="2"/>
      <c r="J27" s="19"/>
      <c r="K27" s="2"/>
      <c r="L27" s="2">
        <f t="shared" si="0"/>
        <v>20.41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-33.1</f>
        <v>-33.1</v>
      </c>
      <c r="U27" s="2"/>
      <c r="V27" s="19"/>
      <c r="W27" s="2"/>
      <c r="X27" s="2">
        <f t="shared" si="2"/>
        <v>33.1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si="4"/>
        <v>0</v>
      </c>
      <c r="E28" s="2"/>
      <c r="F28" s="19"/>
      <c r="G28" s="2"/>
      <c r="H28" s="2">
        <f>-181.87</f>
        <v>-181.87</v>
      </c>
      <c r="I28" s="2"/>
      <c r="J28" s="19"/>
      <c r="K28" s="2"/>
      <c r="L28" s="2">
        <f t="shared" si="0"/>
        <v>181.87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-306.08</f>
        <v>-306.08</v>
      </c>
      <c r="U28" s="2"/>
      <c r="V28" s="19"/>
      <c r="W28" s="2"/>
      <c r="X28" s="2">
        <f t="shared" si="2"/>
        <v>306.08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4"/>
        <v>0</v>
      </c>
      <c r="E29" s="2"/>
      <c r="F29" s="19"/>
      <c r="G29" s="2"/>
      <c r="H29" s="2">
        <f>-2793.28</f>
        <v>-2793.28</v>
      </c>
      <c r="I29" s="2"/>
      <c r="J29" s="19"/>
      <c r="K29" s="2"/>
      <c r="L29" s="2">
        <f t="shared" si="0"/>
        <v>2793.28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-4479.41</f>
        <v>-4479.41</v>
      </c>
      <c r="U29" s="2"/>
      <c r="V29" s="19"/>
      <c r="W29" s="2"/>
      <c r="X29" s="2">
        <f t="shared" si="2"/>
        <v>4479.41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"4228", " - ", "SALES RETURN TAXABLE-ART/TECH")</f>
        <v xml:space="preserve">          4228 - SALES RETURN TAXABLE-ART/TECH</v>
      </c>
      <c r="C30" s="11"/>
      <c r="D30" s="2">
        <f t="shared" si="4"/>
        <v>0</v>
      </c>
      <c r="E30" s="2"/>
      <c r="F30" s="19"/>
      <c r="G30" s="2"/>
      <c r="H30" s="2">
        <f>-135.38</f>
        <v>-135.38</v>
      </c>
      <c r="I30" s="2"/>
      <c r="J30" s="19"/>
      <c r="K30" s="2"/>
      <c r="L30" s="2">
        <f t="shared" si="0"/>
        <v>135.38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-222.24</f>
        <v>-222.24</v>
      </c>
      <c r="U30" s="2"/>
      <c r="V30" s="19"/>
      <c r="W30" s="2"/>
      <c r="X30" s="2">
        <f t="shared" si="2"/>
        <v>222.24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"4327", " - ", "SALES RETURN NON TAXABLE-SCHOO")</f>
        <v xml:space="preserve">          4327 - SALES RETURN NON TAXABLE-SCHOO</v>
      </c>
      <c r="C31" s="11"/>
      <c r="D31" s="2">
        <f t="shared" si="4"/>
        <v>0</v>
      </c>
      <c r="E31" s="2"/>
      <c r="F31" s="19"/>
      <c r="G31" s="2"/>
      <c r="H31" s="2">
        <f>-8.29</f>
        <v>-8.2899999999999991</v>
      </c>
      <c r="I31" s="2"/>
      <c r="J31" s="19"/>
      <c r="K31" s="2"/>
      <c r="L31" s="2">
        <f t="shared" si="0"/>
        <v>8.2899999999999991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-21.87</f>
        <v>-21.87</v>
      </c>
      <c r="U31" s="2"/>
      <c r="V31" s="19"/>
      <c r="W31" s="2"/>
      <c r="X31" s="2">
        <f t="shared" si="2"/>
        <v>21.87</v>
      </c>
      <c r="Y31" s="2"/>
      <c r="Z31" s="19">
        <f t="shared" si="3"/>
        <v>-1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6" t="s">
        <v>8</v>
      </c>
      <c r="C33" s="10"/>
      <c r="D33" s="4">
        <f>SUM(OSRRefD16x_0)</f>
        <v>0</v>
      </c>
      <c r="E33" s="4"/>
      <c r="F33" s="12">
        <f t="shared" ref="F33:F47" si="6">IF(D$12=0,0,D33/D$12)</f>
        <v>0</v>
      </c>
      <c r="G33" s="4"/>
      <c r="H33" s="4">
        <f>SUM(OSRRefH16x_0)</f>
        <v>31970.119999999995</v>
      </c>
      <c r="I33" s="4"/>
      <c r="J33" s="12">
        <f t="shared" ref="J33:J47" si="7">IF(H$12=0,0,H33/H$12)</f>
        <v>0.48473139734634418</v>
      </c>
      <c r="K33" s="4"/>
      <c r="L33" s="4">
        <f t="shared" ref="L33:L47" si="8">+D33-H33</f>
        <v>-31970.119999999995</v>
      </c>
      <c r="M33" s="4"/>
      <c r="N33" s="12">
        <f t="shared" ref="N33:N47" si="9">IF(H33=0,0,L33/H33)</f>
        <v>-1</v>
      </c>
      <c r="O33" s="10"/>
      <c r="P33" s="4">
        <f>SUM(OSRRefP16x_0)</f>
        <v>0</v>
      </c>
      <c r="Q33" s="4"/>
      <c r="R33" s="12">
        <f t="shared" ref="R33:R47" si="10">IF(P$12=0,0,P33/P$12)</f>
        <v>0</v>
      </c>
      <c r="S33" s="4"/>
      <c r="T33" s="4">
        <f>SUM(OSRRefT16x_0)</f>
        <v>74627.760000000009</v>
      </c>
      <c r="U33" s="4"/>
      <c r="V33" s="12">
        <f t="shared" ref="V33:V47" si="11">IF(T$12=0,0,T33/T$12)</f>
        <v>0.45961564434991126</v>
      </c>
      <c r="W33" s="4"/>
      <c r="X33" s="4">
        <f t="shared" ref="X33:X47" si="12">+P33-T33</f>
        <v>-74627.760000000009</v>
      </c>
      <c r="Y33" s="4"/>
      <c r="Z33" s="12">
        <f t="shared" ref="Z33:Z47" si="13">IF(T33=0,0,X33/T33)</f>
        <v>-1</v>
      </c>
    </row>
    <row r="34" spans="1:26" s="24" customFormat="1" hidden="1" outlineLevel="1" x14ac:dyDescent="0.25">
      <c r="A34" s="44"/>
      <c r="B34" s="11" t="str">
        <f>CONCATENATE("          ", "5017", " - ", "PURCHASES @ COST-DORM/HOUSEWAR")</f>
        <v xml:space="preserve">          5017 - PURCHASES @ COST-DORM/HOUSEWAR</v>
      </c>
      <c r="C34" s="11"/>
      <c r="D34" s="2"/>
      <c r="E34" s="2"/>
      <c r="F34" s="19">
        <f t="shared" si="6"/>
        <v>0</v>
      </c>
      <c r="G34" s="2"/>
      <c r="H34" s="2">
        <v>-139.86000000000001</v>
      </c>
      <c r="I34" s="2"/>
      <c r="J34" s="19">
        <f t="shared" si="7"/>
        <v>-2.120559235713213E-3</v>
      </c>
      <c r="K34" s="2"/>
      <c r="L34" s="2">
        <f t="shared" si="8"/>
        <v>139.86000000000001</v>
      </c>
      <c r="M34" s="2"/>
      <c r="N34" s="19">
        <f t="shared" si="9"/>
        <v>-1</v>
      </c>
      <c r="O34" s="11"/>
      <c r="P34" s="2"/>
      <c r="Q34" s="2"/>
      <c r="R34" s="19">
        <f t="shared" si="10"/>
        <v>0</v>
      </c>
      <c r="S34" s="2"/>
      <c r="T34" s="2">
        <v>0</v>
      </c>
      <c r="U34" s="2"/>
      <c r="V34" s="19">
        <f t="shared" si="11"/>
        <v>0</v>
      </c>
      <c r="W34" s="2"/>
      <c r="X34" s="2">
        <f t="shared" si="12"/>
        <v>0</v>
      </c>
      <c r="Y34" s="2"/>
      <c r="Z34" s="19">
        <f t="shared" si="13"/>
        <v>0</v>
      </c>
    </row>
    <row r="35" spans="1:26" s="24" customFormat="1" hidden="1" outlineLevel="1" x14ac:dyDescent="0.25">
      <c r="A35" s="44"/>
      <c r="B35" s="11" t="str">
        <f>CONCATENATE("          ", "5025", " - ", "PURCHASES @ COST-TEST FORMS")</f>
        <v xml:space="preserve">          5025 - PURCHASES @ COST-TEST FORMS</v>
      </c>
      <c r="C35" s="11"/>
      <c r="D35" s="2"/>
      <c r="E35" s="2"/>
      <c r="F35" s="19">
        <f t="shared" si="6"/>
        <v>0</v>
      </c>
      <c r="G35" s="2"/>
      <c r="H35" s="2">
        <v>1351.03</v>
      </c>
      <c r="I35" s="2"/>
      <c r="J35" s="19">
        <f t="shared" si="7"/>
        <v>2.0484335365548563E-2</v>
      </c>
      <c r="K35" s="2"/>
      <c r="L35" s="2">
        <f t="shared" si="8"/>
        <v>-1351.03</v>
      </c>
      <c r="M35" s="2"/>
      <c r="N35" s="19">
        <f t="shared" si="9"/>
        <v>-1</v>
      </c>
      <c r="O35" s="11"/>
      <c r="P35" s="2"/>
      <c r="Q35" s="2"/>
      <c r="R35" s="19">
        <f t="shared" si="10"/>
        <v>0</v>
      </c>
      <c r="S35" s="2"/>
      <c r="T35" s="2">
        <v>3108.17</v>
      </c>
      <c r="U35" s="2"/>
      <c r="V35" s="19">
        <f t="shared" si="11"/>
        <v>1.9142522263820641E-2</v>
      </c>
      <c r="W35" s="2"/>
      <c r="X35" s="2">
        <f t="shared" si="12"/>
        <v>-3108.17</v>
      </c>
      <c r="Y35" s="2"/>
      <c r="Z35" s="19">
        <f t="shared" si="13"/>
        <v>-1</v>
      </c>
    </row>
    <row r="36" spans="1:26" s="24" customFormat="1" hidden="1" outlineLevel="1" x14ac:dyDescent="0.25">
      <c r="A36" s="44"/>
      <c r="B36" s="11" t="str">
        <f>CONCATENATE("          ", "5026", " - ", "PURCHASES @ COST-WRITING INSTR")</f>
        <v xml:space="preserve">          5026 - PURCHASES @ COST-WRITING INSTR</v>
      </c>
      <c r="C36" s="11"/>
      <c r="D36" s="2"/>
      <c r="E36" s="2"/>
      <c r="F36" s="19">
        <f t="shared" si="6"/>
        <v>0</v>
      </c>
      <c r="G36" s="2"/>
      <c r="H36" s="2">
        <v>2090.38</v>
      </c>
      <c r="I36" s="2"/>
      <c r="J36" s="19">
        <f t="shared" si="7"/>
        <v>3.1694370192694027E-2</v>
      </c>
      <c r="K36" s="2"/>
      <c r="L36" s="2">
        <f t="shared" si="8"/>
        <v>-2090.38</v>
      </c>
      <c r="M36" s="2"/>
      <c r="N36" s="19">
        <f t="shared" si="9"/>
        <v>-1</v>
      </c>
      <c r="O36" s="11"/>
      <c r="P36" s="2"/>
      <c r="Q36" s="2"/>
      <c r="R36" s="19">
        <f t="shared" si="10"/>
        <v>0</v>
      </c>
      <c r="S36" s="2"/>
      <c r="T36" s="2">
        <v>14289.71</v>
      </c>
      <c r="U36" s="2"/>
      <c r="V36" s="19">
        <f t="shared" si="11"/>
        <v>8.8007120530260718E-2</v>
      </c>
      <c r="W36" s="2"/>
      <c r="X36" s="2">
        <f t="shared" si="12"/>
        <v>-14289.71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"5027", " - ", "PURCHASES @ COST-SCHOOL SUPPLI")</f>
        <v xml:space="preserve">          5027 - PURCHASES @ COST-SCHOOL SUPPLI</v>
      </c>
      <c r="C37" s="11"/>
      <c r="D37" s="2"/>
      <c r="E37" s="2"/>
      <c r="F37" s="19">
        <f t="shared" si="6"/>
        <v>0</v>
      </c>
      <c r="G37" s="2"/>
      <c r="H37" s="2">
        <v>12324.55</v>
      </c>
      <c r="I37" s="2"/>
      <c r="J37" s="19">
        <f t="shared" si="7"/>
        <v>0.18686499591383726</v>
      </c>
      <c r="K37" s="2"/>
      <c r="L37" s="2">
        <f t="shared" si="8"/>
        <v>-12324.55</v>
      </c>
      <c r="M37" s="2"/>
      <c r="N37" s="19">
        <f t="shared" si="9"/>
        <v>-1</v>
      </c>
      <c r="O37" s="11"/>
      <c r="P37" s="2"/>
      <c r="Q37" s="2"/>
      <c r="R37" s="19">
        <f t="shared" si="10"/>
        <v>0</v>
      </c>
      <c r="S37" s="2"/>
      <c r="T37" s="2">
        <v>61391.03</v>
      </c>
      <c r="U37" s="2"/>
      <c r="V37" s="19">
        <f t="shared" si="11"/>
        <v>0.37809359159051176</v>
      </c>
      <c r="W37" s="2"/>
      <c r="X37" s="2">
        <f t="shared" si="12"/>
        <v>-61391.03</v>
      </c>
      <c r="Y37" s="2"/>
      <c r="Z37" s="19">
        <f t="shared" si="13"/>
        <v>-1</v>
      </c>
    </row>
    <row r="38" spans="1:26" s="24" customFormat="1" hidden="1" outlineLevel="1" x14ac:dyDescent="0.25">
      <c r="A38" s="44"/>
      <c r="B38" s="11" t="str">
        <f>CONCATENATE("          ", "5028", " - ", "PURCHASES @ COST-ART/TECH")</f>
        <v xml:space="preserve">          5028 - PURCHASES @ COST-ART/TECH</v>
      </c>
      <c r="C38" s="11"/>
      <c r="D38" s="2"/>
      <c r="E38" s="2"/>
      <c r="F38" s="19">
        <f t="shared" si="6"/>
        <v>0</v>
      </c>
      <c r="G38" s="2"/>
      <c r="H38" s="2">
        <v>462.63</v>
      </c>
      <c r="I38" s="2"/>
      <c r="J38" s="19">
        <f t="shared" si="7"/>
        <v>7.0144023968111233E-3</v>
      </c>
      <c r="K38" s="2"/>
      <c r="L38" s="2">
        <f t="shared" si="8"/>
        <v>-462.63</v>
      </c>
      <c r="M38" s="2"/>
      <c r="N38" s="19">
        <f t="shared" si="9"/>
        <v>-1</v>
      </c>
      <c r="O38" s="11"/>
      <c r="P38" s="2"/>
      <c r="Q38" s="2"/>
      <c r="R38" s="19">
        <f t="shared" si="10"/>
        <v>0</v>
      </c>
      <c r="S38" s="2"/>
      <c r="T38" s="2">
        <v>3078.83</v>
      </c>
      <c r="U38" s="2"/>
      <c r="V38" s="19">
        <f t="shared" si="11"/>
        <v>1.8961823781041224E-2</v>
      </c>
      <c r="W38" s="2"/>
      <c r="X38" s="2">
        <f t="shared" si="12"/>
        <v>-3078.83</v>
      </c>
      <c r="Y38" s="2"/>
      <c r="Z38" s="19">
        <f t="shared" si="13"/>
        <v>-1</v>
      </c>
    </row>
    <row r="39" spans="1:26" s="24" customFormat="1" hidden="1" outlineLevel="1" x14ac:dyDescent="0.25">
      <c r="A39" s="44"/>
      <c r="B39" s="11" t="str">
        <f>CONCATENATE("          ", "5031", " - ", "PURCHASES @ COST-FOOD")</f>
        <v xml:space="preserve">          5031 - PURCHASES @ COST-FOOD</v>
      </c>
      <c r="C39" s="11"/>
      <c r="D39" s="2"/>
      <c r="E39" s="2"/>
      <c r="F39" s="19">
        <f t="shared" si="6"/>
        <v>0</v>
      </c>
      <c r="G39" s="2"/>
      <c r="H39" s="2"/>
      <c r="I39" s="2"/>
      <c r="J39" s="19">
        <f t="shared" si="7"/>
        <v>0</v>
      </c>
      <c r="K39" s="2"/>
      <c r="L39" s="2">
        <f t="shared" si="8"/>
        <v>0</v>
      </c>
      <c r="M39" s="2"/>
      <c r="N39" s="19">
        <f t="shared" si="9"/>
        <v>0</v>
      </c>
      <c r="O39" s="11"/>
      <c r="P39" s="2"/>
      <c r="Q39" s="2"/>
      <c r="R39" s="19">
        <f t="shared" si="10"/>
        <v>0</v>
      </c>
      <c r="S39" s="2"/>
      <c r="T39" s="2">
        <v>149.11000000000001</v>
      </c>
      <c r="U39" s="2"/>
      <c r="V39" s="19">
        <f t="shared" si="11"/>
        <v>9.1833506364140188E-4</v>
      </c>
      <c r="W39" s="2"/>
      <c r="X39" s="2">
        <f t="shared" si="12"/>
        <v>-149.11000000000001</v>
      </c>
      <c r="Y39" s="2"/>
      <c r="Z39" s="19">
        <f t="shared" si="13"/>
        <v>-1</v>
      </c>
    </row>
    <row r="40" spans="1:26" s="24" customFormat="1" hidden="1" outlineLevel="1" x14ac:dyDescent="0.25">
      <c r="A40" s="44"/>
      <c r="B40" s="11" t="str">
        <f>CONCATENATE("          ", "5033", " - ", "PURCHASES @ COST-CANDY")</f>
        <v xml:space="preserve">          5033 - PURCHASES @ COST-CANDY</v>
      </c>
      <c r="C40" s="11"/>
      <c r="D40" s="2"/>
      <c r="E40" s="2"/>
      <c r="F40" s="19">
        <f t="shared" si="6"/>
        <v>0</v>
      </c>
      <c r="G40" s="2"/>
      <c r="H40" s="2"/>
      <c r="I40" s="2"/>
      <c r="J40" s="19">
        <f t="shared" si="7"/>
        <v>0</v>
      </c>
      <c r="K40" s="2"/>
      <c r="L40" s="2">
        <f t="shared" si="8"/>
        <v>0</v>
      </c>
      <c r="M40" s="2"/>
      <c r="N40" s="19">
        <f t="shared" si="9"/>
        <v>0</v>
      </c>
      <c r="O40" s="11"/>
      <c r="P40" s="2"/>
      <c r="Q40" s="2"/>
      <c r="R40" s="19">
        <f t="shared" si="10"/>
        <v>0</v>
      </c>
      <c r="S40" s="2"/>
      <c r="T40" s="2">
        <v>80.95</v>
      </c>
      <c r="U40" s="2"/>
      <c r="V40" s="19">
        <f t="shared" si="11"/>
        <v>4.9855290323768677E-4</v>
      </c>
      <c r="W40" s="2"/>
      <c r="X40" s="2">
        <f t="shared" si="12"/>
        <v>-80.95</v>
      </c>
      <c r="Y40" s="2"/>
      <c r="Z40" s="19">
        <f t="shared" si="13"/>
        <v>-1</v>
      </c>
    </row>
    <row r="41" spans="1:26" s="24" customFormat="1" hidden="1" outlineLevel="1" x14ac:dyDescent="0.25">
      <c r="A41" s="44"/>
      <c r="B41" s="11" t="str">
        <f>CONCATENATE("          ", "5035", " - ", "PURCHASES @ COST-HEALTH &amp; BEAU")</f>
        <v xml:space="preserve">          5035 - PURCHASES @ COST-HEALTH &amp; BEAU</v>
      </c>
      <c r="C41" s="11"/>
      <c r="D41" s="2"/>
      <c r="E41" s="2"/>
      <c r="F41" s="19">
        <f t="shared" si="6"/>
        <v>0</v>
      </c>
      <c r="G41" s="2"/>
      <c r="H41" s="2"/>
      <c r="I41" s="2"/>
      <c r="J41" s="19">
        <f t="shared" si="7"/>
        <v>0</v>
      </c>
      <c r="K41" s="2"/>
      <c r="L41" s="2">
        <f t="shared" si="8"/>
        <v>0</v>
      </c>
      <c r="M41" s="2"/>
      <c r="N41" s="19">
        <f t="shared" si="9"/>
        <v>0</v>
      </c>
      <c r="O41" s="11"/>
      <c r="P41" s="2"/>
      <c r="Q41" s="2"/>
      <c r="R41" s="19">
        <f t="shared" si="10"/>
        <v>0</v>
      </c>
      <c r="S41" s="2"/>
      <c r="T41" s="2">
        <v>34.49</v>
      </c>
      <c r="U41" s="2"/>
      <c r="V41" s="19">
        <f t="shared" si="11"/>
        <v>2.1241617829114042E-4</v>
      </c>
      <c r="W41" s="2"/>
      <c r="X41" s="2">
        <f t="shared" si="12"/>
        <v>-34.49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/>
      <c r="E42" s="2"/>
      <c r="F42" s="19">
        <f t="shared" si="6"/>
        <v>0</v>
      </c>
      <c r="G42" s="2"/>
      <c r="H42" s="2">
        <v>-16222</v>
      </c>
      <c r="I42" s="2"/>
      <c r="J42" s="19">
        <f t="shared" si="7"/>
        <v>-0.24595818619862533</v>
      </c>
      <c r="K42" s="2"/>
      <c r="L42" s="2">
        <f t="shared" si="8"/>
        <v>16222</v>
      </c>
      <c r="M42" s="2"/>
      <c r="N42" s="19">
        <f t="shared" si="9"/>
        <v>-1</v>
      </c>
      <c r="O42" s="11"/>
      <c r="P42" s="2"/>
      <c r="Q42" s="2"/>
      <c r="R42" s="19">
        <f t="shared" si="10"/>
        <v>0</v>
      </c>
      <c r="S42" s="2"/>
      <c r="T42" s="2">
        <v>-82627</v>
      </c>
      <c r="U42" s="2"/>
      <c r="V42" s="19">
        <f t="shared" si="11"/>
        <v>-0.50888117030043667</v>
      </c>
      <c r="W42" s="2"/>
      <c r="X42" s="2">
        <f t="shared" si="12"/>
        <v>82627</v>
      </c>
      <c r="Y42" s="2"/>
      <c r="Z42" s="19">
        <f t="shared" si="13"/>
        <v>-1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/>
      <c r="E43" s="2"/>
      <c r="F43" s="19">
        <f t="shared" si="6"/>
        <v>0</v>
      </c>
      <c r="G43" s="2"/>
      <c r="H43" s="2">
        <v>32019</v>
      </c>
      <c r="I43" s="2"/>
      <c r="J43" s="19">
        <f t="shared" si="7"/>
        <v>0.48547251657587137</v>
      </c>
      <c r="K43" s="2"/>
      <c r="L43" s="2">
        <f t="shared" si="8"/>
        <v>-32019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74628</v>
      </c>
      <c r="U43" s="2"/>
      <c r="V43" s="19">
        <f t="shared" si="11"/>
        <v>0.45961712245610981</v>
      </c>
      <c r="W43" s="2"/>
      <c r="X43" s="2">
        <f t="shared" si="12"/>
        <v>-74628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6"/>
        <v>0</v>
      </c>
      <c r="G44" s="2"/>
      <c r="H44" s="2">
        <v>-49</v>
      </c>
      <c r="I44" s="2"/>
      <c r="J44" s="19">
        <f t="shared" si="7"/>
        <v>-7.4293867117079533E-4</v>
      </c>
      <c r="K44" s="2"/>
      <c r="L44" s="2">
        <f t="shared" si="8"/>
        <v>49</v>
      </c>
      <c r="M44" s="2"/>
      <c r="N44" s="19">
        <f t="shared" si="9"/>
        <v>-1</v>
      </c>
      <c r="O44" s="11"/>
      <c r="P44" s="2"/>
      <c r="Q44" s="2"/>
      <c r="R44" s="19">
        <f t="shared" si="10"/>
        <v>0</v>
      </c>
      <c r="S44" s="2"/>
      <c r="T44" s="2">
        <v>0</v>
      </c>
      <c r="U44" s="2"/>
      <c r="V44" s="19">
        <f t="shared" si="11"/>
        <v>0</v>
      </c>
      <c r="W44" s="2"/>
      <c r="X44" s="2">
        <f t="shared" si="12"/>
        <v>0</v>
      </c>
      <c r="Y44" s="2"/>
      <c r="Z44" s="19">
        <f t="shared" si="13"/>
        <v>0</v>
      </c>
    </row>
    <row r="45" spans="1:26" s="24" customFormat="1" hidden="1" outlineLevel="1" x14ac:dyDescent="0.25">
      <c r="A45" s="44"/>
      <c r="B45" s="11" t="str">
        <f>CONCATENATE("          ", "5526", " - ", "FREIGHT-IN-WRITING INSTRUMENTS")</f>
        <v xml:space="preserve">          5526 - FREIGHT-IN-WRITING INSTRUMENTS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/>
      <c r="Q45" s="2"/>
      <c r="R45" s="19">
        <f t="shared" si="10"/>
        <v>0</v>
      </c>
      <c r="S45" s="2"/>
      <c r="T45" s="2">
        <v>56.57</v>
      </c>
      <c r="U45" s="2"/>
      <c r="V45" s="19">
        <f t="shared" si="11"/>
        <v>3.4840194856276639E-4</v>
      </c>
      <c r="W45" s="2"/>
      <c r="X45" s="2">
        <f t="shared" si="12"/>
        <v>-56.57</v>
      </c>
      <c r="Y45" s="2"/>
      <c r="Z45" s="19">
        <f t="shared" si="13"/>
        <v>-1</v>
      </c>
    </row>
    <row r="46" spans="1:26" s="24" customFormat="1" hidden="1" outlineLevel="1" x14ac:dyDescent="0.25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6"/>
        <v>0</v>
      </c>
      <c r="G46" s="2"/>
      <c r="H46" s="2">
        <v>133.38999999999999</v>
      </c>
      <c r="I46" s="2"/>
      <c r="J46" s="19">
        <f t="shared" si="7"/>
        <v>2.022461007091273E-3</v>
      </c>
      <c r="K46" s="2"/>
      <c r="L46" s="2">
        <f t="shared" si="8"/>
        <v>-133.38999999999999</v>
      </c>
      <c r="M46" s="2"/>
      <c r="N46" s="19">
        <f t="shared" si="9"/>
        <v>-1</v>
      </c>
      <c r="O46" s="11"/>
      <c r="P46" s="2"/>
      <c r="Q46" s="2"/>
      <c r="R46" s="19">
        <f t="shared" si="10"/>
        <v>0</v>
      </c>
      <c r="S46" s="2"/>
      <c r="T46" s="2">
        <v>393.9</v>
      </c>
      <c r="U46" s="2"/>
      <c r="V46" s="19">
        <f t="shared" si="11"/>
        <v>2.4259417984598495E-3</v>
      </c>
      <c r="W46" s="2"/>
      <c r="X46" s="2">
        <f t="shared" si="12"/>
        <v>-393.9</v>
      </c>
      <c r="Y46" s="2"/>
      <c r="Z46" s="19">
        <f t="shared" si="13"/>
        <v>-1</v>
      </c>
    </row>
    <row r="47" spans="1:26" s="24" customFormat="1" hidden="1" outlineLevel="1" x14ac:dyDescent="0.25">
      <c r="A47" s="44"/>
      <c r="B47" s="11" t="str">
        <f>CONCATENATE("          ", "5528", " - ", "FREIGHT-IN-ART/TECH")</f>
        <v xml:space="preserve">          5528 - FREIGHT-IN-ART/TECH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/>
      <c r="Q47" s="2"/>
      <c r="R47" s="19">
        <f t="shared" si="10"/>
        <v>0</v>
      </c>
      <c r="S47" s="2"/>
      <c r="T47" s="2">
        <v>44</v>
      </c>
      <c r="U47" s="2"/>
      <c r="V47" s="19">
        <f t="shared" si="11"/>
        <v>2.709861364108489E-4</v>
      </c>
      <c r="W47" s="2"/>
      <c r="X47" s="2">
        <f t="shared" si="12"/>
        <v>-44</v>
      </c>
      <c r="Y47" s="2"/>
      <c r="Z47" s="19">
        <f t="shared" si="13"/>
        <v>-1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5" t="s">
        <v>6</v>
      </c>
      <c r="C49" s="25"/>
      <c r="D49" s="22">
        <f>D12-D33</f>
        <v>0</v>
      </c>
      <c r="E49" s="13"/>
      <c r="F49" s="21">
        <f>IF(D$12=0,0,D49/D$12)</f>
        <v>0</v>
      </c>
      <c r="G49" s="13"/>
      <c r="H49" s="22">
        <f>H12-H33</f>
        <v>33984.180000000022</v>
      </c>
      <c r="I49" s="13"/>
      <c r="J49" s="21">
        <f>IF(H$12=0,0,H49/H$12)</f>
        <v>0.51526860265365582</v>
      </c>
      <c r="K49" s="15"/>
      <c r="L49" s="22">
        <f>+D49-H49</f>
        <v>-33984.180000000022</v>
      </c>
      <c r="M49" s="15"/>
      <c r="N49" s="21">
        <f>IF(H49=0,0,L49/H49)</f>
        <v>-1</v>
      </c>
      <c r="O49" s="26"/>
      <c r="P49" s="22">
        <f>P12-P33</f>
        <v>0</v>
      </c>
      <c r="Q49" s="13"/>
      <c r="R49" s="21">
        <f>IF(P$12=0,0,P49/P$12)</f>
        <v>0</v>
      </c>
      <c r="S49" s="13"/>
      <c r="T49" s="22">
        <f>T12-T33</f>
        <v>87742.170000000042</v>
      </c>
      <c r="U49" s="13"/>
      <c r="V49" s="21">
        <f>IF(T$12=0,0,T49/T$12)</f>
        <v>0.5403843556500888</v>
      </c>
      <c r="W49" s="15"/>
      <c r="X49" s="22">
        <f>+P49-T49</f>
        <v>-87742.170000000042</v>
      </c>
      <c r="Y49" s="15"/>
      <c r="Z49" s="21">
        <f>IF(T49=0,0,X49/T49)</f>
        <v>-1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6" t="s">
        <v>9</v>
      </c>
      <c r="C51" s="10"/>
      <c r="D51" s="20">
        <f>SUM(OSRRefD22x_0)</f>
        <v>0</v>
      </c>
      <c r="E51" s="20"/>
      <c r="F51" s="36">
        <f t="shared" ref="F51:F59" si="14">IF(D$12=0,0,D51/D$12)</f>
        <v>0</v>
      </c>
      <c r="G51" s="20"/>
      <c r="H51" s="20">
        <f>SUM(OSRRefH22x_0)</f>
        <v>8563.07</v>
      </c>
      <c r="I51" s="20"/>
      <c r="J51" s="36">
        <f t="shared" ref="J51:J59" si="15">IF(H$12=0,0,H51/H$12)</f>
        <v>0.12983338463147964</v>
      </c>
      <c r="K51" s="4"/>
      <c r="L51" s="20">
        <f t="shared" ref="L51:L59" si="16">+D51-H51</f>
        <v>-8563.07</v>
      </c>
      <c r="M51" s="4"/>
      <c r="N51" s="36">
        <f t="shared" ref="N51:N59" si="17">IF(H51=0,0,L51/H51)</f>
        <v>-1</v>
      </c>
      <c r="O51" s="10"/>
      <c r="P51" s="20">
        <f>SUM(OSRRefP22x_0)</f>
        <v>0</v>
      </c>
      <c r="Q51" s="20"/>
      <c r="R51" s="36">
        <f t="shared" ref="R51:R59" si="18">IF(P$12=0,0,P51/P$12)</f>
        <v>0</v>
      </c>
      <c r="S51" s="20"/>
      <c r="T51" s="20">
        <f>SUM(OSRRefT22x_0)</f>
        <v>31002.400000000009</v>
      </c>
      <c r="U51" s="20"/>
      <c r="V51" s="36">
        <f t="shared" ref="V51:V59" si="19">IF(T$12=0,0,T51/T$12)</f>
        <v>0.19093683171508419</v>
      </c>
      <c r="W51" s="4"/>
      <c r="X51" s="20">
        <f t="shared" ref="X51:X59" si="20">+P51-T51</f>
        <v>-31002.400000000009</v>
      </c>
      <c r="Y51" s="4"/>
      <c r="Z51" s="36">
        <f t="shared" ref="Z51:Z59" si="21">IF(T51=0,0,X51/T51)</f>
        <v>-1</v>
      </c>
    </row>
    <row r="52" spans="1:26" s="27" customFormat="1" outlineLevel="1" collapsed="1" x14ac:dyDescent="0.25">
      <c r="A52" s="29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0</v>
      </c>
      <c r="E52" s="1"/>
      <c r="F52" s="5">
        <f t="shared" si="14"/>
        <v>0</v>
      </c>
      <c r="G52" s="1"/>
      <c r="H52" s="1">
        <f>SUM(OSRRefH22_0x_0)</f>
        <v>1426.7799999999997</v>
      </c>
      <c r="I52" s="1"/>
      <c r="J52" s="5">
        <f t="shared" si="15"/>
        <v>2.1632857903123821E-2</v>
      </c>
      <c r="K52" s="1"/>
      <c r="L52" s="1">
        <f t="shared" si="16"/>
        <v>-1426.7799999999997</v>
      </c>
      <c r="M52" s="1"/>
      <c r="N52" s="5">
        <f t="shared" si="17"/>
        <v>-1</v>
      </c>
      <c r="O52" s="14"/>
      <c r="P52" s="1">
        <f>SUM(OSRRefP22_0x_0)</f>
        <v>0</v>
      </c>
      <c r="Q52" s="1"/>
      <c r="R52" s="5">
        <f t="shared" si="18"/>
        <v>0</v>
      </c>
      <c r="S52" s="1"/>
      <c r="T52" s="1">
        <f>SUM(OSRRefT22_0x_0)</f>
        <v>5794.63</v>
      </c>
      <c r="U52" s="1"/>
      <c r="V52" s="5">
        <f t="shared" si="19"/>
        <v>3.5687827173418118E-2</v>
      </c>
      <c r="W52" s="1"/>
      <c r="X52" s="1">
        <f t="shared" si="20"/>
        <v>-5794.63</v>
      </c>
      <c r="Y52" s="1"/>
      <c r="Z52" s="5">
        <f t="shared" si="21"/>
        <v>-1</v>
      </c>
    </row>
    <row r="53" spans="1:26" s="24" customFormat="1" hidden="1" outlineLevel="2" x14ac:dyDescent="0.25">
      <c r="A53" s="28"/>
      <c r="B53" s="11" t="str">
        <f>CONCATENATE("          ", "6111", " - ", "F.I.C.A.")</f>
        <v xml:space="preserve">          6111 - F.I.C.A.</v>
      </c>
      <c r="C53" s="11"/>
      <c r="D53" s="7"/>
      <c r="E53" s="2"/>
      <c r="F53" s="6">
        <f t="shared" si="14"/>
        <v>0</v>
      </c>
      <c r="G53" s="2"/>
      <c r="H53" s="7">
        <v>107.46</v>
      </c>
      <c r="I53" s="2"/>
      <c r="J53" s="6">
        <f t="shared" si="15"/>
        <v>1.6293099919186462E-3</v>
      </c>
      <c r="K53" s="2"/>
      <c r="L53" s="7">
        <f t="shared" si="16"/>
        <v>-107.46</v>
      </c>
      <c r="M53" s="2"/>
      <c r="N53" s="6">
        <f t="shared" si="17"/>
        <v>-1</v>
      </c>
      <c r="O53" s="11"/>
      <c r="P53" s="7"/>
      <c r="Q53" s="2"/>
      <c r="R53" s="6">
        <f t="shared" si="18"/>
        <v>0</v>
      </c>
      <c r="S53" s="2"/>
      <c r="T53" s="7">
        <v>1073.08</v>
      </c>
      <c r="U53" s="2"/>
      <c r="V53" s="6">
        <f t="shared" si="19"/>
        <v>6.6088591649944026E-3</v>
      </c>
      <c r="W53" s="2"/>
      <c r="X53" s="7">
        <f t="shared" si="20"/>
        <v>-1073.08</v>
      </c>
      <c r="Y53" s="2"/>
      <c r="Z53" s="6">
        <f t="shared" si="21"/>
        <v>-1</v>
      </c>
    </row>
    <row r="54" spans="1:26" s="24" customFormat="1" hidden="1" outlineLevel="2" x14ac:dyDescent="0.25">
      <c r="A54" s="28"/>
      <c r="B54" s="11" t="str">
        <f>CONCATENATE("          ", "6112", " - ", "COMPENSATION INSURANCE")</f>
        <v xml:space="preserve">          6112 - COMPENSATION INSURANCE</v>
      </c>
      <c r="C54" s="11"/>
      <c r="D54" s="7"/>
      <c r="E54" s="2"/>
      <c r="F54" s="6">
        <f t="shared" si="14"/>
        <v>0</v>
      </c>
      <c r="G54" s="2"/>
      <c r="H54" s="7">
        <v>135.99</v>
      </c>
      <c r="I54" s="2"/>
      <c r="J54" s="6">
        <f t="shared" si="15"/>
        <v>2.0618822427044175E-3</v>
      </c>
      <c r="K54" s="2"/>
      <c r="L54" s="7">
        <f t="shared" si="16"/>
        <v>-135.99</v>
      </c>
      <c r="M54" s="2"/>
      <c r="N54" s="6">
        <f t="shared" si="17"/>
        <v>-1</v>
      </c>
      <c r="O54" s="11"/>
      <c r="P54" s="7"/>
      <c r="Q54" s="2"/>
      <c r="R54" s="6">
        <f t="shared" si="18"/>
        <v>0</v>
      </c>
      <c r="S54" s="2"/>
      <c r="T54" s="7">
        <v>375.75</v>
      </c>
      <c r="U54" s="2"/>
      <c r="V54" s="6">
        <f t="shared" si="19"/>
        <v>2.3141600171903746E-3</v>
      </c>
      <c r="W54" s="2"/>
      <c r="X54" s="7">
        <f t="shared" si="20"/>
        <v>-375.75</v>
      </c>
      <c r="Y54" s="2"/>
      <c r="Z54" s="6">
        <f t="shared" si="21"/>
        <v>-1</v>
      </c>
    </row>
    <row r="55" spans="1:26" s="24" customFormat="1" hidden="1" outlineLevel="2" x14ac:dyDescent="0.25">
      <c r="A55" s="28"/>
      <c r="B55" s="11" t="str">
        <f>CONCATENATE("          ", "6113", " - ", "GROUP INSURANCE")</f>
        <v xml:space="preserve">          6113 - GROUP INSURANCE</v>
      </c>
      <c r="C55" s="11"/>
      <c r="D55" s="7"/>
      <c r="E55" s="2"/>
      <c r="F55" s="6">
        <f t="shared" si="14"/>
        <v>0</v>
      </c>
      <c r="G55" s="2"/>
      <c r="H55" s="7">
        <v>462.13</v>
      </c>
      <c r="I55" s="2"/>
      <c r="J55" s="6">
        <f t="shared" si="15"/>
        <v>7.0068213899624416E-3</v>
      </c>
      <c r="K55" s="2"/>
      <c r="L55" s="7">
        <f t="shared" si="16"/>
        <v>-462.13</v>
      </c>
      <c r="M55" s="2"/>
      <c r="N55" s="6">
        <f t="shared" si="17"/>
        <v>-1</v>
      </c>
      <c r="O55" s="11"/>
      <c r="P55" s="7"/>
      <c r="Q55" s="2"/>
      <c r="R55" s="6">
        <f t="shared" si="18"/>
        <v>0</v>
      </c>
      <c r="S55" s="2"/>
      <c r="T55" s="7">
        <v>2310.63</v>
      </c>
      <c r="U55" s="2"/>
      <c r="V55" s="6">
        <f t="shared" si="19"/>
        <v>1.4230652190340904E-2</v>
      </c>
      <c r="W55" s="2"/>
      <c r="X55" s="7">
        <f t="shared" si="20"/>
        <v>-2310.63</v>
      </c>
      <c r="Y55" s="2"/>
      <c r="Z55" s="6">
        <f t="shared" si="21"/>
        <v>-1</v>
      </c>
    </row>
    <row r="56" spans="1:26" s="24" customFormat="1" hidden="1" outlineLevel="2" x14ac:dyDescent="0.25">
      <c r="A56" s="28"/>
      <c r="B56" s="11" t="str">
        <f>CONCATENATE("          ", "6114", " - ", "STATE UNEMPLOYMENT INSURANCE")</f>
        <v xml:space="preserve">          6114 - STATE UNEMPLOYMENT INSURANCE</v>
      </c>
      <c r="C56" s="11"/>
      <c r="D56" s="7"/>
      <c r="E56" s="2"/>
      <c r="F56" s="6">
        <f t="shared" si="14"/>
        <v>0</v>
      </c>
      <c r="G56" s="2"/>
      <c r="H56" s="7">
        <v>18.61</v>
      </c>
      <c r="I56" s="2"/>
      <c r="J56" s="6">
        <f t="shared" si="15"/>
        <v>2.8216507490792857E-4</v>
      </c>
      <c r="K56" s="2"/>
      <c r="L56" s="7">
        <f t="shared" si="16"/>
        <v>-18.61</v>
      </c>
      <c r="M56" s="2"/>
      <c r="N56" s="6">
        <f t="shared" si="17"/>
        <v>-1</v>
      </c>
      <c r="O56" s="11"/>
      <c r="P56" s="7"/>
      <c r="Q56" s="2"/>
      <c r="R56" s="6">
        <f t="shared" si="18"/>
        <v>0</v>
      </c>
      <c r="S56" s="2"/>
      <c r="T56" s="7">
        <v>51.42</v>
      </c>
      <c r="U56" s="2"/>
      <c r="V56" s="6">
        <f t="shared" si="19"/>
        <v>3.1668425305104205E-4</v>
      </c>
      <c r="W56" s="2"/>
      <c r="X56" s="7">
        <f t="shared" si="20"/>
        <v>-51.42</v>
      </c>
      <c r="Y56" s="2"/>
      <c r="Z56" s="6">
        <f t="shared" si="21"/>
        <v>-1</v>
      </c>
    </row>
    <row r="57" spans="1:26" s="24" customFormat="1" hidden="1" outlineLevel="2" x14ac:dyDescent="0.25">
      <c r="A57" s="28"/>
      <c r="B57" s="11" t="str">
        <f>CONCATENATE("          ", "6115", " - ", "P.E.R.S.")</f>
        <v xml:space="preserve">          6115 - P.E.R.S.</v>
      </c>
      <c r="C57" s="11"/>
      <c r="D57" s="7"/>
      <c r="E57" s="2"/>
      <c r="F57" s="6">
        <f t="shared" si="14"/>
        <v>0</v>
      </c>
      <c r="G57" s="2"/>
      <c r="H57" s="7">
        <v>98.12</v>
      </c>
      <c r="I57" s="2"/>
      <c r="J57" s="6">
        <f t="shared" si="15"/>
        <v>1.4876967839852744E-3</v>
      </c>
      <c r="K57" s="2"/>
      <c r="L57" s="7">
        <f t="shared" si="16"/>
        <v>-98.12</v>
      </c>
      <c r="M57" s="2"/>
      <c r="N57" s="6">
        <f t="shared" si="17"/>
        <v>-1</v>
      </c>
      <c r="O57" s="11"/>
      <c r="P57" s="7"/>
      <c r="Q57" s="2"/>
      <c r="R57" s="6">
        <f t="shared" si="18"/>
        <v>0</v>
      </c>
      <c r="S57" s="2"/>
      <c r="T57" s="7">
        <v>464.92</v>
      </c>
      <c r="U57" s="2"/>
      <c r="V57" s="6">
        <f t="shared" si="19"/>
        <v>2.8633380577302698E-3</v>
      </c>
      <c r="W57" s="2"/>
      <c r="X57" s="7">
        <f t="shared" si="20"/>
        <v>-464.92</v>
      </c>
      <c r="Y57" s="2"/>
      <c r="Z57" s="6">
        <f t="shared" si="21"/>
        <v>-1</v>
      </c>
    </row>
    <row r="58" spans="1:26" s="24" customFormat="1" hidden="1" outlineLevel="2" x14ac:dyDescent="0.25">
      <c r="A58" s="28"/>
      <c r="B58" s="11" t="str">
        <f>CONCATENATE("          ", "6118", " - ", "VACATION")</f>
        <v xml:space="preserve">          6118 - VACATION</v>
      </c>
      <c r="C58" s="11"/>
      <c r="D58" s="7"/>
      <c r="E58" s="2"/>
      <c r="F58" s="6">
        <f t="shared" si="14"/>
        <v>0</v>
      </c>
      <c r="G58" s="2"/>
      <c r="H58" s="7">
        <v>286.32</v>
      </c>
      <c r="I58" s="2"/>
      <c r="J58" s="6">
        <f t="shared" si="15"/>
        <v>4.3411877618290224E-3</v>
      </c>
      <c r="K58" s="2"/>
      <c r="L58" s="7">
        <f t="shared" si="16"/>
        <v>-286.32</v>
      </c>
      <c r="M58" s="2"/>
      <c r="N58" s="6">
        <f t="shared" si="17"/>
        <v>-1</v>
      </c>
      <c r="O58" s="11"/>
      <c r="P58" s="7"/>
      <c r="Q58" s="2"/>
      <c r="R58" s="6">
        <f t="shared" si="18"/>
        <v>0</v>
      </c>
      <c r="S58" s="2"/>
      <c r="T58" s="7">
        <v>750.95</v>
      </c>
      <c r="U58" s="2"/>
      <c r="V58" s="6">
        <f t="shared" si="19"/>
        <v>4.6249327076756134E-3</v>
      </c>
      <c r="W58" s="2"/>
      <c r="X58" s="7">
        <f t="shared" si="20"/>
        <v>-750.95</v>
      </c>
      <c r="Y58" s="2"/>
      <c r="Z58" s="6">
        <f t="shared" si="21"/>
        <v>-1</v>
      </c>
    </row>
    <row r="59" spans="1:26" s="24" customFormat="1" hidden="1" outlineLevel="2" x14ac:dyDescent="0.25">
      <c r="A59" s="28"/>
      <c r="B59" s="11" t="str">
        <f>CONCATENATE("          ", "6119", " - ", "SICK LEAVE")</f>
        <v xml:space="preserve">          6119 - SICK LEAVE</v>
      </c>
      <c r="C59" s="11"/>
      <c r="D59" s="7"/>
      <c r="E59" s="2"/>
      <c r="F59" s="6">
        <f t="shared" si="14"/>
        <v>0</v>
      </c>
      <c r="G59" s="2"/>
      <c r="H59" s="7">
        <v>318.14999999999998</v>
      </c>
      <c r="I59" s="2"/>
      <c r="J59" s="6">
        <f t="shared" si="15"/>
        <v>4.8237946578160926E-3</v>
      </c>
      <c r="K59" s="2"/>
      <c r="L59" s="7">
        <f t="shared" si="16"/>
        <v>-318.14999999999998</v>
      </c>
      <c r="M59" s="2"/>
      <c r="N59" s="6">
        <f t="shared" si="17"/>
        <v>-1</v>
      </c>
      <c r="O59" s="11"/>
      <c r="P59" s="7"/>
      <c r="Q59" s="2"/>
      <c r="R59" s="6">
        <f t="shared" si="18"/>
        <v>0</v>
      </c>
      <c r="S59" s="2"/>
      <c r="T59" s="7">
        <v>767.88</v>
      </c>
      <c r="U59" s="2"/>
      <c r="V59" s="6">
        <f t="shared" si="19"/>
        <v>4.7292007824355151E-3</v>
      </c>
      <c r="W59" s="2"/>
      <c r="X59" s="7">
        <f t="shared" si="20"/>
        <v>-767.88</v>
      </c>
      <c r="Y59" s="2"/>
      <c r="Z59" s="6">
        <f t="shared" si="21"/>
        <v>-1</v>
      </c>
    </row>
    <row r="60" spans="1:26" s="27" customFormat="1" outlineLevel="1" collapsed="1" x14ac:dyDescent="0.25">
      <c r="A60" s="29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0</v>
      </c>
      <c r="E60" s="1"/>
      <c r="F60" s="5">
        <f t="shared" ref="F60:F62" si="22">IF(D$12=0,0,D60/D$12)</f>
        <v>0</v>
      </c>
      <c r="G60" s="1"/>
      <c r="H60" s="1">
        <f>SUM(OSRRefH22_1x_0)</f>
        <v>6768.49</v>
      </c>
      <c r="I60" s="1"/>
      <c r="J60" s="5">
        <f t="shared" ref="J60:J62" si="23">IF(H$12=0,0,H60/H$12)</f>
        <v>0.10262393809046565</v>
      </c>
      <c r="K60" s="1"/>
      <c r="L60" s="1">
        <f t="shared" ref="L60:L62" si="24">+D60-H60</f>
        <v>-6768.49</v>
      </c>
      <c r="M60" s="1"/>
      <c r="N60" s="5">
        <f t="shared" ref="N60:N62" si="25">IF(H60=0,0,L60/H60)</f>
        <v>-1</v>
      </c>
      <c r="O60" s="14"/>
      <c r="P60" s="1">
        <f>SUM(OSRRefP22_1x_0)</f>
        <v>0</v>
      </c>
      <c r="Q60" s="1"/>
      <c r="R60" s="5">
        <f t="shared" ref="R60:R62" si="26">IF(P$12=0,0,P60/P$12)</f>
        <v>0</v>
      </c>
      <c r="S60" s="1"/>
      <c r="T60" s="1">
        <f>SUM(OSRRefT22_1x_0)</f>
        <v>21461.17</v>
      </c>
      <c r="U60" s="1"/>
      <c r="V60" s="5">
        <f t="shared" ref="V60:V62" si="27">IF(T$12=0,0,T60/T$12)</f>
        <v>0.13217453502628221</v>
      </c>
      <c r="W60" s="1"/>
      <c r="X60" s="1">
        <f t="shared" ref="X60:X62" si="28">+P60-T60</f>
        <v>-21461.17</v>
      </c>
      <c r="Y60" s="1"/>
      <c r="Z60" s="5">
        <f t="shared" ref="Z60:Z62" si="29">IF(T60=0,0,X60/T60)</f>
        <v>-1</v>
      </c>
    </row>
    <row r="61" spans="1:26" s="24" customFormat="1" hidden="1" outlineLevel="2" x14ac:dyDescent="0.25">
      <c r="A61" s="28"/>
      <c r="B61" s="11" t="str">
        <f>CONCATENATE("          ", "6002", " - ", "STAFF SALARIES")</f>
        <v xml:space="preserve">          6002 - STAFF SALARIES</v>
      </c>
      <c r="C61" s="11"/>
      <c r="D61" s="7"/>
      <c r="E61" s="2"/>
      <c r="F61" s="6">
        <f t="shared" si="22"/>
        <v>0</v>
      </c>
      <c r="G61" s="2"/>
      <c r="H61" s="7">
        <v>1098.8</v>
      </c>
      <c r="I61" s="2"/>
      <c r="J61" s="6">
        <f t="shared" si="23"/>
        <v>1.666002065066265E-2</v>
      </c>
      <c r="K61" s="2"/>
      <c r="L61" s="7">
        <f t="shared" si="24"/>
        <v>-1098.8</v>
      </c>
      <c r="M61" s="2"/>
      <c r="N61" s="6">
        <f t="shared" si="25"/>
        <v>-1</v>
      </c>
      <c r="O61" s="11"/>
      <c r="P61" s="7"/>
      <c r="Q61" s="2"/>
      <c r="R61" s="6">
        <f t="shared" si="26"/>
        <v>0</v>
      </c>
      <c r="S61" s="2"/>
      <c r="T61" s="7">
        <v>6875.91</v>
      </c>
      <c r="U61" s="2"/>
      <c r="V61" s="6">
        <f t="shared" si="27"/>
        <v>4.234718830019818E-2</v>
      </c>
      <c r="W61" s="2"/>
      <c r="X61" s="7">
        <f t="shared" si="28"/>
        <v>-6875.91</v>
      </c>
      <c r="Y61" s="2"/>
      <c r="Z61" s="6">
        <f t="shared" si="29"/>
        <v>-1</v>
      </c>
    </row>
    <row r="62" spans="1:26" s="24" customFormat="1" hidden="1" outlineLevel="2" x14ac:dyDescent="0.25">
      <c r="A62" s="28"/>
      <c r="B62" s="11" t="str">
        <f>CONCATENATE("          ", "6007", " - ", "STUDENT HOURLY")</f>
        <v xml:space="preserve">          6007 - STUDENT HOURLY</v>
      </c>
      <c r="C62" s="11"/>
      <c r="D62" s="7"/>
      <c r="E62" s="2"/>
      <c r="F62" s="6">
        <f t="shared" si="22"/>
        <v>0</v>
      </c>
      <c r="G62" s="2"/>
      <c r="H62" s="7">
        <v>5669.69</v>
      </c>
      <c r="I62" s="2"/>
      <c r="J62" s="6">
        <f t="shared" si="23"/>
        <v>8.5963917439802986E-2</v>
      </c>
      <c r="K62" s="2"/>
      <c r="L62" s="7">
        <f t="shared" si="24"/>
        <v>-5669.69</v>
      </c>
      <c r="M62" s="2"/>
      <c r="N62" s="6">
        <f t="shared" si="25"/>
        <v>-1</v>
      </c>
      <c r="O62" s="11"/>
      <c r="P62" s="7"/>
      <c r="Q62" s="2"/>
      <c r="R62" s="6">
        <f t="shared" si="26"/>
        <v>0</v>
      </c>
      <c r="S62" s="2"/>
      <c r="T62" s="7">
        <v>14585.26</v>
      </c>
      <c r="U62" s="2"/>
      <c r="V62" s="6">
        <f t="shared" si="27"/>
        <v>8.9827346726084042E-2</v>
      </c>
      <c r="W62" s="2"/>
      <c r="X62" s="7">
        <f t="shared" si="28"/>
        <v>-14585.26</v>
      </c>
      <c r="Y62" s="2"/>
      <c r="Z62" s="6">
        <f t="shared" si="29"/>
        <v>-1</v>
      </c>
    </row>
    <row r="63" spans="1:26" s="27" customFormat="1" outlineLevel="1" collapsed="1" x14ac:dyDescent="0.25">
      <c r="A63" s="29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0</v>
      </c>
      <c r="E63" s="1"/>
      <c r="F63" s="5">
        <f t="shared" ref="F63:F67" si="30">IF(D$12=0,0,D63/D$12)</f>
        <v>0</v>
      </c>
      <c r="G63" s="1"/>
      <c r="H63" s="1">
        <f>SUM(OSRRefH22_2x_0)</f>
        <v>45.86</v>
      </c>
      <c r="I63" s="1"/>
      <c r="J63" s="5">
        <f t="shared" ref="J63:J67" si="31">IF(H$12=0,0,H63/H$12)</f>
        <v>6.95329948161075E-4</v>
      </c>
      <c r="K63" s="1"/>
      <c r="L63" s="1">
        <f t="shared" ref="L63:L67" si="32">+D63-H63</f>
        <v>-45.86</v>
      </c>
      <c r="M63" s="1"/>
      <c r="N63" s="5">
        <f t="shared" ref="N63:N67" si="33">IF(H63=0,0,L63/H63)</f>
        <v>-1</v>
      </c>
      <c r="O63" s="14"/>
      <c r="P63" s="1">
        <f>SUM(OSRRefP22_2x_0)</f>
        <v>0</v>
      </c>
      <c r="Q63" s="1"/>
      <c r="R63" s="5">
        <f t="shared" ref="R63:R67" si="34">IF(P$12=0,0,P63/P$12)</f>
        <v>0</v>
      </c>
      <c r="S63" s="1"/>
      <c r="T63" s="1">
        <f>SUM(OSRRefT22_2x_0)</f>
        <v>45.86</v>
      </c>
      <c r="U63" s="1"/>
      <c r="V63" s="5">
        <f t="shared" ref="V63:V67" si="35">IF(T$12=0,0,T63/T$12)</f>
        <v>2.824414594500348E-4</v>
      </c>
      <c r="W63" s="1"/>
      <c r="X63" s="1">
        <f t="shared" ref="X63:X67" si="36">+P63-T63</f>
        <v>-45.86</v>
      </c>
      <c r="Y63" s="1"/>
      <c r="Z63" s="5">
        <f t="shared" ref="Z63:Z67" si="37">IF(T63=0,0,X63/T63)</f>
        <v>-1</v>
      </c>
    </row>
    <row r="64" spans="1:26" s="24" customFormat="1" hidden="1" outlineLevel="2" x14ac:dyDescent="0.25">
      <c r="A64" s="28"/>
      <c r="B64" s="11" t="str">
        <f>CONCATENATE("          ", "6362", " - ", "ADVERTISING EXPENSE")</f>
        <v xml:space="preserve">          6362 - ADVERTISING EXPENSE</v>
      </c>
      <c r="C64" s="11"/>
      <c r="D64" s="7"/>
      <c r="E64" s="2"/>
      <c r="F64" s="6">
        <f t="shared" si="30"/>
        <v>0</v>
      </c>
      <c r="G64" s="2"/>
      <c r="H64" s="7">
        <v>45.86</v>
      </c>
      <c r="I64" s="2"/>
      <c r="J64" s="6">
        <f t="shared" si="31"/>
        <v>6.95329948161075E-4</v>
      </c>
      <c r="K64" s="2"/>
      <c r="L64" s="7">
        <f t="shared" si="32"/>
        <v>-45.86</v>
      </c>
      <c r="M64" s="2"/>
      <c r="N64" s="6">
        <f t="shared" si="33"/>
        <v>-1</v>
      </c>
      <c r="O64" s="11"/>
      <c r="P64" s="7"/>
      <c r="Q64" s="2"/>
      <c r="R64" s="6">
        <f t="shared" si="34"/>
        <v>0</v>
      </c>
      <c r="S64" s="2"/>
      <c r="T64" s="7">
        <v>45.86</v>
      </c>
      <c r="U64" s="2"/>
      <c r="V64" s="6">
        <f t="shared" si="35"/>
        <v>2.824414594500348E-4</v>
      </c>
      <c r="W64" s="2"/>
      <c r="X64" s="7">
        <f t="shared" si="36"/>
        <v>-45.86</v>
      </c>
      <c r="Y64" s="2"/>
      <c r="Z64" s="6">
        <f t="shared" si="37"/>
        <v>-1</v>
      </c>
    </row>
    <row r="65" spans="1:26" s="27" customFormat="1" outlineLevel="1" collapsed="1" x14ac:dyDescent="0.25">
      <c r="A65" s="29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SUM(OSRRefD22_3x_0)</f>
        <v>0</v>
      </c>
      <c r="E65" s="1"/>
      <c r="F65" s="5">
        <f t="shared" si="30"/>
        <v>0</v>
      </c>
      <c r="G65" s="1"/>
      <c r="H65" s="1">
        <f>SUM(OSRRefH22_3x_0)</f>
        <v>321.94</v>
      </c>
      <c r="I65" s="1"/>
      <c r="J65" s="5">
        <f t="shared" si="31"/>
        <v>4.8812586897290988E-3</v>
      </c>
      <c r="K65" s="1"/>
      <c r="L65" s="1">
        <f t="shared" si="32"/>
        <v>-321.94</v>
      </c>
      <c r="M65" s="1"/>
      <c r="N65" s="5">
        <f t="shared" si="33"/>
        <v>-1</v>
      </c>
      <c r="O65" s="14"/>
      <c r="P65" s="1">
        <f>SUM(OSRRefP22_3x_0)</f>
        <v>0</v>
      </c>
      <c r="Q65" s="1"/>
      <c r="R65" s="5">
        <f t="shared" si="34"/>
        <v>0</v>
      </c>
      <c r="S65" s="1"/>
      <c r="T65" s="1">
        <f>SUM(OSRRefT22_3x_0)</f>
        <v>3382.41</v>
      </c>
      <c r="U65" s="1"/>
      <c r="V65" s="5">
        <f t="shared" si="35"/>
        <v>2.0831504946759533E-2</v>
      </c>
      <c r="W65" s="1"/>
      <c r="X65" s="1">
        <f t="shared" si="36"/>
        <v>-3382.41</v>
      </c>
      <c r="Y65" s="1"/>
      <c r="Z65" s="5">
        <f t="shared" si="37"/>
        <v>-1</v>
      </c>
    </row>
    <row r="66" spans="1:26" s="24" customFormat="1" hidden="1" outlineLevel="2" x14ac:dyDescent="0.25">
      <c r="A66" s="28"/>
      <c r="B66" s="11" t="str">
        <f>CONCATENATE("          ", "6382", " - ", "DISCOUNTS/MARK DOWNS")</f>
        <v xml:space="preserve">          6382 - DISCOUNTS/MARK DOWNS</v>
      </c>
      <c r="C66" s="11"/>
      <c r="D66" s="7"/>
      <c r="E66" s="2"/>
      <c r="F66" s="6">
        <f t="shared" si="30"/>
        <v>0</v>
      </c>
      <c r="G66" s="2"/>
      <c r="H66" s="7">
        <v>373.06</v>
      </c>
      <c r="I66" s="2"/>
      <c r="J66" s="6">
        <f t="shared" si="31"/>
        <v>5.656340829938304E-3</v>
      </c>
      <c r="K66" s="2"/>
      <c r="L66" s="7">
        <f t="shared" si="32"/>
        <v>-373.06</v>
      </c>
      <c r="M66" s="2"/>
      <c r="N66" s="6">
        <f t="shared" si="33"/>
        <v>-1</v>
      </c>
      <c r="O66" s="11"/>
      <c r="P66" s="7"/>
      <c r="Q66" s="2"/>
      <c r="R66" s="6">
        <f t="shared" si="34"/>
        <v>0</v>
      </c>
      <c r="S66" s="2"/>
      <c r="T66" s="7">
        <v>3488.33</v>
      </c>
      <c r="U66" s="2"/>
      <c r="V66" s="6">
        <f t="shared" si="35"/>
        <v>2.1483842482410375E-2</v>
      </c>
      <c r="W66" s="2"/>
      <c r="X66" s="7">
        <f t="shared" si="36"/>
        <v>-3488.33</v>
      </c>
      <c r="Y66" s="2"/>
      <c r="Z66" s="6">
        <f t="shared" si="37"/>
        <v>-1</v>
      </c>
    </row>
    <row r="67" spans="1:26" s="24" customFormat="1" hidden="1" outlineLevel="2" x14ac:dyDescent="0.25">
      <c r="A67" s="28"/>
      <c r="B67" s="11" t="str">
        <f>CONCATENATE("          ", "9175", " - ", "EARNED DISCOUNTS")</f>
        <v xml:space="preserve">          9175 - EARNED DISCOUNTS</v>
      </c>
      <c r="C67" s="11"/>
      <c r="D67" s="7"/>
      <c r="E67" s="2"/>
      <c r="F67" s="6">
        <f t="shared" si="30"/>
        <v>0</v>
      </c>
      <c r="G67" s="2"/>
      <c r="H67" s="7">
        <v>-51.12</v>
      </c>
      <c r="I67" s="2"/>
      <c r="J67" s="6">
        <f t="shared" si="31"/>
        <v>-7.7508214020920521E-4</v>
      </c>
      <c r="K67" s="2"/>
      <c r="L67" s="7">
        <f t="shared" si="32"/>
        <v>51.12</v>
      </c>
      <c r="M67" s="2"/>
      <c r="N67" s="6">
        <f t="shared" si="33"/>
        <v>-1</v>
      </c>
      <c r="O67" s="11"/>
      <c r="P67" s="7"/>
      <c r="Q67" s="2"/>
      <c r="R67" s="6">
        <f t="shared" si="34"/>
        <v>0</v>
      </c>
      <c r="S67" s="2"/>
      <c r="T67" s="7">
        <v>-105.92</v>
      </c>
      <c r="U67" s="2"/>
      <c r="V67" s="6">
        <f t="shared" si="35"/>
        <v>-6.5233753565084357E-4</v>
      </c>
      <c r="W67" s="2"/>
      <c r="X67" s="7">
        <f t="shared" si="36"/>
        <v>105.92</v>
      </c>
      <c r="Y67" s="2"/>
      <c r="Z67" s="6">
        <f t="shared" si="37"/>
        <v>-1</v>
      </c>
    </row>
    <row r="68" spans="1:26" s="27" customFormat="1" outlineLevel="1" collapsed="1" x14ac:dyDescent="0.25">
      <c r="A68" s="29"/>
      <c r="B68" s="14" t="str">
        <f>CONCATENATE("     ","Subscriptions &amp; Dues                              ")</f>
        <v xml:space="preserve">     Subscriptions &amp; Dues                              </v>
      </c>
      <c r="C68" s="14"/>
      <c r="D68" s="1">
        <f>SUM(OSRRefD22_4x_0)</f>
        <v>0</v>
      </c>
      <c r="E68" s="1"/>
      <c r="F68" s="5">
        <f t="shared" ref="F68:F71" si="38">IF(D$12=0,0,D68/D$12)</f>
        <v>0</v>
      </c>
      <c r="G68" s="1"/>
      <c r="H68" s="1">
        <f>SUM(OSRRefH22_4x_0)</f>
        <v>0</v>
      </c>
      <c r="I68" s="1"/>
      <c r="J68" s="5">
        <f t="shared" ref="J68:J71" si="39">IF(H$12=0,0,H68/H$12)</f>
        <v>0</v>
      </c>
      <c r="K68" s="1"/>
      <c r="L68" s="1">
        <f t="shared" ref="L68:L71" si="40">+D68-H68</f>
        <v>0</v>
      </c>
      <c r="M68" s="1"/>
      <c r="N68" s="5">
        <f t="shared" ref="N68:N71" si="41">IF(H68=0,0,L68/H68)</f>
        <v>0</v>
      </c>
      <c r="O68" s="14"/>
      <c r="P68" s="1">
        <f>SUM(OSRRefP22_4x_0)</f>
        <v>0</v>
      </c>
      <c r="Q68" s="1"/>
      <c r="R68" s="5">
        <f t="shared" ref="R68:R71" si="42">IF(P$12=0,0,P68/P$12)</f>
        <v>0</v>
      </c>
      <c r="S68" s="1"/>
      <c r="T68" s="1">
        <f>SUM(OSRRefT22_4x_0)</f>
        <v>120</v>
      </c>
      <c r="U68" s="1"/>
      <c r="V68" s="5">
        <f t="shared" ref="V68:V71" si="43">IF(T$12=0,0,T68/T$12)</f>
        <v>7.3905309930231522E-4</v>
      </c>
      <c r="W68" s="1"/>
      <c r="X68" s="1">
        <f t="shared" ref="X68:X71" si="44">+P68-T68</f>
        <v>-120</v>
      </c>
      <c r="Y68" s="1"/>
      <c r="Z68" s="5">
        <f t="shared" ref="Z68:Z71" si="45">IF(T68=0,0,X68/T68)</f>
        <v>-1</v>
      </c>
    </row>
    <row r="69" spans="1:26" s="24" customFormat="1" hidden="1" outlineLevel="2" x14ac:dyDescent="0.25">
      <c r="A69" s="28"/>
      <c r="B69" s="11" t="str">
        <f>CONCATENATE("          ", "6258", " - ", "MEMBERSHIP DUES")</f>
        <v xml:space="preserve">          6258 - MEMBERSHIP DUES</v>
      </c>
      <c r="C69" s="11"/>
      <c r="D69" s="7"/>
      <c r="E69" s="2"/>
      <c r="F69" s="6">
        <f t="shared" si="38"/>
        <v>0</v>
      </c>
      <c r="G69" s="2"/>
      <c r="H69" s="7"/>
      <c r="I69" s="2"/>
      <c r="J69" s="6">
        <f t="shared" si="39"/>
        <v>0</v>
      </c>
      <c r="K69" s="2"/>
      <c r="L69" s="7">
        <f t="shared" si="40"/>
        <v>0</v>
      </c>
      <c r="M69" s="2"/>
      <c r="N69" s="6">
        <f t="shared" si="41"/>
        <v>0</v>
      </c>
      <c r="O69" s="11"/>
      <c r="P69" s="7"/>
      <c r="Q69" s="2"/>
      <c r="R69" s="6">
        <f t="shared" si="42"/>
        <v>0</v>
      </c>
      <c r="S69" s="2"/>
      <c r="T69" s="7">
        <v>120</v>
      </c>
      <c r="U69" s="2"/>
      <c r="V69" s="6">
        <f t="shared" si="43"/>
        <v>7.3905309930231522E-4</v>
      </c>
      <c r="W69" s="2"/>
      <c r="X69" s="7">
        <f t="shared" si="44"/>
        <v>-120</v>
      </c>
      <c r="Y69" s="2"/>
      <c r="Z69" s="6">
        <f t="shared" si="45"/>
        <v>-1</v>
      </c>
    </row>
    <row r="70" spans="1:26" s="27" customFormat="1" outlineLevel="1" collapsed="1" x14ac:dyDescent="0.25">
      <c r="A70" s="29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SUM(OSRRefD22_5x_0)</f>
        <v>0</v>
      </c>
      <c r="E70" s="1"/>
      <c r="F70" s="5">
        <f t="shared" si="38"/>
        <v>0</v>
      </c>
      <c r="G70" s="1"/>
      <c r="H70" s="1">
        <f>SUM(OSRRefH22_5x_0)</f>
        <v>0</v>
      </c>
      <c r="I70" s="1"/>
      <c r="J70" s="5">
        <f t="shared" si="39"/>
        <v>0</v>
      </c>
      <c r="K70" s="1"/>
      <c r="L70" s="1">
        <f t="shared" si="40"/>
        <v>0</v>
      </c>
      <c r="M70" s="1"/>
      <c r="N70" s="5">
        <f t="shared" si="41"/>
        <v>0</v>
      </c>
      <c r="O70" s="14"/>
      <c r="P70" s="1">
        <f>SUM(OSRRefP22_5x_0)</f>
        <v>0</v>
      </c>
      <c r="Q70" s="1"/>
      <c r="R70" s="5">
        <f t="shared" si="42"/>
        <v>0</v>
      </c>
      <c r="S70" s="1"/>
      <c r="T70" s="1">
        <f>SUM(OSRRefT22_5x_0)</f>
        <v>198.33</v>
      </c>
      <c r="U70" s="1"/>
      <c r="V70" s="5">
        <f t="shared" si="43"/>
        <v>1.2214700098719014E-3</v>
      </c>
      <c r="W70" s="1"/>
      <c r="X70" s="1">
        <f t="shared" si="44"/>
        <v>-198.33</v>
      </c>
      <c r="Y70" s="1"/>
      <c r="Z70" s="5">
        <f t="shared" si="45"/>
        <v>-1</v>
      </c>
    </row>
    <row r="71" spans="1:26" s="24" customFormat="1" hidden="1" outlineLevel="2" x14ac:dyDescent="0.25">
      <c r="A71" s="28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38"/>
        <v>0</v>
      </c>
      <c r="G71" s="2"/>
      <c r="H71" s="7"/>
      <c r="I71" s="2"/>
      <c r="J71" s="6">
        <f t="shared" si="39"/>
        <v>0</v>
      </c>
      <c r="K71" s="2"/>
      <c r="L71" s="7">
        <f t="shared" si="40"/>
        <v>0</v>
      </c>
      <c r="M71" s="2"/>
      <c r="N71" s="6">
        <f t="shared" si="41"/>
        <v>0</v>
      </c>
      <c r="O71" s="11"/>
      <c r="P71" s="7"/>
      <c r="Q71" s="2"/>
      <c r="R71" s="6">
        <f t="shared" si="42"/>
        <v>0</v>
      </c>
      <c r="S71" s="2"/>
      <c r="T71" s="7">
        <v>198.33</v>
      </c>
      <c r="U71" s="2"/>
      <c r="V71" s="6">
        <f t="shared" si="43"/>
        <v>1.2214700098719014E-3</v>
      </c>
      <c r="W71" s="2"/>
      <c r="X71" s="7">
        <f t="shared" si="44"/>
        <v>-198.33</v>
      </c>
      <c r="Y71" s="2"/>
      <c r="Z71" s="6">
        <f t="shared" si="45"/>
        <v>-1</v>
      </c>
    </row>
    <row r="72" spans="1:26" s="60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6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3</v>
      </c>
      <c r="C75" s="25"/>
      <c r="D75" s="22">
        <f>+D49-D51+D73</f>
        <v>0</v>
      </c>
      <c r="E75" s="13"/>
      <c r="F75" s="21">
        <f>IF(D$12=0,0,D75/D$12)</f>
        <v>0</v>
      </c>
      <c r="G75" s="13"/>
      <c r="H75" s="22">
        <f>+H49-H51+H73</f>
        <v>25421.110000000022</v>
      </c>
      <c r="I75" s="13"/>
      <c r="J75" s="21">
        <f>IF(H$12=0,0,H75/H$12)</f>
        <v>0.38543521802217617</v>
      </c>
      <c r="K75" s="15"/>
      <c r="L75" s="22">
        <f>+D75-H75</f>
        <v>-25421.110000000022</v>
      </c>
      <c r="M75" s="15"/>
      <c r="N75" s="21">
        <f>IF(H75=0,0,L75/H75)</f>
        <v>-1</v>
      </c>
      <c r="O75" s="26"/>
      <c r="P75" s="22">
        <f>+P49-P51+P73</f>
        <v>0</v>
      </c>
      <c r="Q75" s="13"/>
      <c r="R75" s="21">
        <f>IF(P$12=0,0,P75/P$12)</f>
        <v>0</v>
      </c>
      <c r="S75" s="13"/>
      <c r="T75" s="22">
        <f>+T49-T51+T73</f>
        <v>56739.770000000033</v>
      </c>
      <c r="U75" s="13"/>
      <c r="V75" s="21">
        <f>IF(T$12=0,0,T75/T$12)</f>
        <v>0.34944752393500456</v>
      </c>
      <c r="W75" s="15"/>
      <c r="X75" s="22">
        <f>+P75-T75</f>
        <v>-56739.770000000033</v>
      </c>
      <c r="Y75" s="15"/>
      <c r="Z75" s="21">
        <f>IF(T75=0,0,X75/T75)</f>
        <v>-1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/>
      <c r="E77" s="4"/>
      <c r="F77" s="12">
        <f>IF(D$12=0,0,D77/D$12)</f>
        <v>0</v>
      </c>
      <c r="G77" s="4"/>
      <c r="H77" s="4">
        <v>5419.41</v>
      </c>
      <c r="I77" s="4"/>
      <c r="J77" s="12">
        <f>IF(H$12=0,0,H77/H$12)</f>
        <v>8.2169168651626934E-2</v>
      </c>
      <c r="K77" s="4"/>
      <c r="L77" s="4">
        <f>+D77-H77</f>
        <v>-5419.41</v>
      </c>
      <c r="M77" s="4"/>
      <c r="N77" s="12">
        <f>IF(H77=0,0,L77/H77)</f>
        <v>-1</v>
      </c>
      <c r="O77" s="10"/>
      <c r="P77" s="4"/>
      <c r="Q77" s="4"/>
      <c r="R77" s="12">
        <f>IF(P$12=0,0,P77/P$12)</f>
        <v>0</v>
      </c>
      <c r="S77" s="4"/>
      <c r="T77" s="4">
        <v>17440.68</v>
      </c>
      <c r="U77" s="4"/>
      <c r="V77" s="12">
        <f>IF(T$12=0,0,T77/T$12)</f>
        <v>0.10741323839949919</v>
      </c>
      <c r="W77" s="4"/>
      <c r="X77" s="4">
        <f>+P77-T77</f>
        <v>-17440.68</v>
      </c>
      <c r="Y77" s="4"/>
      <c r="Z77" s="12">
        <f>IF(T77=0,0,X77/T77)</f>
        <v>-1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4</v>
      </c>
      <c r="C79" s="25"/>
      <c r="D79" s="33">
        <f>+D75-D77</f>
        <v>0</v>
      </c>
      <c r="E79" s="13"/>
      <c r="F79" s="32">
        <f>IF(D$12=0,0,D79/D$12)</f>
        <v>0</v>
      </c>
      <c r="G79" s="13"/>
      <c r="H79" s="33">
        <f>+H75-H77</f>
        <v>20001.700000000023</v>
      </c>
      <c r="I79" s="13"/>
      <c r="J79" s="32">
        <f>IF(H$12=0,0,H79/H$12)</f>
        <v>0.30326604937054924</v>
      </c>
      <c r="K79" s="15"/>
      <c r="L79" s="33">
        <f>D79-H79</f>
        <v>-20001.700000000023</v>
      </c>
      <c r="M79" s="15"/>
      <c r="N79" s="32">
        <f>IF(H79=0,0,L79/H79)</f>
        <v>-1</v>
      </c>
      <c r="O79" s="26"/>
      <c r="P79" s="33">
        <f>+P75-P77</f>
        <v>0</v>
      </c>
      <c r="Q79" s="13"/>
      <c r="R79" s="32">
        <f>IF(P$12=0,0,P79/P$12)</f>
        <v>0</v>
      </c>
      <c r="S79" s="13"/>
      <c r="T79" s="33">
        <f>+T75-T77</f>
        <v>39299.090000000033</v>
      </c>
      <c r="U79" s="13"/>
      <c r="V79" s="32">
        <f>IF(T$12=0,0,T79/T$12)</f>
        <v>0.24203428553550538</v>
      </c>
      <c r="W79" s="15"/>
      <c r="X79" s="33">
        <f>P79-T79</f>
        <v>-39299.090000000033</v>
      </c>
      <c r="Y79" s="15"/>
      <c r="Z79" s="32">
        <f>IF(T79=0,0,X79/T79)</f>
        <v>-1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5</v>
      </c>
      <c r="C82" s="25"/>
      <c r="D82" s="34">
        <f>SUM(D79:D81)</f>
        <v>0</v>
      </c>
      <c r="E82" s="13"/>
      <c r="F82" s="31">
        <f>IF(D$12=0,0,D82/D$12)</f>
        <v>0</v>
      </c>
      <c r="G82" s="13"/>
      <c r="H82" s="34">
        <f>SUM(H79:H81)</f>
        <v>20001.700000000023</v>
      </c>
      <c r="I82" s="13"/>
      <c r="J82" s="31">
        <f>IF(H$12=0,0,H82/H$12)</f>
        <v>0.30326604937054924</v>
      </c>
      <c r="K82" s="15"/>
      <c r="L82" s="34">
        <f>+D82-H82</f>
        <v>-20001.700000000023</v>
      </c>
      <c r="M82" s="15"/>
      <c r="N82" s="31">
        <f>IF(H82=0,0,L82/H82)</f>
        <v>-1</v>
      </c>
      <c r="O82" s="26"/>
      <c r="P82" s="34">
        <f>SUM(P79:P81)</f>
        <v>0</v>
      </c>
      <c r="Q82" s="13"/>
      <c r="R82" s="31">
        <f>IF(P$12=0,0,P82/P$12)</f>
        <v>0</v>
      </c>
      <c r="S82" s="13"/>
      <c r="T82" s="34">
        <f>SUM(T79:T81)</f>
        <v>39299.090000000033</v>
      </c>
      <c r="U82" s="13"/>
      <c r="V82" s="31">
        <f>IF(T$12=0,0,T82/T$12)</f>
        <v>0.24203428553550538</v>
      </c>
      <c r="W82" s="15"/>
      <c r="X82" s="34">
        <f>+P82-T82</f>
        <v>-39299.090000000033</v>
      </c>
      <c r="Y82" s="15"/>
      <c r="Z82" s="31">
        <f>IF(T82=0,0,X82/T82)</f>
        <v>-1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4">
        <v>44123.565274502318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9" t="s">
        <v>313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8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301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237375.66999999998</v>
      </c>
      <c r="E12" s="4"/>
      <c r="F12" s="12"/>
      <c r="G12" s="4"/>
      <c r="H12" s="4">
        <f>SUM(OSRRefH13x_0)</f>
        <v>577911.13000000024</v>
      </c>
      <c r="I12" s="4"/>
      <c r="J12" s="12"/>
      <c r="K12" s="4"/>
      <c r="L12" s="4">
        <f t="shared" ref="L12:L39" si="0">+D12-H12</f>
        <v>-340535.46000000025</v>
      </c>
      <c r="M12" s="4"/>
      <c r="N12" s="12">
        <f t="shared" ref="N12:N39" si="1">IF(H12=0,0,L12/H12)</f>
        <v>-0.58925229559084646</v>
      </c>
      <c r="O12" s="10"/>
      <c r="P12" s="4">
        <f>SUM(OSRRefP13x_0)</f>
        <v>1511522.7900000003</v>
      </c>
      <c r="Q12" s="4"/>
      <c r="R12" s="12"/>
      <c r="S12" s="4"/>
      <c r="T12" s="4">
        <f>SUM(OSRRefT13x_0)</f>
        <v>2819726.6999999979</v>
      </c>
      <c r="U12" s="4"/>
      <c r="V12" s="12"/>
      <c r="W12" s="4"/>
      <c r="X12" s="4">
        <f t="shared" ref="X12:X39" si="2">+P12-T12</f>
        <v>-1308203.9099999976</v>
      </c>
      <c r="Y12" s="4"/>
      <c r="Z12" s="12">
        <f t="shared" ref="Z12:Z39" si="3">IF(T12=0,0,X12/T12)</f>
        <v>-0.46394705912455936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-965.28</f>
        <v>-965.28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-965.28</v>
      </c>
      <c r="M13" s="2"/>
      <c r="N13" s="19">
        <f t="shared" si="1"/>
        <v>0</v>
      </c>
      <c r="O13" s="11"/>
      <c r="P13" s="2">
        <f>-4993.54</f>
        <v>-4993.54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-4993.54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19"/>
      <c r="G14" s="2"/>
      <c r="H14" s="2">
        <f>--336733.45</f>
        <v>336733.45</v>
      </c>
      <c r="I14" s="2"/>
      <c r="J14" s="19"/>
      <c r="K14" s="2"/>
      <c r="L14" s="2">
        <f t="shared" si="0"/>
        <v>-226234.13</v>
      </c>
      <c r="M14" s="2"/>
      <c r="N14" s="19">
        <f t="shared" si="1"/>
        <v>-0.67184929207359712</v>
      </c>
      <c r="O14" s="11"/>
      <c r="P14" s="2">
        <f>--694696.64</f>
        <v>694696.64</v>
      </c>
      <c r="Q14" s="2"/>
      <c r="R14" s="19"/>
      <c r="S14" s="2"/>
      <c r="T14" s="2">
        <f>--1463955.42</f>
        <v>1463955.42</v>
      </c>
      <c r="U14" s="2"/>
      <c r="V14" s="19"/>
      <c r="W14" s="2"/>
      <c r="X14" s="2">
        <f t="shared" si="2"/>
        <v>-769258.77999999991</v>
      </c>
      <c r="Y14" s="2"/>
      <c r="Z14" s="19">
        <f t="shared" si="3"/>
        <v>-0.5254659872088181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19"/>
      <c r="G15" s="2"/>
      <c r="H15" s="2">
        <f>--101849.66</f>
        <v>101849.66</v>
      </c>
      <c r="I15" s="2"/>
      <c r="J15" s="19"/>
      <c r="K15" s="2"/>
      <c r="L15" s="2">
        <f t="shared" si="0"/>
        <v>-63805.920000000006</v>
      </c>
      <c r="M15" s="2"/>
      <c r="N15" s="19">
        <f t="shared" si="1"/>
        <v>-0.62647160530530988</v>
      </c>
      <c r="O15" s="11"/>
      <c r="P15" s="2">
        <f>--316655.9</f>
        <v>316655.90000000002</v>
      </c>
      <c r="Q15" s="2"/>
      <c r="R15" s="19"/>
      <c r="S15" s="2"/>
      <c r="T15" s="2">
        <f>--657310.58</f>
        <v>657310.57999999996</v>
      </c>
      <c r="U15" s="2"/>
      <c r="V15" s="19"/>
      <c r="W15" s="2"/>
      <c r="X15" s="2">
        <f t="shared" si="2"/>
        <v>-340654.67999999993</v>
      </c>
      <c r="Y15" s="2"/>
      <c r="Z15" s="19">
        <f t="shared" si="3"/>
        <v>-0.51825528200078563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19"/>
      <c r="G16" s="2"/>
      <c r="H16" s="2">
        <f>--2800.64</f>
        <v>2800.64</v>
      </c>
      <c r="I16" s="2"/>
      <c r="J16" s="19"/>
      <c r="K16" s="2"/>
      <c r="L16" s="2">
        <f t="shared" si="0"/>
        <v>-1260.8499999999999</v>
      </c>
      <c r="M16" s="2"/>
      <c r="N16" s="19">
        <f t="shared" si="1"/>
        <v>-0.45020066841864714</v>
      </c>
      <c r="O16" s="11"/>
      <c r="P16" s="2">
        <f>--10595.63</f>
        <v>10595.63</v>
      </c>
      <c r="Q16" s="2"/>
      <c r="R16" s="19"/>
      <c r="S16" s="2"/>
      <c r="T16" s="2">
        <f>--15536.69</f>
        <v>15536.69</v>
      </c>
      <c r="U16" s="2"/>
      <c r="V16" s="19"/>
      <c r="W16" s="2"/>
      <c r="X16" s="2">
        <f t="shared" si="2"/>
        <v>-4941.0600000000013</v>
      </c>
      <c r="Y16" s="2"/>
      <c r="Z16" s="19">
        <f t="shared" si="3"/>
        <v>-0.31802526793029928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19"/>
      <c r="G17" s="2"/>
      <c r="H17" s="2">
        <f>--7290.37</f>
        <v>7290.37</v>
      </c>
      <c r="I17" s="2"/>
      <c r="J17" s="19"/>
      <c r="K17" s="2"/>
      <c r="L17" s="2">
        <f t="shared" si="0"/>
        <v>-7006.15</v>
      </c>
      <c r="M17" s="2"/>
      <c r="N17" s="19">
        <f t="shared" si="1"/>
        <v>-0.96101432437585466</v>
      </c>
      <c r="O17" s="11"/>
      <c r="P17" s="2">
        <f>--2105.11</f>
        <v>2105.11</v>
      </c>
      <c r="Q17" s="2"/>
      <c r="R17" s="19"/>
      <c r="S17" s="2"/>
      <c r="T17" s="2">
        <f>--29700.44</f>
        <v>29700.44</v>
      </c>
      <c r="U17" s="2"/>
      <c r="V17" s="19"/>
      <c r="W17" s="2"/>
      <c r="X17" s="2">
        <f t="shared" si="2"/>
        <v>-27595.329999999998</v>
      </c>
      <c r="Y17" s="2"/>
      <c r="Z17" s="19">
        <f t="shared" si="3"/>
        <v>-0.92912192546642403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ref="D18:D19" si="4">0</f>
        <v>0</v>
      </c>
      <c r="E18" s="2"/>
      <c r="F18" s="19"/>
      <c r="G18" s="2"/>
      <c r="H18" s="2">
        <f>--9.6</f>
        <v>9.6</v>
      </c>
      <c r="I18" s="2"/>
      <c r="J18" s="19"/>
      <c r="K18" s="2"/>
      <c r="L18" s="2">
        <f t="shared" si="0"/>
        <v>-9.6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--29.95</f>
        <v>29.95</v>
      </c>
      <c r="I19" s="2"/>
      <c r="J19" s="19"/>
      <c r="K19" s="2"/>
      <c r="L19" s="2">
        <f t="shared" si="0"/>
        <v>-29.95</v>
      </c>
      <c r="M19" s="2"/>
      <c r="N19" s="19">
        <f t="shared" si="1"/>
        <v>-1</v>
      </c>
      <c r="O19" s="11"/>
      <c r="P19" s="2">
        <f>--39.9</f>
        <v>39.9</v>
      </c>
      <c r="Q19" s="2"/>
      <c r="R19" s="19"/>
      <c r="S19" s="2"/>
      <c r="T19" s="2">
        <f>--140.76</f>
        <v>140.76</v>
      </c>
      <c r="U19" s="2"/>
      <c r="V19" s="19"/>
      <c r="W19" s="2"/>
      <c r="X19" s="2">
        <f t="shared" si="2"/>
        <v>-100.85999999999999</v>
      </c>
      <c r="Y19" s="2"/>
      <c r="Z19" s="19">
        <f t="shared" si="3"/>
        <v>-0.71653878942881499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--97.51</f>
        <v>97.51</v>
      </c>
      <c r="E20" s="2"/>
      <c r="F20" s="19"/>
      <c r="G20" s="2"/>
      <c r="H20" s="2">
        <f>--97.44</f>
        <v>97.44</v>
      </c>
      <c r="I20" s="2"/>
      <c r="J20" s="19"/>
      <c r="K20" s="2"/>
      <c r="L20" s="2">
        <f t="shared" si="0"/>
        <v>7.000000000000739E-2</v>
      </c>
      <c r="M20" s="2"/>
      <c r="N20" s="19">
        <f t="shared" si="1"/>
        <v>7.1839080459777703E-4</v>
      </c>
      <c r="O20" s="11"/>
      <c r="P20" s="2">
        <f>--304.44</f>
        <v>304.44</v>
      </c>
      <c r="Q20" s="2"/>
      <c r="R20" s="19"/>
      <c r="S20" s="2"/>
      <c r="T20" s="2">
        <f>--523.09</f>
        <v>523.09</v>
      </c>
      <c r="U20" s="2"/>
      <c r="V20" s="19"/>
      <c r="W20" s="2"/>
      <c r="X20" s="2">
        <f t="shared" si="2"/>
        <v>-218.65000000000003</v>
      </c>
      <c r="Y20" s="2"/>
      <c r="Z20" s="19">
        <f t="shared" si="3"/>
        <v>-0.41799690301860104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--48.87</f>
        <v>48.87</v>
      </c>
      <c r="E21" s="2"/>
      <c r="F21" s="19"/>
      <c r="G21" s="2"/>
      <c r="H21" s="2">
        <f>--696.02</f>
        <v>696.02</v>
      </c>
      <c r="I21" s="2"/>
      <c r="J21" s="19"/>
      <c r="K21" s="2"/>
      <c r="L21" s="2">
        <f t="shared" si="0"/>
        <v>-647.15</v>
      </c>
      <c r="M21" s="2"/>
      <c r="N21" s="19">
        <f t="shared" si="1"/>
        <v>-0.92978650038791988</v>
      </c>
      <c r="O21" s="11"/>
      <c r="P21" s="2">
        <f>--183.89</f>
        <v>183.89</v>
      </c>
      <c r="Q21" s="2"/>
      <c r="R21" s="19"/>
      <c r="S21" s="2"/>
      <c r="T21" s="2">
        <f>--2060.15</f>
        <v>2060.15</v>
      </c>
      <c r="U21" s="2"/>
      <c r="V21" s="19"/>
      <c r="W21" s="2"/>
      <c r="X21" s="2">
        <f t="shared" si="2"/>
        <v>-1876.2600000000002</v>
      </c>
      <c r="Y21" s="2"/>
      <c r="Z21" s="19">
        <f t="shared" si="3"/>
        <v>-0.91073950925903457</v>
      </c>
    </row>
    <row r="22" spans="1:26" s="24" customFormat="1" hidden="1" outlineLevel="1" x14ac:dyDescent="0.25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--10945.69</f>
        <v>10945.69</v>
      </c>
      <c r="E22" s="2"/>
      <c r="F22" s="19"/>
      <c r="G22" s="2"/>
      <c r="H22" s="2">
        <f>--66153.34</f>
        <v>66153.34</v>
      </c>
      <c r="I22" s="2"/>
      <c r="J22" s="19"/>
      <c r="K22" s="2"/>
      <c r="L22" s="2">
        <f t="shared" si="0"/>
        <v>-55207.649999999994</v>
      </c>
      <c r="M22" s="2"/>
      <c r="N22" s="19">
        <f t="shared" si="1"/>
        <v>-0.83454062939225737</v>
      </c>
      <c r="O22" s="11"/>
      <c r="P22" s="2">
        <f>--164344.02</f>
        <v>164344.01999999999</v>
      </c>
      <c r="Q22" s="2"/>
      <c r="R22" s="19"/>
      <c r="S22" s="2"/>
      <c r="T22" s="2">
        <f>--331667.77</f>
        <v>331667.77</v>
      </c>
      <c r="U22" s="2"/>
      <c r="V22" s="19"/>
      <c r="W22" s="2"/>
      <c r="X22" s="2">
        <f t="shared" si="2"/>
        <v>-167323.75000000003</v>
      </c>
      <c r="Y22" s="2"/>
      <c r="Z22" s="19">
        <f t="shared" si="3"/>
        <v>-0.50449204033301165</v>
      </c>
    </row>
    <row r="23" spans="1:26" s="24" customFormat="1" hidden="1" outlineLevel="1" x14ac:dyDescent="0.25">
      <c r="A23" s="44"/>
      <c r="B23" s="11" t="str">
        <f>CONCATENATE("          ", "4101", " - ", "NON-TAXABLE SALES-NEW TEXT")</f>
        <v xml:space="preserve">          4101 - NON-TAXABLE SALES-NEW TEXT</v>
      </c>
      <c r="C23" s="11"/>
      <c r="D23" s="2">
        <f>--18824.16</f>
        <v>18824.16</v>
      </c>
      <c r="E23" s="2"/>
      <c r="F23" s="19"/>
      <c r="G23" s="2"/>
      <c r="H23" s="2">
        <f>--27999.53</f>
        <v>27999.53</v>
      </c>
      <c r="I23" s="2"/>
      <c r="J23" s="19"/>
      <c r="K23" s="2"/>
      <c r="L23" s="2">
        <f t="shared" si="0"/>
        <v>-9175.369999999999</v>
      </c>
      <c r="M23" s="2"/>
      <c r="N23" s="19">
        <f t="shared" si="1"/>
        <v>-0.32769728634730655</v>
      </c>
      <c r="O23" s="11"/>
      <c r="P23" s="2">
        <f>--70404.84</f>
        <v>70404.84</v>
      </c>
      <c r="Q23" s="2"/>
      <c r="R23" s="19"/>
      <c r="S23" s="2"/>
      <c r="T23" s="2">
        <f>--83892.55</f>
        <v>83892.55</v>
      </c>
      <c r="U23" s="2"/>
      <c r="V23" s="19"/>
      <c r="W23" s="2"/>
      <c r="X23" s="2">
        <f t="shared" si="2"/>
        <v>-13487.710000000006</v>
      </c>
      <c r="Y23" s="2"/>
      <c r="Z23" s="19">
        <f t="shared" si="3"/>
        <v>-0.16077363246200058</v>
      </c>
    </row>
    <row r="24" spans="1:26" s="24" customFormat="1" hidden="1" outlineLevel="1" x14ac:dyDescent="0.25">
      <c r="A24" s="44"/>
      <c r="B24" s="11" t="str">
        <f>CONCATENATE("          ", "4102", " - ", "NON-TAXABLE SALES-USED TEXT")</f>
        <v xml:space="preserve">          4102 - NON-TAXABLE SALES-USED TEXT</v>
      </c>
      <c r="C24" s="11"/>
      <c r="D24" s="2">
        <f>--8807.08</f>
        <v>8807.08</v>
      </c>
      <c r="E24" s="2"/>
      <c r="F24" s="19"/>
      <c r="G24" s="2"/>
      <c r="H24" s="2">
        <f>--3969.18</f>
        <v>3969.18</v>
      </c>
      <c r="I24" s="2"/>
      <c r="J24" s="19"/>
      <c r="K24" s="2"/>
      <c r="L24" s="2">
        <f t="shared" si="0"/>
        <v>4837.8999999999996</v>
      </c>
      <c r="M24" s="2"/>
      <c r="N24" s="19">
        <f t="shared" si="1"/>
        <v>1.2188663653449832</v>
      </c>
      <c r="O24" s="11"/>
      <c r="P24" s="2">
        <f>--30370.82</f>
        <v>30370.82</v>
      </c>
      <c r="Q24" s="2"/>
      <c r="R24" s="19"/>
      <c r="S24" s="2"/>
      <c r="T24" s="2">
        <f>--36443.51</f>
        <v>36443.51</v>
      </c>
      <c r="U24" s="2"/>
      <c r="V24" s="19"/>
      <c r="W24" s="2"/>
      <c r="X24" s="2">
        <f t="shared" si="2"/>
        <v>-6072.6900000000023</v>
      </c>
      <c r="Y24" s="2"/>
      <c r="Z24" s="19">
        <f t="shared" si="3"/>
        <v>-0.16663296153416621</v>
      </c>
    </row>
    <row r="25" spans="1:26" s="24" customFormat="1" hidden="1" outlineLevel="1" x14ac:dyDescent="0.25">
      <c r="A25" s="44"/>
      <c r="B25" s="11" t="str">
        <f>CONCATENATE("          ", "4103", " - ", "NON-TAXABLE SALES-RENTAL TEXT")</f>
        <v xml:space="preserve">          4103 - NON-TAXABLE SALES-RENTAL TEXT</v>
      </c>
      <c r="C25" s="11"/>
      <c r="D25" s="2">
        <f>--284.97</f>
        <v>284.97000000000003</v>
      </c>
      <c r="E25" s="2"/>
      <c r="F25" s="19"/>
      <c r="G25" s="2"/>
      <c r="H25" s="2">
        <f>-144.99</f>
        <v>-144.99</v>
      </c>
      <c r="I25" s="2"/>
      <c r="J25" s="19"/>
      <c r="K25" s="2"/>
      <c r="L25" s="2">
        <f t="shared" si="0"/>
        <v>429.96000000000004</v>
      </c>
      <c r="M25" s="2"/>
      <c r="N25" s="19">
        <f t="shared" si="1"/>
        <v>-2.9654458928201946</v>
      </c>
      <c r="O25" s="11"/>
      <c r="P25" s="2">
        <f>--284.97</f>
        <v>284.97000000000003</v>
      </c>
      <c r="Q25" s="2"/>
      <c r="R25" s="19"/>
      <c r="S25" s="2"/>
      <c r="T25" s="2">
        <f>--329.98</f>
        <v>329.98</v>
      </c>
      <c r="U25" s="2"/>
      <c r="V25" s="19"/>
      <c r="W25" s="2"/>
      <c r="X25" s="2">
        <f t="shared" si="2"/>
        <v>-45.009999999999991</v>
      </c>
      <c r="Y25" s="2"/>
      <c r="Z25" s="19">
        <f t="shared" si="3"/>
        <v>-0.13640220619431478</v>
      </c>
    </row>
    <row r="26" spans="1:26" s="24" customFormat="1" hidden="1" outlineLevel="1" x14ac:dyDescent="0.25">
      <c r="A26" s="44"/>
      <c r="B26" s="11" t="str">
        <f>CONCATENATE("          ", "4104", " - ", "NON-TAXABLE SALES-DIGITAL TEXT")</f>
        <v xml:space="preserve">          4104 - NON-TAXABLE SALES-DIGITAL TEXT</v>
      </c>
      <c r="C26" s="11"/>
      <c r="D26" s="2">
        <f>--73817.67</f>
        <v>73817.67</v>
      </c>
      <c r="E26" s="2"/>
      <c r="F26" s="19"/>
      <c r="G26" s="2"/>
      <c r="H26" s="2">
        <f>--59065.75</f>
        <v>59065.75</v>
      </c>
      <c r="I26" s="2"/>
      <c r="J26" s="19"/>
      <c r="K26" s="2"/>
      <c r="L26" s="2">
        <f t="shared" si="0"/>
        <v>14751.919999999998</v>
      </c>
      <c r="M26" s="2"/>
      <c r="N26" s="19">
        <f t="shared" si="1"/>
        <v>0.24975421458290123</v>
      </c>
      <c r="O26" s="11"/>
      <c r="P26" s="2">
        <f>--286707.85</f>
        <v>286707.84999999998</v>
      </c>
      <c r="Q26" s="2"/>
      <c r="R26" s="19"/>
      <c r="S26" s="2"/>
      <c r="T26" s="2">
        <f>--318933.82</f>
        <v>318933.82</v>
      </c>
      <c r="U26" s="2"/>
      <c r="V26" s="19"/>
      <c r="W26" s="2"/>
      <c r="X26" s="2">
        <f t="shared" si="2"/>
        <v>-32225.97000000003</v>
      </c>
      <c r="Y26" s="2"/>
      <c r="Z26" s="19">
        <f t="shared" si="3"/>
        <v>-0.10104281195390326</v>
      </c>
    </row>
    <row r="27" spans="1:26" s="24" customFormat="1" hidden="1" outlineLevel="1" x14ac:dyDescent="0.25">
      <c r="A27" s="44"/>
      <c r="B27" s="11" t="str">
        <f>CONCATENATE("          ", "4111", " - ", "NON-TAXABLE SALES-NO VALUE TEX")</f>
        <v xml:space="preserve">          4111 - NON-TAXABLE SALES-NO VALUE TEX</v>
      </c>
      <c r="C27" s="11"/>
      <c r="D27" s="2">
        <f t="shared" ref="D27:D28" si="5">0</f>
        <v>0</v>
      </c>
      <c r="E27" s="2"/>
      <c r="F27" s="19"/>
      <c r="G27" s="2"/>
      <c r="H27" s="2">
        <f>--594.06</f>
        <v>594.05999999999995</v>
      </c>
      <c r="I27" s="2"/>
      <c r="J27" s="19"/>
      <c r="K27" s="2"/>
      <c r="L27" s="2">
        <f t="shared" si="0"/>
        <v>-594.05999999999995</v>
      </c>
      <c r="M27" s="2"/>
      <c r="N27" s="19">
        <f t="shared" si="1"/>
        <v>-1</v>
      </c>
      <c r="O27" s="11"/>
      <c r="P27" s="2">
        <f t="shared" ref="P27:P28" si="6">0</f>
        <v>0</v>
      </c>
      <c r="Q27" s="2"/>
      <c r="R27" s="19"/>
      <c r="S27" s="2"/>
      <c r="T27" s="2">
        <f>--6342.17</f>
        <v>6342.17</v>
      </c>
      <c r="U27" s="2"/>
      <c r="V27" s="19"/>
      <c r="W27" s="2"/>
      <c r="X27" s="2">
        <f t="shared" si="2"/>
        <v>-6342.17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"4113", " - ", "NON-TAXABLE SALES-TRADE BOOKS")</f>
        <v xml:space="preserve">          4113 - NON-TAXABLE SALES-TRADE BOOKS</v>
      </c>
      <c r="C28" s="11"/>
      <c r="D28" s="2">
        <f t="shared" si="5"/>
        <v>0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 t="shared" si="6"/>
        <v>0</v>
      </c>
      <c r="Q28" s="2"/>
      <c r="R28" s="19"/>
      <c r="S28" s="2"/>
      <c r="T28" s="2">
        <f>--1146.72</f>
        <v>1146.72</v>
      </c>
      <c r="U28" s="2"/>
      <c r="V28" s="19"/>
      <c r="W28" s="2"/>
      <c r="X28" s="2">
        <f t="shared" si="2"/>
        <v>-1146.72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"4118", " - ", "NON-TAXABLE SALES-STUDY GUIDES")</f>
        <v xml:space="preserve">          4118 - NON-TAXABLE SALES-STUDY GUIDES</v>
      </c>
      <c r="C29" s="11"/>
      <c r="D29" s="2">
        <f>--6.5</f>
        <v>6.5</v>
      </c>
      <c r="E29" s="2"/>
      <c r="F29" s="19"/>
      <c r="G29" s="2"/>
      <c r="H29" s="2">
        <f>--6.95</f>
        <v>6.95</v>
      </c>
      <c r="I29" s="2"/>
      <c r="J29" s="19"/>
      <c r="K29" s="2"/>
      <c r="L29" s="2">
        <f t="shared" si="0"/>
        <v>-0.45000000000000018</v>
      </c>
      <c r="M29" s="2"/>
      <c r="N29" s="19">
        <f t="shared" si="1"/>
        <v>-6.4748201438848949E-2</v>
      </c>
      <c r="O29" s="11"/>
      <c r="P29" s="2">
        <f>--108.33</f>
        <v>108.33</v>
      </c>
      <c r="Q29" s="2"/>
      <c r="R29" s="19"/>
      <c r="S29" s="2"/>
      <c r="T29" s="2">
        <f>--20.92</f>
        <v>20.92</v>
      </c>
      <c r="U29" s="2"/>
      <c r="V29" s="19"/>
      <c r="W29" s="2"/>
      <c r="X29" s="2">
        <f t="shared" si="2"/>
        <v>87.41</v>
      </c>
      <c r="Y29" s="2"/>
      <c r="Z29" s="19">
        <f t="shared" si="3"/>
        <v>4.1782982791586996</v>
      </c>
    </row>
    <row r="30" spans="1:26" s="24" customFormat="1" hidden="1" outlineLevel="1" x14ac:dyDescent="0.25">
      <c r="A30" s="44"/>
      <c r="B30" s="11" t="str">
        <f>CONCATENATE("          ", "4201", " - ", "SALES RETURN TAXABLE-NEW TEXT")</f>
        <v xml:space="preserve">          4201 - SALES RETURN TAXABLE-NEW TEXT</v>
      </c>
      <c r="C30" s="11"/>
      <c r="D30" s="2">
        <f>-13393.2</f>
        <v>-13393.2</v>
      </c>
      <c r="E30" s="2"/>
      <c r="F30" s="19"/>
      <c r="G30" s="2"/>
      <c r="H30" s="2">
        <f>-14069.34</f>
        <v>-14069.34</v>
      </c>
      <c r="I30" s="2"/>
      <c r="J30" s="19"/>
      <c r="K30" s="2"/>
      <c r="L30" s="2">
        <f t="shared" si="0"/>
        <v>676.13999999999942</v>
      </c>
      <c r="M30" s="2"/>
      <c r="N30" s="19">
        <f t="shared" si="1"/>
        <v>-4.8057691405566955E-2</v>
      </c>
      <c r="O30" s="11"/>
      <c r="P30" s="2">
        <f>-32248.99</f>
        <v>-32248.99</v>
      </c>
      <c r="Q30" s="2"/>
      <c r="R30" s="19"/>
      <c r="S30" s="2"/>
      <c r="T30" s="2">
        <f>-73239.75</f>
        <v>-73239.75</v>
      </c>
      <c r="U30" s="2"/>
      <c r="V30" s="19"/>
      <c r="W30" s="2"/>
      <c r="X30" s="2">
        <f t="shared" si="2"/>
        <v>40990.759999999995</v>
      </c>
      <c r="Y30" s="2"/>
      <c r="Z30" s="19">
        <f t="shared" si="3"/>
        <v>-0.55967913598831232</v>
      </c>
    </row>
    <row r="31" spans="1:26" s="24" customFormat="1" hidden="1" outlineLevel="1" x14ac:dyDescent="0.25">
      <c r="A31" s="44"/>
      <c r="B31" s="11" t="str">
        <f>CONCATENATE("          ", "4202", " - ", "SALES RETURN TAXABLE-USED TEXT")</f>
        <v xml:space="preserve">          4202 - SALES RETURN TAXABLE-USED TEXT</v>
      </c>
      <c r="C31" s="11"/>
      <c r="D31" s="2">
        <f>-1345.2</f>
        <v>-1345.2</v>
      </c>
      <c r="E31" s="2"/>
      <c r="F31" s="19"/>
      <c r="G31" s="2"/>
      <c r="H31" s="2">
        <f>-2096.65</f>
        <v>-2096.65</v>
      </c>
      <c r="I31" s="2"/>
      <c r="J31" s="19"/>
      <c r="K31" s="2"/>
      <c r="L31" s="2">
        <f t="shared" si="0"/>
        <v>751.45</v>
      </c>
      <c r="M31" s="2"/>
      <c r="N31" s="19">
        <f t="shared" si="1"/>
        <v>-0.35840507476212052</v>
      </c>
      <c r="O31" s="11"/>
      <c r="P31" s="2">
        <f>-10392.95</f>
        <v>-10392.950000000001</v>
      </c>
      <c r="Q31" s="2"/>
      <c r="R31" s="19"/>
      <c r="S31" s="2"/>
      <c r="T31" s="2">
        <f>-23351.1</f>
        <v>-23351.1</v>
      </c>
      <c r="U31" s="2"/>
      <c r="V31" s="19"/>
      <c r="W31" s="2"/>
      <c r="X31" s="2">
        <f t="shared" si="2"/>
        <v>12958.149999999998</v>
      </c>
      <c r="Y31" s="2"/>
      <c r="Z31" s="19">
        <f t="shared" si="3"/>
        <v>-0.55492674863282665</v>
      </c>
    </row>
    <row r="32" spans="1:26" s="24" customFormat="1" hidden="1" outlineLevel="1" x14ac:dyDescent="0.25">
      <c r="A32" s="44"/>
      <c r="B32" s="11" t="str">
        <f>CONCATENATE("          ", "4203", " - ", "SALES RETURN TAXABLE-RENTAL TE")</f>
        <v xml:space="preserve">          4203 - SALES RETURN TAXABLE-RENTAL TE</v>
      </c>
      <c r="C32" s="11"/>
      <c r="D32" s="2">
        <f>0</f>
        <v>0</v>
      </c>
      <c r="E32" s="2"/>
      <c r="F32" s="19"/>
      <c r="G32" s="2"/>
      <c r="H32" s="2">
        <f>-144.99</f>
        <v>-144.99</v>
      </c>
      <c r="I32" s="2"/>
      <c r="J32" s="19"/>
      <c r="K32" s="2"/>
      <c r="L32" s="2">
        <f t="shared" si="0"/>
        <v>144.99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-144.99</f>
        <v>-144.99</v>
      </c>
      <c r="U32" s="2"/>
      <c r="V32" s="19"/>
      <c r="W32" s="2"/>
      <c r="X32" s="2">
        <f t="shared" si="2"/>
        <v>144.99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"4204", " - ", "SALES RETURN TAXABLE-DIGITAL T")</f>
        <v xml:space="preserve">          4204 - SALES RETURN TAXABLE-DIGITAL T</v>
      </c>
      <c r="C33" s="11"/>
      <c r="D33" s="2">
        <f>-105.87</f>
        <v>-105.87</v>
      </c>
      <c r="E33" s="2"/>
      <c r="F33" s="19"/>
      <c r="G33" s="2"/>
      <c r="H33" s="2">
        <f>-4208.35</f>
        <v>-4208.3500000000004</v>
      </c>
      <c r="I33" s="2"/>
      <c r="J33" s="19"/>
      <c r="K33" s="2"/>
      <c r="L33" s="2">
        <f t="shared" si="0"/>
        <v>4102.4800000000005</v>
      </c>
      <c r="M33" s="2"/>
      <c r="N33" s="19">
        <f t="shared" si="1"/>
        <v>-0.97484287190941821</v>
      </c>
      <c r="O33" s="11"/>
      <c r="P33" s="2">
        <f>-1246.95</f>
        <v>-1246.95</v>
      </c>
      <c r="Q33" s="2"/>
      <c r="R33" s="19"/>
      <c r="S33" s="2"/>
      <c r="T33" s="2">
        <f>-11056.72</f>
        <v>-11056.72</v>
      </c>
      <c r="U33" s="2"/>
      <c r="V33" s="19"/>
      <c r="W33" s="2"/>
      <c r="X33" s="2">
        <f t="shared" si="2"/>
        <v>9809.7699999999986</v>
      </c>
      <c r="Y33" s="2"/>
      <c r="Z33" s="19">
        <f t="shared" si="3"/>
        <v>-0.88722243124543254</v>
      </c>
    </row>
    <row r="34" spans="1:26" s="24" customFormat="1" hidden="1" outlineLevel="1" x14ac:dyDescent="0.25">
      <c r="A34" s="44"/>
      <c r="B34" s="11" t="str">
        <f>CONCATENATE("          ", "4218", " - ", "SALES RETURN TAXABLE-STUDY GUI")</f>
        <v xml:space="preserve">          4218 - SALES RETURN TAXABLE-STUDY GUI</v>
      </c>
      <c r="C34" s="11"/>
      <c r="D34" s="2">
        <f>0</f>
        <v>0</v>
      </c>
      <c r="E34" s="2"/>
      <c r="F34" s="19"/>
      <c r="G34" s="2"/>
      <c r="H34" s="2">
        <f>-5.95</f>
        <v>-5.95</v>
      </c>
      <c r="I34" s="2"/>
      <c r="J34" s="19"/>
      <c r="K34" s="2"/>
      <c r="L34" s="2">
        <f t="shared" si="0"/>
        <v>5.95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-32.75</f>
        <v>-32.75</v>
      </c>
      <c r="U34" s="2"/>
      <c r="V34" s="19"/>
      <c r="W34" s="2"/>
      <c r="X34" s="2">
        <f t="shared" si="2"/>
        <v>32.75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"4301", " - ", "SALES RETURN NON TAXABLE-NEW T")</f>
        <v xml:space="preserve">          4301 - SALES RETURN NON TAXABLE-NEW T</v>
      </c>
      <c r="C35" s="11"/>
      <c r="D35" s="2">
        <f>-1820.43</f>
        <v>-1820.43</v>
      </c>
      <c r="E35" s="2"/>
      <c r="F35" s="19"/>
      <c r="G35" s="2"/>
      <c r="H35" s="2">
        <f>-3805.44</f>
        <v>-3805.44</v>
      </c>
      <c r="I35" s="2"/>
      <c r="J35" s="19"/>
      <c r="K35" s="2"/>
      <c r="L35" s="2">
        <f t="shared" si="0"/>
        <v>1985.01</v>
      </c>
      <c r="M35" s="2"/>
      <c r="N35" s="19">
        <f t="shared" si="1"/>
        <v>-0.52162430625630674</v>
      </c>
      <c r="O35" s="11"/>
      <c r="P35" s="2">
        <f>-1840.68</f>
        <v>-1840.68</v>
      </c>
      <c r="Q35" s="2"/>
      <c r="R35" s="19"/>
      <c r="S35" s="2"/>
      <c r="T35" s="2">
        <f>-6725.22</f>
        <v>-6725.22</v>
      </c>
      <c r="U35" s="2"/>
      <c r="V35" s="19"/>
      <c r="W35" s="2"/>
      <c r="X35" s="2">
        <f t="shared" si="2"/>
        <v>4884.54</v>
      </c>
      <c r="Y35" s="2"/>
      <c r="Z35" s="19">
        <f t="shared" si="3"/>
        <v>-0.72630189049577554</v>
      </c>
    </row>
    <row r="36" spans="1:26" s="24" customFormat="1" hidden="1" outlineLevel="1" x14ac:dyDescent="0.25">
      <c r="A36" s="44"/>
      <c r="B36" s="11" t="str">
        <f>CONCATENATE("          ", "4302", " - ", "SALES RETURN NON TAXABLE-TEXT")</f>
        <v xml:space="preserve">          4302 - SALES RETURN NON TAXABLE-TEXT</v>
      </c>
      <c r="C36" s="11"/>
      <c r="D36" s="2">
        <f>-737.24</f>
        <v>-737.24</v>
      </c>
      <c r="E36" s="2"/>
      <c r="F36" s="19"/>
      <c r="G36" s="2"/>
      <c r="H36" s="2">
        <f>-398.45</f>
        <v>-398.45</v>
      </c>
      <c r="I36" s="2"/>
      <c r="J36" s="19"/>
      <c r="K36" s="2"/>
      <c r="L36" s="2">
        <f t="shared" si="0"/>
        <v>-338.79</v>
      </c>
      <c r="M36" s="2"/>
      <c r="N36" s="19">
        <f t="shared" si="1"/>
        <v>0.85026979545739745</v>
      </c>
      <c r="O36" s="11"/>
      <c r="P36" s="2">
        <f>-1147.08</f>
        <v>-1147.08</v>
      </c>
      <c r="Q36" s="2"/>
      <c r="R36" s="19"/>
      <c r="S36" s="2"/>
      <c r="T36" s="2">
        <f>-648.7</f>
        <v>-648.70000000000005</v>
      </c>
      <c r="U36" s="2"/>
      <c r="V36" s="19"/>
      <c r="W36" s="2"/>
      <c r="X36" s="2">
        <f t="shared" si="2"/>
        <v>-498.37999999999988</v>
      </c>
      <c r="Y36" s="2"/>
      <c r="Z36" s="19">
        <f t="shared" si="3"/>
        <v>0.76827501156158451</v>
      </c>
    </row>
    <row r="37" spans="1:26" s="24" customFormat="1" hidden="1" outlineLevel="1" x14ac:dyDescent="0.25">
      <c r="A37" s="44"/>
      <c r="B37" s="11" t="str">
        <f>CONCATENATE("          ", "4303", " - ", "SALES RETURN NON-TAXABLE-RENTA")</f>
        <v xml:space="preserve">          4303 - SALES RETURN NON-TAXABLE-RENTA</v>
      </c>
      <c r="C37" s="11"/>
      <c r="D37" s="2">
        <f>0</f>
        <v>0</v>
      </c>
      <c r="E37" s="2"/>
      <c r="F37" s="19"/>
      <c r="G37" s="2"/>
      <c r="H37" s="2">
        <f>-184.99</f>
        <v>-184.99</v>
      </c>
      <c r="I37" s="2"/>
      <c r="J37" s="19"/>
      <c r="K37" s="2"/>
      <c r="L37" s="2">
        <f t="shared" si="0"/>
        <v>184.99</v>
      </c>
      <c r="M37" s="2"/>
      <c r="N37" s="19">
        <f t="shared" si="1"/>
        <v>-1</v>
      </c>
      <c r="O37" s="11"/>
      <c r="P37" s="2">
        <f>0</f>
        <v>0</v>
      </c>
      <c r="Q37" s="2"/>
      <c r="R37" s="19"/>
      <c r="S37" s="2"/>
      <c r="T37" s="2">
        <f>-184.99</f>
        <v>-184.99</v>
      </c>
      <c r="U37" s="2"/>
      <c r="V37" s="19"/>
      <c r="W37" s="2"/>
      <c r="X37" s="2">
        <f t="shared" si="2"/>
        <v>184.99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"4304", " - ", "SALES RETURN NON TAXABLE-DIGIT")</f>
        <v xml:space="preserve">          4304 - SALES RETURN NON TAXABLE-DIGIT</v>
      </c>
      <c r="C38" s="11"/>
      <c r="D38" s="2">
        <f>-7456.63</f>
        <v>-7456.63</v>
      </c>
      <c r="E38" s="2"/>
      <c r="F38" s="19"/>
      <c r="G38" s="2"/>
      <c r="H38" s="2">
        <f>-4048.76</f>
        <v>-4048.76</v>
      </c>
      <c r="I38" s="2"/>
      <c r="J38" s="19"/>
      <c r="K38" s="2"/>
      <c r="L38" s="2">
        <f t="shared" si="0"/>
        <v>-3407.87</v>
      </c>
      <c r="M38" s="2"/>
      <c r="N38" s="19">
        <f t="shared" si="1"/>
        <v>0.84170709056600035</v>
      </c>
      <c r="O38" s="11"/>
      <c r="P38" s="2">
        <f>-13409.36</f>
        <v>-13409.36</v>
      </c>
      <c r="Q38" s="2"/>
      <c r="R38" s="19"/>
      <c r="S38" s="2"/>
      <c r="T38" s="2">
        <f>-12515.31</f>
        <v>-12515.31</v>
      </c>
      <c r="U38" s="2"/>
      <c r="V38" s="19"/>
      <c r="W38" s="2"/>
      <c r="X38" s="2">
        <f t="shared" si="2"/>
        <v>-894.05000000000109</v>
      </c>
      <c r="Y38" s="2"/>
      <c r="Z38" s="19">
        <f t="shared" si="3"/>
        <v>7.1436504569203724E-2</v>
      </c>
    </row>
    <row r="39" spans="1:26" s="24" customFormat="1" hidden="1" outlineLevel="1" x14ac:dyDescent="0.25">
      <c r="A39" s="44"/>
      <c r="B39" s="11" t="str">
        <f>CONCATENATE("          ", "4311", " - ", "SALES RETURN NON TAXABLE-NO VA")</f>
        <v xml:space="preserve">          4311 - SALES RETURN NON TAXABLE-NO VA</v>
      </c>
      <c r="C39" s="11"/>
      <c r="D39" s="2">
        <f>0</f>
        <v>0</v>
      </c>
      <c r="E39" s="2"/>
      <c r="F39" s="19"/>
      <c r="G39" s="2"/>
      <c r="H39" s="2">
        <f>-276.9</f>
        <v>-276.89999999999998</v>
      </c>
      <c r="I39" s="2"/>
      <c r="J39" s="19"/>
      <c r="K39" s="2"/>
      <c r="L39" s="2">
        <f t="shared" si="0"/>
        <v>276.89999999999998</v>
      </c>
      <c r="M39" s="2"/>
      <c r="N39" s="19">
        <f t="shared" si="1"/>
        <v>-1</v>
      </c>
      <c r="O39" s="11"/>
      <c r="P39" s="2">
        <f>0</f>
        <v>0</v>
      </c>
      <c r="Q39" s="2"/>
      <c r="R39" s="19"/>
      <c r="S39" s="2"/>
      <c r="T39" s="2">
        <f>-387.94</f>
        <v>-387.94</v>
      </c>
      <c r="U39" s="2"/>
      <c r="V39" s="19"/>
      <c r="W39" s="2"/>
      <c r="X39" s="2">
        <f t="shared" si="2"/>
        <v>387.94</v>
      </c>
      <c r="Y39" s="2"/>
      <c r="Z39" s="19">
        <f t="shared" si="3"/>
        <v>-1</v>
      </c>
    </row>
    <row r="40" spans="1:26" x14ac:dyDescent="0.25">
      <c r="A40" s="9"/>
      <c r="B40" s="10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collapsed="1" x14ac:dyDescent="0.25">
      <c r="A41" s="10"/>
      <c r="B41" s="26" t="s">
        <v>8</v>
      </c>
      <c r="C41" s="10"/>
      <c r="D41" s="4">
        <f>SUM(OSRRefD16x_0)</f>
        <v>157316.49999999988</v>
      </c>
      <c r="E41" s="4"/>
      <c r="F41" s="12">
        <f t="shared" ref="F41:F54" si="7">IF(D$12=0,0,D41/D$12)</f>
        <v>0.66273219997651778</v>
      </c>
      <c r="G41" s="4"/>
      <c r="H41" s="4">
        <f>SUM(OSRRefH16x_0)</f>
        <v>430599.13999999996</v>
      </c>
      <c r="I41" s="4"/>
      <c r="J41" s="12">
        <f t="shared" ref="J41:J54" si="8">IF(H$12=0,0,H41/H$12)</f>
        <v>0.74509577277046002</v>
      </c>
      <c r="K41" s="4"/>
      <c r="L41" s="4">
        <f t="shared" ref="L41:L54" si="9">+D41-H41</f>
        <v>-273282.64000000007</v>
      </c>
      <c r="M41" s="4"/>
      <c r="N41" s="12">
        <f t="shared" ref="N41:N54" si="10">IF(H41=0,0,L41/H41)</f>
        <v>-0.63465672504594439</v>
      </c>
      <c r="O41" s="10"/>
      <c r="P41" s="4">
        <f>SUM(OSRRefP16x_0)</f>
        <v>1080495.8399999999</v>
      </c>
      <c r="Q41" s="4"/>
      <c r="R41" s="12">
        <f t="shared" ref="R41:R54" si="11">IF(P$12=0,0,P41/P$12)</f>
        <v>0.71483926484495786</v>
      </c>
      <c r="S41" s="4"/>
      <c r="T41" s="4">
        <f>SUM(OSRRefT16x_0)</f>
        <v>2068241.5300000005</v>
      </c>
      <c r="U41" s="4"/>
      <c r="V41" s="12">
        <f t="shared" ref="V41:V54" si="12">IF(T$12=0,0,T41/T$12)</f>
        <v>0.73349006838145059</v>
      </c>
      <c r="W41" s="4"/>
      <c r="X41" s="4">
        <f t="shared" ref="X41:X54" si="13">+P41-T41</f>
        <v>-987745.69000000064</v>
      </c>
      <c r="Y41" s="4"/>
      <c r="Z41" s="12">
        <f t="shared" ref="Z41:Z54" si="14">IF(T41=0,0,X41/T41)</f>
        <v>-0.47757753418673515</v>
      </c>
    </row>
    <row r="42" spans="1:26" s="24" customFormat="1" hidden="1" outlineLevel="1" x14ac:dyDescent="0.25">
      <c r="A42" s="44"/>
      <c r="B42" s="11" t="str">
        <f>CONCATENATE("          ", "5001", " - ", "PURCHASES @ COST-NEW TEXT")</f>
        <v xml:space="preserve">          5001 - PURCHASES @ COST-NEW TEXT</v>
      </c>
      <c r="C42" s="11"/>
      <c r="D42" s="2">
        <v>602088.99</v>
      </c>
      <c r="E42" s="2"/>
      <c r="F42" s="19">
        <f t="shared" si="7"/>
        <v>2.5364393494918835</v>
      </c>
      <c r="G42" s="2"/>
      <c r="H42" s="2">
        <v>104892.25</v>
      </c>
      <c r="I42" s="2"/>
      <c r="J42" s="19">
        <f t="shared" si="8"/>
        <v>0.18150238774601893</v>
      </c>
      <c r="K42" s="2"/>
      <c r="L42" s="2">
        <f t="shared" si="9"/>
        <v>497196.74</v>
      </c>
      <c r="M42" s="2"/>
      <c r="N42" s="19">
        <f t="shared" si="10"/>
        <v>4.7400712636062243</v>
      </c>
      <c r="O42" s="11"/>
      <c r="P42" s="2">
        <v>1293421.76</v>
      </c>
      <c r="Q42" s="2"/>
      <c r="R42" s="19">
        <f t="shared" si="11"/>
        <v>0.85570774622591017</v>
      </c>
      <c r="S42" s="2"/>
      <c r="T42" s="2">
        <v>1932650.95</v>
      </c>
      <c r="U42" s="2"/>
      <c r="V42" s="19">
        <f t="shared" si="12"/>
        <v>0.68540364213311933</v>
      </c>
      <c r="W42" s="2"/>
      <c r="X42" s="2">
        <f t="shared" si="13"/>
        <v>-639229.18999999994</v>
      </c>
      <c r="Y42" s="2"/>
      <c r="Z42" s="19">
        <f t="shared" si="14"/>
        <v>-0.33075252931730892</v>
      </c>
    </row>
    <row r="43" spans="1:26" s="24" customFormat="1" hidden="1" outlineLevel="1" x14ac:dyDescent="0.25">
      <c r="A43" s="44"/>
      <c r="B43" s="11" t="str">
        <f>CONCATENATE("          ", "5002", " - ", "PURCHASES @ COST-USED TEXT")</f>
        <v xml:space="preserve">          5002 - PURCHASES @ COST-USED TEXT</v>
      </c>
      <c r="C43" s="11"/>
      <c r="D43" s="2">
        <v>108363.86</v>
      </c>
      <c r="E43" s="2"/>
      <c r="F43" s="19">
        <f t="shared" si="7"/>
        <v>0.45650786367448698</v>
      </c>
      <c r="G43" s="2"/>
      <c r="H43" s="2">
        <v>18830.57</v>
      </c>
      <c r="I43" s="2"/>
      <c r="J43" s="19">
        <f t="shared" si="8"/>
        <v>3.2583850738434457E-2</v>
      </c>
      <c r="K43" s="2"/>
      <c r="L43" s="2">
        <f t="shared" si="9"/>
        <v>89533.290000000008</v>
      </c>
      <c r="M43" s="2"/>
      <c r="N43" s="19">
        <f t="shared" si="10"/>
        <v>4.7546776332314957</v>
      </c>
      <c r="O43" s="11"/>
      <c r="P43" s="2">
        <v>296731.38</v>
      </c>
      <c r="Q43" s="2"/>
      <c r="R43" s="19">
        <f t="shared" si="11"/>
        <v>0.19631287200108968</v>
      </c>
      <c r="S43" s="2"/>
      <c r="T43" s="2">
        <v>353811.24</v>
      </c>
      <c r="U43" s="2"/>
      <c r="V43" s="19">
        <f t="shared" si="12"/>
        <v>0.1254771393270136</v>
      </c>
      <c r="W43" s="2"/>
      <c r="X43" s="2">
        <f t="shared" si="13"/>
        <v>-57079.859999999986</v>
      </c>
      <c r="Y43" s="2"/>
      <c r="Z43" s="19">
        <f t="shared" si="14"/>
        <v>-0.16132856604555579</v>
      </c>
    </row>
    <row r="44" spans="1:26" s="24" customFormat="1" hidden="1" outlineLevel="1" x14ac:dyDescent="0.25">
      <c r="A44" s="44"/>
      <c r="B44" s="11" t="str">
        <f>CONCATENATE("          ", "5003", " - ", "PURCHASES @ COST-RENTAL TEXT")</f>
        <v xml:space="preserve">          5003 - PURCHASES @ COST-RENTAL TEXT</v>
      </c>
      <c r="C44" s="11"/>
      <c r="D44" s="2">
        <v>781.74</v>
      </c>
      <c r="E44" s="2"/>
      <c r="F44" s="19">
        <f t="shared" si="7"/>
        <v>3.2932608468256249E-3</v>
      </c>
      <c r="G44" s="2"/>
      <c r="H44" s="2"/>
      <c r="I44" s="2"/>
      <c r="J44" s="19">
        <f t="shared" si="8"/>
        <v>0</v>
      </c>
      <c r="K44" s="2"/>
      <c r="L44" s="2">
        <f t="shared" si="9"/>
        <v>781.74</v>
      </c>
      <c r="M44" s="2"/>
      <c r="N44" s="19">
        <f t="shared" si="10"/>
        <v>0</v>
      </c>
      <c r="O44" s="11"/>
      <c r="P44" s="2">
        <v>-11086.1</v>
      </c>
      <c r="Q44" s="2"/>
      <c r="R44" s="19">
        <f t="shared" si="11"/>
        <v>-7.3343915641523334E-3</v>
      </c>
      <c r="S44" s="2"/>
      <c r="T44" s="2">
        <v>-78.400000000000006</v>
      </c>
      <c r="U44" s="2"/>
      <c r="V44" s="19">
        <f t="shared" si="12"/>
        <v>-2.7804113072376861E-5</v>
      </c>
      <c r="W44" s="2"/>
      <c r="X44" s="2">
        <f t="shared" si="13"/>
        <v>-11007.7</v>
      </c>
      <c r="Y44" s="2"/>
      <c r="Z44" s="19">
        <f t="shared" si="14"/>
        <v>140.40433673469389</v>
      </c>
    </row>
    <row r="45" spans="1:26" s="24" customFormat="1" hidden="1" outlineLevel="1" x14ac:dyDescent="0.25">
      <c r="A45" s="44"/>
      <c r="B45" s="11" t="str">
        <f>CONCATENATE("          ", "5004", " - ", "PURCHASES @ COST-DIGITAL TEXT")</f>
        <v xml:space="preserve">          5004 - PURCHASES @ COST-DIGITAL TEXT</v>
      </c>
      <c r="C45" s="11"/>
      <c r="D45" s="2">
        <v>60186.1</v>
      </c>
      <c r="E45" s="2"/>
      <c r="F45" s="19">
        <f t="shared" si="7"/>
        <v>0.25354788888010299</v>
      </c>
      <c r="G45" s="2"/>
      <c r="H45" s="2">
        <v>50761.9</v>
      </c>
      <c r="I45" s="2"/>
      <c r="J45" s="19">
        <f t="shared" si="8"/>
        <v>8.7836861698787461E-2</v>
      </c>
      <c r="K45" s="2"/>
      <c r="L45" s="2">
        <f t="shared" si="9"/>
        <v>9424.1999999999971</v>
      </c>
      <c r="M45" s="2"/>
      <c r="N45" s="19">
        <f t="shared" si="10"/>
        <v>0.18565498927345109</v>
      </c>
      <c r="O45" s="11"/>
      <c r="P45" s="2">
        <v>182616.07</v>
      </c>
      <c r="Q45" s="2"/>
      <c r="R45" s="19">
        <f t="shared" si="11"/>
        <v>0.12081595541142981</v>
      </c>
      <c r="S45" s="2"/>
      <c r="T45" s="2">
        <v>353728.39</v>
      </c>
      <c r="U45" s="2"/>
      <c r="V45" s="19">
        <f t="shared" si="12"/>
        <v>0.12544775704680894</v>
      </c>
      <c r="W45" s="2"/>
      <c r="X45" s="2">
        <f t="shared" si="13"/>
        <v>-171112.32000000001</v>
      </c>
      <c r="Y45" s="2"/>
      <c r="Z45" s="19">
        <f t="shared" si="14"/>
        <v>-0.48373928934570393</v>
      </c>
    </row>
    <row r="46" spans="1:26" s="24" customFormat="1" hidden="1" outlineLevel="1" x14ac:dyDescent="0.25">
      <c r="A46" s="44"/>
      <c r="B46" s="11" t="str">
        <f>CONCATENATE("          ", "5011", " - ", "PURCHASES @ COST-NO VALUE TEXT")</f>
        <v xml:space="preserve">          5011 - PURCHASES @ COST-NO VALUE TEXT</v>
      </c>
      <c r="C46" s="11"/>
      <c r="D46" s="2"/>
      <c r="E46" s="2"/>
      <c r="F46" s="19">
        <f t="shared" si="7"/>
        <v>0</v>
      </c>
      <c r="G46" s="2"/>
      <c r="H46" s="2">
        <v>2928</v>
      </c>
      <c r="I46" s="2"/>
      <c r="J46" s="19">
        <f t="shared" si="8"/>
        <v>5.0665229444534126E-3</v>
      </c>
      <c r="K46" s="2"/>
      <c r="L46" s="2">
        <f t="shared" si="9"/>
        <v>-2928</v>
      </c>
      <c r="M46" s="2"/>
      <c r="N46" s="19">
        <f t="shared" si="10"/>
        <v>-1</v>
      </c>
      <c r="O46" s="11"/>
      <c r="P46" s="2"/>
      <c r="Q46" s="2"/>
      <c r="R46" s="19">
        <f t="shared" si="11"/>
        <v>0</v>
      </c>
      <c r="S46" s="2"/>
      <c r="T46" s="2">
        <v>3585</v>
      </c>
      <c r="U46" s="2"/>
      <c r="V46" s="19">
        <f t="shared" si="12"/>
        <v>1.2713998133223347E-3</v>
      </c>
      <c r="W46" s="2"/>
      <c r="X46" s="2">
        <f t="shared" si="13"/>
        <v>-3585</v>
      </c>
      <c r="Y46" s="2"/>
      <c r="Z46" s="19">
        <f t="shared" si="14"/>
        <v>-1</v>
      </c>
    </row>
    <row r="47" spans="1:26" s="24" customFormat="1" hidden="1" outlineLevel="1" x14ac:dyDescent="0.25">
      <c r="A47" s="44"/>
      <c r="B47" s="11" t="str">
        <f>CONCATENATE("          ", "5013", " - ", "PURCHASES @ COST-TRADE BOOKS")</f>
        <v xml:space="preserve">          5013 - PURCHASES @ COST-TRADE BOOKS</v>
      </c>
      <c r="C47" s="11"/>
      <c r="D47" s="2">
        <v>-9.36</v>
      </c>
      <c r="E47" s="2"/>
      <c r="F47" s="19">
        <f t="shared" si="7"/>
        <v>-3.9431168324875084E-5</v>
      </c>
      <c r="G47" s="2"/>
      <c r="H47" s="2">
        <v>269.89</v>
      </c>
      <c r="I47" s="2"/>
      <c r="J47" s="19">
        <f t="shared" si="8"/>
        <v>4.6700952099676618E-4</v>
      </c>
      <c r="K47" s="2"/>
      <c r="L47" s="2">
        <f t="shared" si="9"/>
        <v>-279.25</v>
      </c>
      <c r="M47" s="2"/>
      <c r="N47" s="19">
        <f t="shared" si="10"/>
        <v>-1.034680795879803</v>
      </c>
      <c r="O47" s="11"/>
      <c r="P47" s="2">
        <v>99.18</v>
      </c>
      <c r="Q47" s="2"/>
      <c r="R47" s="19">
        <f t="shared" si="11"/>
        <v>6.5615947477708881E-5</v>
      </c>
      <c r="S47" s="2"/>
      <c r="T47" s="2">
        <v>474.79</v>
      </c>
      <c r="U47" s="2"/>
      <c r="V47" s="19">
        <f t="shared" si="12"/>
        <v>1.683815669085945E-4</v>
      </c>
      <c r="W47" s="2"/>
      <c r="X47" s="2">
        <f t="shared" si="13"/>
        <v>-375.61</v>
      </c>
      <c r="Y47" s="2"/>
      <c r="Z47" s="19">
        <f t="shared" si="14"/>
        <v>-0.79110764759156682</v>
      </c>
    </row>
    <row r="48" spans="1:26" s="24" customFormat="1" hidden="1" outlineLevel="1" x14ac:dyDescent="0.25">
      <c r="A48" s="44"/>
      <c r="B48" s="11" t="str">
        <f>CONCATENATE("          ", "5014", " - ", "PURCHASES @ COST-REMAINDERS")</f>
        <v xml:space="preserve">          5014 - PURCHASES @ COST-REMAINDERS</v>
      </c>
      <c r="C48" s="11"/>
      <c r="D48" s="2"/>
      <c r="E48" s="2"/>
      <c r="F48" s="19">
        <f t="shared" si="7"/>
        <v>0</v>
      </c>
      <c r="G48" s="2"/>
      <c r="H48" s="2">
        <v>55.65</v>
      </c>
      <c r="I48" s="2"/>
      <c r="J48" s="19">
        <f t="shared" si="8"/>
        <v>9.6295082602060241E-5</v>
      </c>
      <c r="K48" s="2"/>
      <c r="L48" s="2">
        <f t="shared" si="9"/>
        <v>-55.65</v>
      </c>
      <c r="M48" s="2"/>
      <c r="N48" s="19">
        <f t="shared" si="10"/>
        <v>-1</v>
      </c>
      <c r="O48" s="11"/>
      <c r="P48" s="2">
        <v>-12.51</v>
      </c>
      <c r="Q48" s="2"/>
      <c r="R48" s="19">
        <f t="shared" si="11"/>
        <v>-8.2764216872972176E-6</v>
      </c>
      <c r="S48" s="2"/>
      <c r="T48" s="2">
        <v>289.97000000000003</v>
      </c>
      <c r="U48" s="2"/>
      <c r="V48" s="19">
        <f t="shared" si="12"/>
        <v>1.0283620749486121E-4</v>
      </c>
      <c r="W48" s="2"/>
      <c r="X48" s="2">
        <f t="shared" si="13"/>
        <v>-302.48</v>
      </c>
      <c r="Y48" s="2"/>
      <c r="Z48" s="19">
        <f t="shared" si="14"/>
        <v>-1.0431423940407627</v>
      </c>
    </row>
    <row r="49" spans="1:26" s="24" customFormat="1" hidden="1" outlineLevel="1" x14ac:dyDescent="0.25">
      <c r="A49" s="44"/>
      <c r="B49" s="11" t="str">
        <f>CONCATENATE("          ", "5018", " - ", "PURCHASES @ COST-STUDY GUIDES")</f>
        <v xml:space="preserve">          5018 - PURCHASES @ COST-STUDY GUIDES</v>
      </c>
      <c r="C49" s="11"/>
      <c r="D49" s="2"/>
      <c r="E49" s="2"/>
      <c r="F49" s="19">
        <f t="shared" si="7"/>
        <v>0</v>
      </c>
      <c r="G49" s="2"/>
      <c r="H49" s="2"/>
      <c r="I49" s="2"/>
      <c r="J49" s="19">
        <f t="shared" si="8"/>
        <v>0</v>
      </c>
      <c r="K49" s="2"/>
      <c r="L49" s="2">
        <f t="shared" si="9"/>
        <v>0</v>
      </c>
      <c r="M49" s="2"/>
      <c r="N49" s="19">
        <f t="shared" si="10"/>
        <v>0</v>
      </c>
      <c r="O49" s="11"/>
      <c r="P49" s="2"/>
      <c r="Q49" s="2"/>
      <c r="R49" s="19">
        <f t="shared" si="11"/>
        <v>0</v>
      </c>
      <c r="S49" s="2"/>
      <c r="T49" s="2">
        <v>503.93</v>
      </c>
      <c r="U49" s="2"/>
      <c r="V49" s="19">
        <f t="shared" si="12"/>
        <v>1.7871590179289375E-4</v>
      </c>
      <c r="W49" s="2"/>
      <c r="X49" s="2">
        <f t="shared" si="13"/>
        <v>-503.93</v>
      </c>
      <c r="Y49" s="2"/>
      <c r="Z49" s="19">
        <f t="shared" si="14"/>
        <v>-1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>
        <v>-757174.69000000006</v>
      </c>
      <c r="E50" s="2"/>
      <c r="F50" s="19">
        <f t="shared" si="7"/>
        <v>-3.1897737876843069</v>
      </c>
      <c r="G50" s="2"/>
      <c r="H50" s="2">
        <v>-53957</v>
      </c>
      <c r="I50" s="2"/>
      <c r="J50" s="19">
        <f t="shared" si="8"/>
        <v>-9.3365566432333597E-2</v>
      </c>
      <c r="K50" s="2"/>
      <c r="L50" s="2">
        <f t="shared" si="9"/>
        <v>-703217.69000000006</v>
      </c>
      <c r="M50" s="2"/>
      <c r="N50" s="19">
        <f t="shared" si="10"/>
        <v>13.032927887021147</v>
      </c>
      <c r="O50" s="11"/>
      <c r="P50" s="2">
        <v>-1438527.6300000001</v>
      </c>
      <c r="Q50" s="2"/>
      <c r="R50" s="19">
        <f t="shared" si="11"/>
        <v>-0.95170753594790314</v>
      </c>
      <c r="S50" s="2"/>
      <c r="T50" s="2">
        <v>-2003459</v>
      </c>
      <c r="U50" s="2"/>
      <c r="V50" s="19">
        <f t="shared" si="12"/>
        <v>-0.7105153134167228</v>
      </c>
      <c r="W50" s="2"/>
      <c r="X50" s="2">
        <f t="shared" si="13"/>
        <v>564931.36999999988</v>
      </c>
      <c r="Y50" s="2"/>
      <c r="Z50" s="19">
        <f t="shared" si="14"/>
        <v>-0.28197800404200929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130513</v>
      </c>
      <c r="E51" s="2"/>
      <c r="F51" s="19">
        <f t="shared" si="7"/>
        <v>0.54981624696414766</v>
      </c>
      <c r="G51" s="2"/>
      <c r="H51" s="2">
        <v>290960</v>
      </c>
      <c r="I51" s="2"/>
      <c r="J51" s="19">
        <f t="shared" si="8"/>
        <v>0.50346841390647712</v>
      </c>
      <c r="K51" s="2"/>
      <c r="L51" s="2">
        <f t="shared" si="9"/>
        <v>-160447</v>
      </c>
      <c r="M51" s="2"/>
      <c r="N51" s="19">
        <f t="shared" si="10"/>
        <v>-0.55144006048941441</v>
      </c>
      <c r="O51" s="11"/>
      <c r="P51" s="2">
        <v>737969</v>
      </c>
      <c r="Q51" s="2"/>
      <c r="R51" s="19">
        <f t="shared" si="11"/>
        <v>0.48822882782997923</v>
      </c>
      <c r="S51" s="2"/>
      <c r="T51" s="2">
        <v>1393883</v>
      </c>
      <c r="U51" s="2"/>
      <c r="V51" s="19">
        <f t="shared" si="12"/>
        <v>0.49433265997020243</v>
      </c>
      <c r="W51" s="2"/>
      <c r="X51" s="2">
        <f t="shared" si="13"/>
        <v>-655914</v>
      </c>
      <c r="Y51" s="2"/>
      <c r="Z51" s="19">
        <f t="shared" si="14"/>
        <v>-0.47056603746512443</v>
      </c>
    </row>
    <row r="52" spans="1:26" s="24" customFormat="1" hidden="1" outlineLevel="1" x14ac:dyDescent="0.25">
      <c r="A52" s="44"/>
      <c r="B52" s="11" t="str">
        <f>CONCATENATE("          ", "5501", " - ", "FREIGHT-IN-NEW TEXT")</f>
        <v xml:space="preserve">          5501 - FREIGHT-IN-NEW TEXT</v>
      </c>
      <c r="C52" s="11"/>
      <c r="D52" s="2">
        <v>5279.6</v>
      </c>
      <c r="E52" s="2"/>
      <c r="F52" s="19">
        <f t="shared" si="7"/>
        <v>2.2241538064958388E-2</v>
      </c>
      <c r="G52" s="2"/>
      <c r="H52" s="2">
        <v>13859.22</v>
      </c>
      <c r="I52" s="2"/>
      <c r="J52" s="19">
        <f t="shared" si="8"/>
        <v>2.3981576544476645E-2</v>
      </c>
      <c r="K52" s="2"/>
      <c r="L52" s="2">
        <f t="shared" si="9"/>
        <v>-8579.619999999999</v>
      </c>
      <c r="M52" s="2"/>
      <c r="N52" s="19">
        <f t="shared" si="10"/>
        <v>-0.61905504061556127</v>
      </c>
      <c r="O52" s="11"/>
      <c r="P52" s="2">
        <v>10762.88</v>
      </c>
      <c r="Q52" s="2"/>
      <c r="R52" s="19">
        <f t="shared" si="11"/>
        <v>7.1205542325961206E-3</v>
      </c>
      <c r="S52" s="2"/>
      <c r="T52" s="2">
        <v>26583.46</v>
      </c>
      <c r="U52" s="2"/>
      <c r="V52" s="19">
        <f t="shared" si="12"/>
        <v>9.4276725471301951E-3</v>
      </c>
      <c r="W52" s="2"/>
      <c r="X52" s="2">
        <f t="shared" si="13"/>
        <v>-15820.58</v>
      </c>
      <c r="Y52" s="2"/>
      <c r="Z52" s="19">
        <f t="shared" si="14"/>
        <v>-0.595128700327196</v>
      </c>
    </row>
    <row r="53" spans="1:26" s="24" customFormat="1" hidden="1" outlineLevel="1" x14ac:dyDescent="0.25">
      <c r="A53" s="44"/>
      <c r="B53" s="11" t="str">
        <f>CONCATENATE("          ", "5502", " - ", "FREIGHT-IN-USED TEXT")</f>
        <v xml:space="preserve">          5502 - FREIGHT-IN-USED TEXT</v>
      </c>
      <c r="C53" s="11"/>
      <c r="D53" s="2">
        <v>7276.27</v>
      </c>
      <c r="E53" s="2"/>
      <c r="F53" s="19">
        <f t="shared" si="7"/>
        <v>3.0652972985816117E-2</v>
      </c>
      <c r="G53" s="2"/>
      <c r="H53" s="2">
        <v>1998.66</v>
      </c>
      <c r="I53" s="2"/>
      <c r="J53" s="19">
        <f t="shared" si="8"/>
        <v>3.4584210205468777E-3</v>
      </c>
      <c r="K53" s="2"/>
      <c r="L53" s="2">
        <f t="shared" si="9"/>
        <v>5277.6100000000006</v>
      </c>
      <c r="M53" s="2"/>
      <c r="N53" s="19">
        <f t="shared" si="10"/>
        <v>2.6405741847037518</v>
      </c>
      <c r="O53" s="11"/>
      <c r="P53" s="2">
        <v>8510.82</v>
      </c>
      <c r="Q53" s="2"/>
      <c r="R53" s="19">
        <f t="shared" si="11"/>
        <v>5.630626316921095E-3</v>
      </c>
      <c r="S53" s="2"/>
      <c r="T53" s="2">
        <v>6261.17</v>
      </c>
      <c r="U53" s="2"/>
      <c r="V53" s="19">
        <f t="shared" si="12"/>
        <v>2.2204882480277273E-3</v>
      </c>
      <c r="W53" s="2"/>
      <c r="X53" s="2">
        <f t="shared" si="13"/>
        <v>2249.6499999999996</v>
      </c>
      <c r="Y53" s="2"/>
      <c r="Z53" s="19">
        <f t="shared" si="14"/>
        <v>0.35930185572345097</v>
      </c>
    </row>
    <row r="54" spans="1:26" s="24" customFormat="1" hidden="1" outlineLevel="1" x14ac:dyDescent="0.25">
      <c r="A54" s="44"/>
      <c r="B54" s="11" t="str">
        <f>CONCATENATE("          ", "5504", " - ", "FREIGHT-IN-DIGITAL TEXT")</f>
        <v xml:space="preserve">          5504 - FREIGHT-IN-DIGITAL TEXT</v>
      </c>
      <c r="C54" s="11"/>
      <c r="D54" s="2">
        <v>10.99</v>
      </c>
      <c r="E54" s="2"/>
      <c r="F54" s="19">
        <f t="shared" si="7"/>
        <v>4.6297920928459103E-5</v>
      </c>
      <c r="G54" s="2"/>
      <c r="H54" s="2"/>
      <c r="I54" s="2"/>
      <c r="J54" s="19">
        <f t="shared" si="8"/>
        <v>0</v>
      </c>
      <c r="K54" s="2"/>
      <c r="L54" s="2">
        <f t="shared" si="9"/>
        <v>10.99</v>
      </c>
      <c r="M54" s="2"/>
      <c r="N54" s="19">
        <f t="shared" si="10"/>
        <v>0</v>
      </c>
      <c r="O54" s="11"/>
      <c r="P54" s="2">
        <v>10.99</v>
      </c>
      <c r="Q54" s="2"/>
      <c r="R54" s="19">
        <f t="shared" si="11"/>
        <v>7.270813296834246E-6</v>
      </c>
      <c r="S54" s="2"/>
      <c r="T54" s="2">
        <v>7.03</v>
      </c>
      <c r="U54" s="2"/>
      <c r="V54" s="19">
        <f t="shared" si="12"/>
        <v>2.4931494247297109E-6</v>
      </c>
      <c r="W54" s="2"/>
      <c r="X54" s="2">
        <f t="shared" si="13"/>
        <v>3.96</v>
      </c>
      <c r="Y54" s="2"/>
      <c r="Z54" s="19">
        <f t="shared" si="14"/>
        <v>0.56330014224751068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5" t="s">
        <v>6</v>
      </c>
      <c r="C56" s="25"/>
      <c r="D56" s="22">
        <f>D12-D41</f>
        <v>80059.1700000001</v>
      </c>
      <c r="E56" s="13"/>
      <c r="F56" s="21">
        <f>IF(D$12=0,0,D56/D$12)</f>
        <v>0.33726780002348222</v>
      </c>
      <c r="G56" s="13"/>
      <c r="H56" s="22">
        <f>H12-H41</f>
        <v>147311.99000000028</v>
      </c>
      <c r="I56" s="13"/>
      <c r="J56" s="21">
        <f>IF(H$12=0,0,H56/H$12)</f>
        <v>0.25490422722953998</v>
      </c>
      <c r="K56" s="15"/>
      <c r="L56" s="22">
        <f>+D56-H56</f>
        <v>-67252.820000000182</v>
      </c>
      <c r="M56" s="15"/>
      <c r="N56" s="21">
        <f>IF(H56=0,0,L56/H56)</f>
        <v>-0.45653323941927643</v>
      </c>
      <c r="O56" s="26"/>
      <c r="P56" s="22">
        <f>P12-P41</f>
        <v>431026.95000000042</v>
      </c>
      <c r="Q56" s="13"/>
      <c r="R56" s="21">
        <f>IF(P$12=0,0,P56/P$12)</f>
        <v>0.28516073515504209</v>
      </c>
      <c r="S56" s="13"/>
      <c r="T56" s="22">
        <f>T12-T41</f>
        <v>751485.16999999736</v>
      </c>
      <c r="U56" s="13"/>
      <c r="V56" s="21">
        <f>IF(T$12=0,0,T56/T$12)</f>
        <v>0.26650993161854941</v>
      </c>
      <c r="W56" s="15"/>
      <c r="X56" s="22">
        <f>+P56-T56</f>
        <v>-320458.21999999695</v>
      </c>
      <c r="Y56" s="15"/>
      <c r="Z56" s="21">
        <f>IF(T56=0,0,X56/T56)</f>
        <v>-0.42643319228774412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6" t="s">
        <v>9</v>
      </c>
      <c r="C58" s="10"/>
      <c r="D58" s="20">
        <f>SUM(OSRRefD22x_0)</f>
        <v>39896.36</v>
      </c>
      <c r="E58" s="20"/>
      <c r="F58" s="36">
        <f t="shared" ref="F58:F68" si="15">IF(D$12=0,0,D58/D$12)</f>
        <v>0.16807265883651851</v>
      </c>
      <c r="G58" s="20"/>
      <c r="H58" s="20">
        <f>SUM(OSRRefH22x_0)</f>
        <v>23354.710000000003</v>
      </c>
      <c r="I58" s="20"/>
      <c r="J58" s="36">
        <f t="shared" ref="J58:J68" si="16">IF(H$12=0,0,H58/H$12)</f>
        <v>4.0412286228161058E-2</v>
      </c>
      <c r="K58" s="4"/>
      <c r="L58" s="20">
        <f t="shared" ref="L58:L68" si="17">+D58-H58</f>
        <v>16541.649999999998</v>
      </c>
      <c r="M58" s="4"/>
      <c r="N58" s="36">
        <f t="shared" ref="N58:N68" si="18">IF(H58=0,0,L58/H58)</f>
        <v>0.70827897242140858</v>
      </c>
      <c r="O58" s="10"/>
      <c r="P58" s="20">
        <f>SUM(OSRRefP22x_0)</f>
        <v>128431.01</v>
      </c>
      <c r="Q58" s="20"/>
      <c r="R58" s="36">
        <f t="shared" ref="R58:R68" si="19">IF(P$12=0,0,P58/P$12)</f>
        <v>8.496796134975905E-2</v>
      </c>
      <c r="S58" s="20"/>
      <c r="T58" s="20">
        <f>SUM(OSRRefT22x_0)</f>
        <v>116991.76999999999</v>
      </c>
      <c r="U58" s="20"/>
      <c r="V58" s="36">
        <f t="shared" ref="V58:V68" si="20">IF(T$12=0,0,T58/T$12)</f>
        <v>4.1490464306345745E-2</v>
      </c>
      <c r="W58" s="4"/>
      <c r="X58" s="20">
        <f t="shared" ref="X58:X68" si="21">+P58-T58</f>
        <v>11439.240000000005</v>
      </c>
      <c r="Y58" s="4"/>
      <c r="Z58" s="36">
        <f t="shared" ref="Z58:Z68" si="22">IF(T58=0,0,X58/T58)</f>
        <v>9.7778159950909424E-2</v>
      </c>
    </row>
    <row r="59" spans="1:26" s="27" customFormat="1" outlineLevel="1" collapsed="1" x14ac:dyDescent="0.25">
      <c r="A59" s="29"/>
      <c r="B59" s="14" t="str">
        <f>CONCATENATE("     ","*Benefits                                         ")</f>
        <v xml:space="preserve">     *Benefits                                         </v>
      </c>
      <c r="C59" s="14"/>
      <c r="D59" s="1">
        <f>SUM(OSRRefD22_0x_0)</f>
        <v>10776.93</v>
      </c>
      <c r="E59" s="1"/>
      <c r="F59" s="5">
        <f t="shared" si="15"/>
        <v>4.5400314193952566E-2</v>
      </c>
      <c r="G59" s="1"/>
      <c r="H59" s="1">
        <f>SUM(OSRRefH22_0x_0)</f>
        <v>9413.4500000000007</v>
      </c>
      <c r="I59" s="1"/>
      <c r="J59" s="5">
        <f t="shared" si="16"/>
        <v>1.6288750140527657E-2</v>
      </c>
      <c r="K59" s="1"/>
      <c r="L59" s="1">
        <f t="shared" si="17"/>
        <v>1363.4799999999996</v>
      </c>
      <c r="M59" s="1"/>
      <c r="N59" s="5">
        <f t="shared" si="18"/>
        <v>0.14484381390457265</v>
      </c>
      <c r="O59" s="14"/>
      <c r="P59" s="1">
        <f>SUM(OSRRefP22_0x_0)</f>
        <v>32591.090000000004</v>
      </c>
      <c r="Q59" s="1"/>
      <c r="R59" s="5">
        <f t="shared" si="19"/>
        <v>2.1561758919956476E-2</v>
      </c>
      <c r="S59" s="1"/>
      <c r="T59" s="1">
        <f>SUM(OSRRefT22_0x_0)</f>
        <v>30333.209999999992</v>
      </c>
      <c r="U59" s="1"/>
      <c r="V59" s="5">
        <f t="shared" si="20"/>
        <v>1.0757500008777452E-2</v>
      </c>
      <c r="W59" s="1"/>
      <c r="X59" s="1">
        <f t="shared" si="21"/>
        <v>2257.8800000000119</v>
      </c>
      <c r="Y59" s="1"/>
      <c r="Z59" s="5">
        <f t="shared" si="22"/>
        <v>7.4435907047095004E-2</v>
      </c>
    </row>
    <row r="60" spans="1:26" s="24" customFormat="1" hidden="1" outlineLevel="2" x14ac:dyDescent="0.25">
      <c r="A60" s="28"/>
      <c r="B60" s="11" t="str">
        <f>CONCATENATE("          ", "6111", " - ", "F.I.C.A.")</f>
        <v xml:space="preserve">          6111 - F.I.C.A.</v>
      </c>
      <c r="C60" s="11"/>
      <c r="D60" s="7">
        <v>2005.88</v>
      </c>
      <c r="E60" s="2"/>
      <c r="F60" s="6">
        <f t="shared" si="15"/>
        <v>8.4502341794338073E-3</v>
      </c>
      <c r="G60" s="2"/>
      <c r="H60" s="7">
        <v>1409.9</v>
      </c>
      <c r="I60" s="2"/>
      <c r="J60" s="6">
        <f t="shared" si="16"/>
        <v>2.4396484629046677E-3</v>
      </c>
      <c r="K60" s="2"/>
      <c r="L60" s="7">
        <f t="shared" si="17"/>
        <v>595.98</v>
      </c>
      <c r="M60" s="2"/>
      <c r="N60" s="6">
        <f t="shared" si="18"/>
        <v>0.42271083055535852</v>
      </c>
      <c r="O60" s="11"/>
      <c r="P60" s="7">
        <v>6099.88</v>
      </c>
      <c r="Q60" s="2"/>
      <c r="R60" s="6">
        <f t="shared" si="19"/>
        <v>4.0355858610639931E-3</v>
      </c>
      <c r="S60" s="2"/>
      <c r="T60" s="7">
        <v>4796.1499999999996</v>
      </c>
      <c r="U60" s="2"/>
      <c r="V60" s="6">
        <f t="shared" si="20"/>
        <v>1.7009272565316359E-3</v>
      </c>
      <c r="W60" s="2"/>
      <c r="X60" s="7">
        <f t="shared" si="21"/>
        <v>1303.7300000000005</v>
      </c>
      <c r="Y60" s="2"/>
      <c r="Z60" s="6">
        <f t="shared" si="22"/>
        <v>0.27182844573251475</v>
      </c>
    </row>
    <row r="61" spans="1:26" s="24" customFormat="1" hidden="1" outlineLevel="2" x14ac:dyDescent="0.25">
      <c r="A61" s="28"/>
      <c r="B61" s="11" t="str">
        <f>CONCATENATE("          ", "6112", " - ", "COMPENSATION INSURANCE")</f>
        <v xml:space="preserve">          6112 - COMPENSATION INSURANCE</v>
      </c>
      <c r="C61" s="11"/>
      <c r="D61" s="7">
        <v>94.94</v>
      </c>
      <c r="E61" s="2"/>
      <c r="F61" s="6">
        <f t="shared" si="15"/>
        <v>3.9995674367132908E-4</v>
      </c>
      <c r="G61" s="2"/>
      <c r="H61" s="7">
        <v>74.67</v>
      </c>
      <c r="I61" s="2"/>
      <c r="J61" s="6">
        <f t="shared" si="16"/>
        <v>1.2920671730271048E-4</v>
      </c>
      <c r="K61" s="2"/>
      <c r="L61" s="7">
        <f t="shared" si="17"/>
        <v>20.269999999999996</v>
      </c>
      <c r="M61" s="2"/>
      <c r="N61" s="6">
        <f t="shared" si="18"/>
        <v>0.27146109548680858</v>
      </c>
      <c r="O61" s="11"/>
      <c r="P61" s="7">
        <v>433.29</v>
      </c>
      <c r="Q61" s="2"/>
      <c r="R61" s="6">
        <f t="shared" si="19"/>
        <v>2.8665793388401369E-4</v>
      </c>
      <c r="S61" s="2"/>
      <c r="T61" s="7">
        <v>256.11</v>
      </c>
      <c r="U61" s="2"/>
      <c r="V61" s="6">
        <f t="shared" si="20"/>
        <v>9.0827951517429047E-5</v>
      </c>
      <c r="W61" s="2"/>
      <c r="X61" s="7">
        <f t="shared" si="21"/>
        <v>177.18</v>
      </c>
      <c r="Y61" s="2"/>
      <c r="Z61" s="6">
        <f t="shared" si="22"/>
        <v>0.69181211198313219</v>
      </c>
    </row>
    <row r="62" spans="1:26" s="24" customFormat="1" hidden="1" outlineLevel="2" x14ac:dyDescent="0.25">
      <c r="A62" s="28"/>
      <c r="B62" s="11" t="str">
        <f>CONCATENATE("          ", "6113", " - ", "GROUP INSURANCE")</f>
        <v xml:space="preserve">          6113 - GROUP INSURANCE</v>
      </c>
      <c r="C62" s="11"/>
      <c r="D62" s="7">
        <v>4248.21</v>
      </c>
      <c r="E62" s="2"/>
      <c r="F62" s="6">
        <f t="shared" si="15"/>
        <v>1.7896568759553162E-2</v>
      </c>
      <c r="G62" s="2"/>
      <c r="H62" s="7">
        <v>4168.57</v>
      </c>
      <c r="I62" s="2"/>
      <c r="J62" s="6">
        <f t="shared" si="16"/>
        <v>7.2131678792896718E-3</v>
      </c>
      <c r="K62" s="2"/>
      <c r="L62" s="7">
        <f t="shared" si="17"/>
        <v>79.640000000000327</v>
      </c>
      <c r="M62" s="2"/>
      <c r="N62" s="6">
        <f t="shared" si="18"/>
        <v>1.9104872894062073E-2</v>
      </c>
      <c r="O62" s="11"/>
      <c r="P62" s="7">
        <v>12610.42</v>
      </c>
      <c r="Q62" s="2"/>
      <c r="R62" s="6">
        <f t="shared" si="19"/>
        <v>8.342857999514515E-3</v>
      </c>
      <c r="S62" s="2"/>
      <c r="T62" s="7">
        <v>12505.71</v>
      </c>
      <c r="U62" s="2"/>
      <c r="V62" s="6">
        <f t="shared" si="20"/>
        <v>4.4350787613565562E-3</v>
      </c>
      <c r="W62" s="2"/>
      <c r="X62" s="7">
        <f t="shared" si="21"/>
        <v>104.71000000000095</v>
      </c>
      <c r="Y62" s="2"/>
      <c r="Z62" s="6">
        <f t="shared" si="22"/>
        <v>8.3729752249173343E-3</v>
      </c>
    </row>
    <row r="63" spans="1:26" s="24" customFormat="1" hidden="1" outlineLevel="2" x14ac:dyDescent="0.25">
      <c r="A63" s="28"/>
      <c r="B63" s="11" t="str">
        <f>CONCATENATE("          ", "6114", " - ", "STATE UNEMPLOYMENT INSURANCE")</f>
        <v xml:space="preserve">          6114 - STATE UNEMPLOYMENT INSURANCE</v>
      </c>
      <c r="C63" s="11"/>
      <c r="D63" s="7">
        <v>74.8</v>
      </c>
      <c r="E63" s="2"/>
      <c r="F63" s="6">
        <f t="shared" si="15"/>
        <v>3.151123280663094E-4</v>
      </c>
      <c r="G63" s="2"/>
      <c r="H63" s="7">
        <v>57.1</v>
      </c>
      <c r="I63" s="2"/>
      <c r="J63" s="6">
        <f t="shared" si="16"/>
        <v>9.880411889627386E-5</v>
      </c>
      <c r="K63" s="2"/>
      <c r="L63" s="7">
        <f t="shared" si="17"/>
        <v>17.699999999999996</v>
      </c>
      <c r="M63" s="2"/>
      <c r="N63" s="6">
        <f t="shared" si="18"/>
        <v>0.30998248686514879</v>
      </c>
      <c r="O63" s="11"/>
      <c r="P63" s="7">
        <v>208.22</v>
      </c>
      <c r="Q63" s="2"/>
      <c r="R63" s="6">
        <f t="shared" si="19"/>
        <v>1.3775511780407887E-4</v>
      </c>
      <c r="S63" s="2"/>
      <c r="T63" s="7">
        <v>170.53</v>
      </c>
      <c r="U63" s="2"/>
      <c r="V63" s="6">
        <f t="shared" si="20"/>
        <v>6.0477492375413591E-5</v>
      </c>
      <c r="W63" s="2"/>
      <c r="X63" s="7">
        <f t="shared" si="21"/>
        <v>37.69</v>
      </c>
      <c r="Y63" s="2"/>
      <c r="Z63" s="6">
        <f t="shared" si="22"/>
        <v>0.22101682988330498</v>
      </c>
    </row>
    <row r="64" spans="1:26" s="24" customFormat="1" hidden="1" outlineLevel="2" x14ac:dyDescent="0.25">
      <c r="A64" s="28"/>
      <c r="B64" s="11" t="str">
        <f>CONCATENATE("          ", "6115", " - ", "P.E.R.S.")</f>
        <v xml:space="preserve">          6115 - P.E.R.S.</v>
      </c>
      <c r="C64" s="11"/>
      <c r="D64" s="7">
        <v>1480.2</v>
      </c>
      <c r="E64" s="2"/>
      <c r="F64" s="6">
        <f t="shared" si="15"/>
        <v>6.2356854011196691E-3</v>
      </c>
      <c r="G64" s="2"/>
      <c r="H64" s="7">
        <v>1325.86</v>
      </c>
      <c r="I64" s="2"/>
      <c r="J64" s="6">
        <f t="shared" si="16"/>
        <v>2.2942281800317627E-3</v>
      </c>
      <c r="K64" s="2"/>
      <c r="L64" s="7">
        <f t="shared" si="17"/>
        <v>154.34000000000015</v>
      </c>
      <c r="M64" s="2"/>
      <c r="N64" s="6">
        <f t="shared" si="18"/>
        <v>0.11640746383479414</v>
      </c>
      <c r="O64" s="11"/>
      <c r="P64" s="7">
        <v>5180.72</v>
      </c>
      <c r="Q64" s="2"/>
      <c r="R64" s="6">
        <f t="shared" si="19"/>
        <v>3.4274838819995557E-3</v>
      </c>
      <c r="S64" s="2"/>
      <c r="T64" s="7">
        <v>3977.58</v>
      </c>
      <c r="U64" s="2"/>
      <c r="V64" s="6">
        <f t="shared" si="20"/>
        <v>1.4106260723778666E-3</v>
      </c>
      <c r="W64" s="2"/>
      <c r="X64" s="7">
        <f t="shared" si="21"/>
        <v>1203.1400000000003</v>
      </c>
      <c r="Y64" s="2"/>
      <c r="Z64" s="6">
        <f t="shared" si="22"/>
        <v>0.30248040265689197</v>
      </c>
    </row>
    <row r="65" spans="1:26" s="24" customFormat="1" hidden="1" outlineLevel="2" x14ac:dyDescent="0.25">
      <c r="A65" s="28"/>
      <c r="B65" s="11" t="str">
        <f>CONCATENATE("          ", "6117", " - ", "RETIREMENT STAFF HOURLY")</f>
        <v xml:space="preserve">          6117 - RETIREMENT STAFF HOURLY</v>
      </c>
      <c r="C65" s="11"/>
      <c r="D65" s="7">
        <v>248.98</v>
      </c>
      <c r="E65" s="2"/>
      <c r="F65" s="6">
        <f t="shared" si="15"/>
        <v>1.0488859283683117E-3</v>
      </c>
      <c r="G65" s="2"/>
      <c r="H65" s="7">
        <v>145.97</v>
      </c>
      <c r="I65" s="2"/>
      <c r="J65" s="6">
        <f t="shared" si="16"/>
        <v>2.5258208818369695E-4</v>
      </c>
      <c r="K65" s="2"/>
      <c r="L65" s="7">
        <f t="shared" si="17"/>
        <v>103.00999999999999</v>
      </c>
      <c r="M65" s="2"/>
      <c r="N65" s="6">
        <f t="shared" si="18"/>
        <v>0.70569295060628889</v>
      </c>
      <c r="O65" s="11"/>
      <c r="P65" s="7">
        <v>837.77</v>
      </c>
      <c r="Q65" s="2"/>
      <c r="R65" s="6">
        <f t="shared" si="19"/>
        <v>5.5425561926194958E-4</v>
      </c>
      <c r="S65" s="2"/>
      <c r="T65" s="7">
        <v>461.34</v>
      </c>
      <c r="U65" s="2"/>
      <c r="V65" s="6">
        <f t="shared" si="20"/>
        <v>1.6361160108176452E-4</v>
      </c>
      <c r="W65" s="2"/>
      <c r="X65" s="7">
        <f t="shared" si="21"/>
        <v>376.43</v>
      </c>
      <c r="Y65" s="2"/>
      <c r="Z65" s="6">
        <f t="shared" si="22"/>
        <v>0.81594919148567224</v>
      </c>
    </row>
    <row r="66" spans="1:26" s="24" customFormat="1" hidden="1" outlineLevel="2" x14ac:dyDescent="0.25">
      <c r="A66" s="28"/>
      <c r="B66" s="11" t="str">
        <f>CONCATENATE("          ", "6118", " - ", "VACATION")</f>
        <v xml:space="preserve">          6118 - VACATION</v>
      </c>
      <c r="C66" s="11"/>
      <c r="D66" s="7">
        <v>1121.07</v>
      </c>
      <c r="E66" s="2"/>
      <c r="F66" s="6">
        <f t="shared" si="15"/>
        <v>4.7227670805521059E-3</v>
      </c>
      <c r="G66" s="2"/>
      <c r="H66" s="7">
        <v>819.89</v>
      </c>
      <c r="I66" s="2"/>
      <c r="J66" s="6">
        <f t="shared" si="16"/>
        <v>1.4187129429398594E-3</v>
      </c>
      <c r="K66" s="2"/>
      <c r="L66" s="7">
        <f t="shared" si="17"/>
        <v>301.17999999999995</v>
      </c>
      <c r="M66" s="2"/>
      <c r="N66" s="6">
        <f t="shared" si="18"/>
        <v>0.36734196050689721</v>
      </c>
      <c r="O66" s="11"/>
      <c r="P66" s="7">
        <v>3031.38</v>
      </c>
      <c r="Q66" s="2"/>
      <c r="R66" s="6">
        <f t="shared" si="19"/>
        <v>2.0055139228168698E-3</v>
      </c>
      <c r="S66" s="2"/>
      <c r="T66" s="7">
        <v>3094.35</v>
      </c>
      <c r="U66" s="2"/>
      <c r="V66" s="6">
        <f t="shared" si="20"/>
        <v>1.097393587825374E-3</v>
      </c>
      <c r="W66" s="2"/>
      <c r="X66" s="7">
        <f t="shared" si="21"/>
        <v>-62.9699999999998</v>
      </c>
      <c r="Y66" s="2"/>
      <c r="Z66" s="6">
        <f t="shared" si="22"/>
        <v>-2.0349992728682858E-2</v>
      </c>
    </row>
    <row r="67" spans="1:26" s="24" customFormat="1" hidden="1" outlineLevel="2" x14ac:dyDescent="0.25">
      <c r="A67" s="28"/>
      <c r="B67" s="11" t="str">
        <f>CONCATENATE("          ", "6119", " - ", "SICK LEAVE")</f>
        <v xml:space="preserve">          6119 - SICK LEAVE</v>
      </c>
      <c r="C67" s="11"/>
      <c r="D67" s="7">
        <v>944.6</v>
      </c>
      <c r="E67" s="2"/>
      <c r="F67" s="6">
        <f t="shared" si="15"/>
        <v>3.9793463247518165E-3</v>
      </c>
      <c r="G67" s="2"/>
      <c r="H67" s="7">
        <v>801.74</v>
      </c>
      <c r="I67" s="2"/>
      <c r="J67" s="6">
        <f t="shared" si="16"/>
        <v>1.3873067300157374E-3</v>
      </c>
      <c r="K67" s="2"/>
      <c r="L67" s="7">
        <f t="shared" si="17"/>
        <v>142.86000000000001</v>
      </c>
      <c r="M67" s="2"/>
      <c r="N67" s="6">
        <f t="shared" si="18"/>
        <v>0.17818744231296932</v>
      </c>
      <c r="O67" s="11"/>
      <c r="P67" s="7">
        <v>2833.8</v>
      </c>
      <c r="Q67" s="2"/>
      <c r="R67" s="6">
        <f t="shared" si="19"/>
        <v>1.8747980637460317E-3</v>
      </c>
      <c r="S67" s="2"/>
      <c r="T67" s="7">
        <v>3314.02</v>
      </c>
      <c r="U67" s="2"/>
      <c r="V67" s="6">
        <f t="shared" si="20"/>
        <v>1.1752983010729382E-3</v>
      </c>
      <c r="W67" s="2"/>
      <c r="X67" s="7">
        <f t="shared" si="21"/>
        <v>-480.2199999999998</v>
      </c>
      <c r="Y67" s="2"/>
      <c r="Z67" s="6">
        <f t="shared" si="22"/>
        <v>-0.14490558294759834</v>
      </c>
    </row>
    <row r="68" spans="1:26" s="24" customFormat="1" hidden="1" outlineLevel="2" x14ac:dyDescent="0.25">
      <c r="A68" s="28"/>
      <c r="B68" s="11" t="str">
        <f>CONCATENATE("          ", "6156", " - ", "EMPLOYEE MEALS")</f>
        <v xml:space="preserve">          6156 - EMPLOYEE MEALS</v>
      </c>
      <c r="C68" s="11"/>
      <c r="D68" s="7">
        <v>558.25</v>
      </c>
      <c r="E68" s="2"/>
      <c r="F68" s="6">
        <f t="shared" si="15"/>
        <v>2.3517574484360594E-3</v>
      </c>
      <c r="G68" s="2"/>
      <c r="H68" s="7">
        <v>609.75</v>
      </c>
      <c r="I68" s="2"/>
      <c r="J68" s="6">
        <f t="shared" si="16"/>
        <v>1.0550930209632747E-3</v>
      </c>
      <c r="K68" s="2"/>
      <c r="L68" s="7">
        <f t="shared" si="17"/>
        <v>-51.5</v>
      </c>
      <c r="M68" s="2"/>
      <c r="N68" s="6">
        <f t="shared" si="18"/>
        <v>-8.4460844608446078E-2</v>
      </c>
      <c r="O68" s="11"/>
      <c r="P68" s="7">
        <v>1355.61</v>
      </c>
      <c r="Q68" s="2"/>
      <c r="R68" s="6">
        <f t="shared" si="19"/>
        <v>8.9685051986546603E-4</v>
      </c>
      <c r="S68" s="2"/>
      <c r="T68" s="7">
        <v>1757.42</v>
      </c>
      <c r="U68" s="2"/>
      <c r="V68" s="6">
        <f t="shared" si="20"/>
        <v>6.2325898463847624E-4</v>
      </c>
      <c r="W68" s="2"/>
      <c r="X68" s="7">
        <f t="shared" si="21"/>
        <v>-401.81000000000017</v>
      </c>
      <c r="Y68" s="2"/>
      <c r="Z68" s="6">
        <f t="shared" si="22"/>
        <v>-0.22863629638902491</v>
      </c>
    </row>
    <row r="69" spans="1:26" s="27" customFormat="1" outlineLevel="1" collapsed="1" x14ac:dyDescent="0.25">
      <c r="A69" s="29"/>
      <c r="B69" s="14" t="str">
        <f>CONCATENATE("     ","*Payroll                                          ")</f>
        <v xml:space="preserve">     *Payroll                                          </v>
      </c>
      <c r="C69" s="14"/>
      <c r="D69" s="1">
        <f>SUM(OSRRefD22_1x_0)</f>
        <v>25117.03</v>
      </c>
      <c r="E69" s="1"/>
      <c r="F69" s="5">
        <f t="shared" ref="F69:F75" si="23">IF(D$12=0,0,D69/D$12)</f>
        <v>0.1058113074520232</v>
      </c>
      <c r="G69" s="1"/>
      <c r="H69" s="1">
        <f>SUM(OSRRefH22_1x_0)</f>
        <v>19518.63</v>
      </c>
      <c r="I69" s="1"/>
      <c r="J69" s="5">
        <f t="shared" ref="J69:J75" si="24">IF(H$12=0,0,H69/H$12)</f>
        <v>3.3774449022983849E-2</v>
      </c>
      <c r="K69" s="1"/>
      <c r="L69" s="1">
        <f t="shared" ref="L69:L75" si="25">+D69-H69</f>
        <v>5598.3999999999978</v>
      </c>
      <c r="M69" s="1"/>
      <c r="N69" s="5">
        <f t="shared" ref="N69:N75" si="26">IF(H69=0,0,L69/H69)</f>
        <v>0.2868234092249301</v>
      </c>
      <c r="O69" s="14"/>
      <c r="P69" s="1">
        <f>SUM(OSRRefP22_1x_0)</f>
        <v>89674.319999999992</v>
      </c>
      <c r="Q69" s="1"/>
      <c r="R69" s="5">
        <f t="shared" ref="R69:R75" si="27">IF(P$12=0,0,P69/P$12)</f>
        <v>5.9327137237540413E-2</v>
      </c>
      <c r="S69" s="1"/>
      <c r="T69" s="1">
        <f>SUM(OSRRefT22_1x_0)</f>
        <v>70061.78</v>
      </c>
      <c r="U69" s="1"/>
      <c r="V69" s="5">
        <f t="shared" ref="V69:V75" si="28">IF(T$12=0,0,T69/T$12)</f>
        <v>2.4847010882295809E-2</v>
      </c>
      <c r="W69" s="1"/>
      <c r="X69" s="1">
        <f t="shared" ref="X69:X75" si="29">+P69-T69</f>
        <v>19612.539999999994</v>
      </c>
      <c r="Y69" s="1"/>
      <c r="Z69" s="5">
        <f t="shared" ref="Z69:Z75" si="30">IF(T69=0,0,X69/T69)</f>
        <v>0.27993208279892395</v>
      </c>
    </row>
    <row r="70" spans="1:26" s="24" customFormat="1" hidden="1" outlineLevel="2" x14ac:dyDescent="0.25">
      <c r="A70" s="28"/>
      <c r="B70" s="11" t="str">
        <f>CONCATENATE("          ", "6001", " - ", "ADMINISTRATIVE SALARIES")</f>
        <v xml:space="preserve">          6001 - ADMINISTRATIVE SALARIES</v>
      </c>
      <c r="C70" s="11"/>
      <c r="D70" s="7"/>
      <c r="E70" s="2"/>
      <c r="F70" s="6">
        <f t="shared" si="23"/>
        <v>0</v>
      </c>
      <c r="G70" s="2"/>
      <c r="H70" s="7"/>
      <c r="I70" s="2"/>
      <c r="J70" s="6">
        <f t="shared" si="24"/>
        <v>0</v>
      </c>
      <c r="K70" s="2"/>
      <c r="L70" s="7">
        <f t="shared" si="25"/>
        <v>0</v>
      </c>
      <c r="M70" s="2"/>
      <c r="N70" s="6">
        <f t="shared" si="26"/>
        <v>0</v>
      </c>
      <c r="O70" s="11"/>
      <c r="P70" s="7">
        <v>-311.32</v>
      </c>
      <c r="Q70" s="2"/>
      <c r="R70" s="6">
        <f t="shared" si="27"/>
        <v>-2.0596447639403435E-4</v>
      </c>
      <c r="S70" s="2"/>
      <c r="T70" s="7"/>
      <c r="U70" s="2"/>
      <c r="V70" s="6">
        <f t="shared" si="28"/>
        <v>0</v>
      </c>
      <c r="W70" s="2"/>
      <c r="X70" s="7">
        <f t="shared" si="29"/>
        <v>-311.32</v>
      </c>
      <c r="Y70" s="2"/>
      <c r="Z70" s="6">
        <f t="shared" si="30"/>
        <v>0</v>
      </c>
    </row>
    <row r="71" spans="1:26" s="24" customFormat="1" hidden="1" outlineLevel="2" x14ac:dyDescent="0.25">
      <c r="A71" s="28"/>
      <c r="B71" s="11" t="str">
        <f>CONCATENATE("          ", "6002", " - ", "STAFF SALARIES")</f>
        <v xml:space="preserve">          6002 - STAFF SALARIES</v>
      </c>
      <c r="C71" s="11"/>
      <c r="D71" s="7">
        <v>14307.52</v>
      </c>
      <c r="E71" s="2"/>
      <c r="F71" s="6">
        <f t="shared" si="23"/>
        <v>6.0273742460632135E-2</v>
      </c>
      <c r="G71" s="2"/>
      <c r="H71" s="7">
        <v>12677.01</v>
      </c>
      <c r="I71" s="2"/>
      <c r="J71" s="6">
        <f t="shared" si="24"/>
        <v>2.1935915994557839E-2</v>
      </c>
      <c r="K71" s="2"/>
      <c r="L71" s="7">
        <f t="shared" si="25"/>
        <v>1630.5100000000002</v>
      </c>
      <c r="M71" s="2"/>
      <c r="N71" s="6">
        <f t="shared" si="26"/>
        <v>0.1286194457525868</v>
      </c>
      <c r="O71" s="11"/>
      <c r="P71" s="7">
        <v>47442.92</v>
      </c>
      <c r="Q71" s="2"/>
      <c r="R71" s="6">
        <f t="shared" si="27"/>
        <v>3.1387498960568097E-2</v>
      </c>
      <c r="S71" s="2"/>
      <c r="T71" s="7">
        <v>44579.24</v>
      </c>
      <c r="U71" s="2"/>
      <c r="V71" s="6">
        <f t="shared" si="28"/>
        <v>1.5809773337252874E-2</v>
      </c>
      <c r="W71" s="2"/>
      <c r="X71" s="7">
        <f t="shared" si="29"/>
        <v>2863.6800000000003</v>
      </c>
      <c r="Y71" s="2"/>
      <c r="Z71" s="6">
        <f t="shared" si="30"/>
        <v>6.4237972652741504E-2</v>
      </c>
    </row>
    <row r="72" spans="1:26" s="24" customFormat="1" hidden="1" outlineLevel="2" x14ac:dyDescent="0.25">
      <c r="A72" s="28"/>
      <c r="B72" s="11" t="str">
        <f>CONCATENATE("          ", "6004", " - ", "STAFF HOURLY")</f>
        <v xml:space="preserve">          6004 - STAFF HOURLY</v>
      </c>
      <c r="C72" s="11"/>
      <c r="D72" s="7">
        <v>6404.63</v>
      </c>
      <c r="E72" s="2"/>
      <c r="F72" s="6">
        <f t="shared" si="23"/>
        <v>2.6980987562878707E-2</v>
      </c>
      <c r="G72" s="2"/>
      <c r="H72" s="7">
        <v>2912.97</v>
      </c>
      <c r="I72" s="2"/>
      <c r="J72" s="6">
        <f t="shared" si="24"/>
        <v>5.0405154854864945E-3</v>
      </c>
      <c r="K72" s="2"/>
      <c r="L72" s="7">
        <f t="shared" si="25"/>
        <v>3491.6600000000003</v>
      </c>
      <c r="M72" s="2"/>
      <c r="N72" s="6">
        <f t="shared" si="26"/>
        <v>1.1986597870901521</v>
      </c>
      <c r="O72" s="11"/>
      <c r="P72" s="7">
        <v>18577.73</v>
      </c>
      <c r="Q72" s="2"/>
      <c r="R72" s="6">
        <f t="shared" si="27"/>
        <v>1.2290737607733984E-2</v>
      </c>
      <c r="S72" s="2"/>
      <c r="T72" s="7">
        <v>7749.22</v>
      </c>
      <c r="U72" s="2"/>
      <c r="V72" s="6">
        <f t="shared" si="28"/>
        <v>2.7482166977388293E-3</v>
      </c>
      <c r="W72" s="2"/>
      <c r="X72" s="7">
        <f t="shared" si="29"/>
        <v>10828.509999999998</v>
      </c>
      <c r="Y72" s="2"/>
      <c r="Z72" s="6">
        <f t="shared" si="30"/>
        <v>1.3973677350752718</v>
      </c>
    </row>
    <row r="73" spans="1:26" s="24" customFormat="1" hidden="1" outlineLevel="2" x14ac:dyDescent="0.25">
      <c r="A73" s="28"/>
      <c r="B73" s="11" t="str">
        <f>CONCATENATE("          ", "6005", " - ", "TEMPORARY WAGES-HOURLY")</f>
        <v xml:space="preserve">          6005 - TEMPORARY WAGES-HOURLY</v>
      </c>
      <c r="C73" s="11"/>
      <c r="D73" s="7">
        <v>5645.28</v>
      </c>
      <c r="E73" s="2"/>
      <c r="F73" s="6">
        <f t="shared" si="23"/>
        <v>2.3782049777890044E-2</v>
      </c>
      <c r="G73" s="2"/>
      <c r="H73" s="7">
        <v>1592.13</v>
      </c>
      <c r="I73" s="2"/>
      <c r="J73" s="6">
        <f t="shared" si="24"/>
        <v>2.7549737621422855E-3</v>
      </c>
      <c r="K73" s="2"/>
      <c r="L73" s="7">
        <f t="shared" si="25"/>
        <v>4053.1499999999996</v>
      </c>
      <c r="M73" s="2"/>
      <c r="N73" s="6">
        <f t="shared" si="26"/>
        <v>2.5457406116334718</v>
      </c>
      <c r="O73" s="11"/>
      <c r="P73" s="7">
        <v>11339.33</v>
      </c>
      <c r="Q73" s="2"/>
      <c r="R73" s="6">
        <f t="shared" si="27"/>
        <v>7.5019245988345289E-3</v>
      </c>
      <c r="S73" s="2"/>
      <c r="T73" s="7">
        <v>4261.4799999999996</v>
      </c>
      <c r="U73" s="2"/>
      <c r="V73" s="6">
        <f t="shared" si="28"/>
        <v>1.5113095889754148E-3</v>
      </c>
      <c r="W73" s="2"/>
      <c r="X73" s="7">
        <f t="shared" si="29"/>
        <v>7077.85</v>
      </c>
      <c r="Y73" s="2"/>
      <c r="Z73" s="6">
        <f t="shared" si="30"/>
        <v>1.6608901132939733</v>
      </c>
    </row>
    <row r="74" spans="1:26" s="24" customFormat="1" hidden="1" outlineLevel="2" x14ac:dyDescent="0.25">
      <c r="A74" s="28"/>
      <c r="B74" s="11" t="str">
        <f>CONCATENATE("          ", "6006", " - ", "TEMPORARY PART TIME")</f>
        <v xml:space="preserve">          6006 - TEMPORARY PART TIME</v>
      </c>
      <c r="C74" s="11"/>
      <c r="D74" s="7"/>
      <c r="E74" s="2"/>
      <c r="F74" s="6">
        <f t="shared" si="23"/>
        <v>0</v>
      </c>
      <c r="G74" s="2"/>
      <c r="H74" s="7"/>
      <c r="I74" s="2"/>
      <c r="J74" s="6">
        <f t="shared" si="24"/>
        <v>0</v>
      </c>
      <c r="K74" s="2"/>
      <c r="L74" s="7">
        <f t="shared" si="25"/>
        <v>0</v>
      </c>
      <c r="M74" s="2"/>
      <c r="N74" s="6">
        <f t="shared" si="26"/>
        <v>0</v>
      </c>
      <c r="O74" s="11"/>
      <c r="P74" s="7">
        <v>502.29</v>
      </c>
      <c r="Q74" s="2"/>
      <c r="R74" s="6">
        <f t="shared" si="27"/>
        <v>3.3230726213529335E-4</v>
      </c>
      <c r="S74" s="2"/>
      <c r="T74" s="7"/>
      <c r="U74" s="2"/>
      <c r="V74" s="6">
        <f t="shared" si="28"/>
        <v>0</v>
      </c>
      <c r="W74" s="2"/>
      <c r="X74" s="7">
        <f t="shared" si="29"/>
        <v>502.29</v>
      </c>
      <c r="Y74" s="2"/>
      <c r="Z74" s="6">
        <f t="shared" si="30"/>
        <v>0</v>
      </c>
    </row>
    <row r="75" spans="1:26" s="24" customFormat="1" hidden="1" outlineLevel="2" x14ac:dyDescent="0.25">
      <c r="A75" s="28"/>
      <c r="B75" s="11" t="str">
        <f>CONCATENATE("          ", "6007", " - ", "STUDENT HOURLY")</f>
        <v xml:space="preserve">          6007 - STUDENT HOURLY</v>
      </c>
      <c r="C75" s="11"/>
      <c r="D75" s="7">
        <v>-1240.4000000000001</v>
      </c>
      <c r="E75" s="2"/>
      <c r="F75" s="6">
        <f t="shared" si="23"/>
        <v>-5.2254723493776771E-3</v>
      </c>
      <c r="G75" s="2"/>
      <c r="H75" s="7">
        <v>2336.52</v>
      </c>
      <c r="I75" s="2"/>
      <c r="J75" s="6">
        <f t="shared" si="24"/>
        <v>4.0430437807972295E-3</v>
      </c>
      <c r="K75" s="2"/>
      <c r="L75" s="7">
        <f t="shared" si="25"/>
        <v>-3576.92</v>
      </c>
      <c r="M75" s="2"/>
      <c r="N75" s="6">
        <f t="shared" si="26"/>
        <v>-1.5308749764607195</v>
      </c>
      <c r="O75" s="11"/>
      <c r="P75" s="7">
        <v>12123.37</v>
      </c>
      <c r="Q75" s="2"/>
      <c r="R75" s="6">
        <f t="shared" si="27"/>
        <v>8.020633284662548E-3</v>
      </c>
      <c r="S75" s="2"/>
      <c r="T75" s="7">
        <v>13471.84</v>
      </c>
      <c r="U75" s="2"/>
      <c r="V75" s="6">
        <f t="shared" si="28"/>
        <v>4.7777112583286922E-3</v>
      </c>
      <c r="W75" s="2"/>
      <c r="X75" s="7">
        <f t="shared" si="29"/>
        <v>-1348.4699999999993</v>
      </c>
      <c r="Y75" s="2"/>
      <c r="Z75" s="6">
        <f t="shared" si="30"/>
        <v>-0.10009545837836549</v>
      </c>
    </row>
    <row r="76" spans="1:26" s="27" customFormat="1" outlineLevel="1" collapsed="1" x14ac:dyDescent="0.25">
      <c r="A76" s="29"/>
      <c r="B76" s="14" t="str">
        <f>CONCATENATE("     ","Advertising/Promo                                 ")</f>
        <v xml:space="preserve">     Advertising/Promo                                 </v>
      </c>
      <c r="C76" s="14"/>
      <c r="D76" s="1">
        <f>SUM(OSRRefD22_2x_0)</f>
        <v>0</v>
      </c>
      <c r="E76" s="1"/>
      <c r="F76" s="5">
        <f t="shared" ref="F76:F80" si="31">IF(D$12=0,0,D76/D$12)</f>
        <v>0</v>
      </c>
      <c r="G76" s="1"/>
      <c r="H76" s="1">
        <f>SUM(OSRRefH22_2x_0)</f>
        <v>58.83</v>
      </c>
      <c r="I76" s="1"/>
      <c r="J76" s="5">
        <f t="shared" ref="J76:J80" si="32">IF(H$12=0,0,H76/H$12)</f>
        <v>1.017976587507494E-4</v>
      </c>
      <c r="K76" s="1"/>
      <c r="L76" s="1">
        <f t="shared" ref="L76:L80" si="33">+D76-H76</f>
        <v>-58.83</v>
      </c>
      <c r="M76" s="1"/>
      <c r="N76" s="5">
        <f t="shared" ref="N76:N80" si="34">IF(H76=0,0,L76/H76)</f>
        <v>-1</v>
      </c>
      <c r="O76" s="14"/>
      <c r="P76" s="1">
        <f>SUM(OSRRefP22_2x_0)</f>
        <v>1359.88</v>
      </c>
      <c r="Q76" s="1"/>
      <c r="R76" s="5">
        <f t="shared" ref="R76:R80" si="35">IF(P$12=0,0,P76/P$12)</f>
        <v>8.9967548554130623E-4</v>
      </c>
      <c r="S76" s="1"/>
      <c r="T76" s="1">
        <f>SUM(OSRRefT22_2x_0)</f>
        <v>3055.02</v>
      </c>
      <c r="U76" s="1"/>
      <c r="V76" s="5">
        <f t="shared" ref="V76:V80" si="36">IF(T$12=0,0,T76/T$12)</f>
        <v>1.0834454275302646E-3</v>
      </c>
      <c r="W76" s="1"/>
      <c r="X76" s="1">
        <f t="shared" ref="X76:X80" si="37">+P76-T76</f>
        <v>-1695.1399999999999</v>
      </c>
      <c r="Y76" s="1"/>
      <c r="Z76" s="5">
        <f t="shared" ref="Z76:Z80" si="38">IF(T76=0,0,X76/T76)</f>
        <v>-0.55487034454766249</v>
      </c>
    </row>
    <row r="77" spans="1:26" s="24" customFormat="1" hidden="1" outlineLevel="2" x14ac:dyDescent="0.25">
      <c r="A77" s="28"/>
      <c r="B77" s="11" t="str">
        <f>CONCATENATE("          ", "6362", " - ", "ADVERTISING EXPENSE")</f>
        <v xml:space="preserve">          6362 - ADVERTISING EXPENSE</v>
      </c>
      <c r="C77" s="11"/>
      <c r="D77" s="7"/>
      <c r="E77" s="2"/>
      <c r="F77" s="6">
        <f t="shared" si="31"/>
        <v>0</v>
      </c>
      <c r="G77" s="2"/>
      <c r="H77" s="7">
        <v>58.83</v>
      </c>
      <c r="I77" s="2"/>
      <c r="J77" s="6">
        <f t="shared" si="32"/>
        <v>1.017976587507494E-4</v>
      </c>
      <c r="K77" s="2"/>
      <c r="L77" s="7">
        <f t="shared" si="33"/>
        <v>-58.83</v>
      </c>
      <c r="M77" s="2"/>
      <c r="N77" s="6">
        <f t="shared" si="34"/>
        <v>-1</v>
      </c>
      <c r="O77" s="11"/>
      <c r="P77" s="7">
        <v>1359.88</v>
      </c>
      <c r="Q77" s="2"/>
      <c r="R77" s="6">
        <f t="shared" si="35"/>
        <v>8.9967548554130623E-4</v>
      </c>
      <c r="S77" s="2"/>
      <c r="T77" s="7">
        <v>3055.02</v>
      </c>
      <c r="U77" s="2"/>
      <c r="V77" s="6">
        <f t="shared" si="36"/>
        <v>1.0834454275302646E-3</v>
      </c>
      <c r="W77" s="2"/>
      <c r="X77" s="7">
        <f t="shared" si="37"/>
        <v>-1695.1399999999999</v>
      </c>
      <c r="Y77" s="2"/>
      <c r="Z77" s="6">
        <f t="shared" si="38"/>
        <v>-0.55487034454766249</v>
      </c>
    </row>
    <row r="78" spans="1:26" s="27" customFormat="1" outlineLevel="1" collapsed="1" x14ac:dyDescent="0.25">
      <c r="A78" s="29"/>
      <c r="B78" s="14" t="str">
        <f>CONCATENATE("     ","Discounts and Markdowns                           ")</f>
        <v xml:space="preserve">     Discounts and Markdowns                           </v>
      </c>
      <c r="C78" s="14"/>
      <c r="D78" s="1">
        <f>SUM(OSRRefD22_3x_0)</f>
        <v>0</v>
      </c>
      <c r="E78" s="1"/>
      <c r="F78" s="5">
        <f t="shared" si="31"/>
        <v>0</v>
      </c>
      <c r="G78" s="1"/>
      <c r="H78" s="1">
        <f>SUM(OSRRefH22_3x_0)</f>
        <v>-9830.91</v>
      </c>
      <c r="I78" s="1"/>
      <c r="J78" s="5">
        <f t="shared" si="32"/>
        <v>-1.7011110341481044E-2</v>
      </c>
      <c r="K78" s="1"/>
      <c r="L78" s="1">
        <f t="shared" si="33"/>
        <v>9830.91</v>
      </c>
      <c r="M78" s="1"/>
      <c r="N78" s="5">
        <f t="shared" si="34"/>
        <v>-1</v>
      </c>
      <c r="O78" s="14"/>
      <c r="P78" s="1">
        <f>SUM(OSRRefP22_3x_0)</f>
        <v>0</v>
      </c>
      <c r="Q78" s="1"/>
      <c r="R78" s="5">
        <f t="shared" si="35"/>
        <v>0</v>
      </c>
      <c r="S78" s="1"/>
      <c r="T78" s="1">
        <f>SUM(OSRRefT22_3x_0)</f>
        <v>-3197.4300000000003</v>
      </c>
      <c r="U78" s="1"/>
      <c r="V78" s="5">
        <f t="shared" si="36"/>
        <v>-1.1339503222067594E-3</v>
      </c>
      <c r="W78" s="1"/>
      <c r="X78" s="1">
        <f t="shared" si="37"/>
        <v>3197.4300000000003</v>
      </c>
      <c r="Y78" s="1"/>
      <c r="Z78" s="5">
        <f t="shared" si="38"/>
        <v>-1</v>
      </c>
    </row>
    <row r="79" spans="1:26" s="24" customFormat="1" hidden="1" outlineLevel="2" x14ac:dyDescent="0.25">
      <c r="A79" s="28"/>
      <c r="B79" s="11" t="str">
        <f>CONCATENATE("          ", "6382", " - ", "DISCOUNTS/MARK DOWNS")</f>
        <v xml:space="preserve">          6382 - DISCOUNTS/MARK DOWNS</v>
      </c>
      <c r="C79" s="11"/>
      <c r="D79" s="7"/>
      <c r="E79" s="2"/>
      <c r="F79" s="6">
        <f t="shared" si="31"/>
        <v>0</v>
      </c>
      <c r="G79" s="2"/>
      <c r="H79" s="7">
        <v>-9813.15</v>
      </c>
      <c r="I79" s="2"/>
      <c r="J79" s="6">
        <f t="shared" si="32"/>
        <v>-1.6980378972801573E-2</v>
      </c>
      <c r="K79" s="2"/>
      <c r="L79" s="7">
        <f t="shared" si="33"/>
        <v>9813.15</v>
      </c>
      <c r="M79" s="2"/>
      <c r="N79" s="6">
        <f t="shared" si="34"/>
        <v>-1</v>
      </c>
      <c r="O79" s="11"/>
      <c r="P79" s="7"/>
      <c r="Q79" s="2"/>
      <c r="R79" s="6">
        <f t="shared" si="35"/>
        <v>0</v>
      </c>
      <c r="S79" s="2"/>
      <c r="T79" s="7">
        <v>-2756.94</v>
      </c>
      <c r="U79" s="2"/>
      <c r="V79" s="6">
        <f t="shared" si="36"/>
        <v>-9.7773305476732972E-4</v>
      </c>
      <c r="W79" s="2"/>
      <c r="X79" s="7">
        <f t="shared" si="37"/>
        <v>2756.94</v>
      </c>
      <c r="Y79" s="2"/>
      <c r="Z79" s="6">
        <f t="shared" si="38"/>
        <v>-1</v>
      </c>
    </row>
    <row r="80" spans="1:26" s="24" customFormat="1" hidden="1" outlineLevel="2" x14ac:dyDescent="0.25">
      <c r="A80" s="28"/>
      <c r="B80" s="11" t="str">
        <f>CONCATENATE("          ", "9175", " - ", "EARNED DISCOUNTS")</f>
        <v xml:space="preserve">          9175 - EARNED DISCOUNTS</v>
      </c>
      <c r="C80" s="11"/>
      <c r="D80" s="7"/>
      <c r="E80" s="2"/>
      <c r="F80" s="6">
        <f t="shared" si="31"/>
        <v>0</v>
      </c>
      <c r="G80" s="2"/>
      <c r="H80" s="7">
        <v>-17.760000000000002</v>
      </c>
      <c r="I80" s="2"/>
      <c r="J80" s="6">
        <f t="shared" si="32"/>
        <v>-3.0731368679471522E-5</v>
      </c>
      <c r="K80" s="2"/>
      <c r="L80" s="7">
        <f t="shared" si="33"/>
        <v>17.760000000000002</v>
      </c>
      <c r="M80" s="2"/>
      <c r="N80" s="6">
        <f t="shared" si="34"/>
        <v>-1</v>
      </c>
      <c r="O80" s="11"/>
      <c r="P80" s="7"/>
      <c r="Q80" s="2"/>
      <c r="R80" s="6">
        <f t="shared" si="35"/>
        <v>0</v>
      </c>
      <c r="S80" s="2"/>
      <c r="T80" s="7">
        <v>-440.49</v>
      </c>
      <c r="U80" s="2"/>
      <c r="V80" s="6">
        <f t="shared" si="36"/>
        <v>-1.5621726743942962E-4</v>
      </c>
      <c r="W80" s="2"/>
      <c r="X80" s="7">
        <f t="shared" si="37"/>
        <v>440.49</v>
      </c>
      <c r="Y80" s="2"/>
      <c r="Z80" s="6">
        <f t="shared" si="38"/>
        <v>-1</v>
      </c>
    </row>
    <row r="81" spans="1:26" s="27" customFormat="1" outlineLevel="1" collapsed="1" x14ac:dyDescent="0.25">
      <c r="A81" s="29"/>
      <c r="B81" s="14" t="str">
        <f>CONCATENATE("     ","Employees' Appreciation                           ")</f>
        <v xml:space="preserve">     Employees' Appreciation                           </v>
      </c>
      <c r="C81" s="14"/>
      <c r="D81" s="1">
        <f>SUM(OSRRefD22_4x_0)</f>
        <v>0</v>
      </c>
      <c r="E81" s="1"/>
      <c r="F81" s="5">
        <f t="shared" ref="F81:F87" si="39">IF(D$12=0,0,D81/D$12)</f>
        <v>0</v>
      </c>
      <c r="G81" s="1"/>
      <c r="H81" s="1">
        <f>SUM(OSRRefH22_4x_0)</f>
        <v>0</v>
      </c>
      <c r="I81" s="1"/>
      <c r="J81" s="5">
        <f t="shared" ref="J81:J87" si="40">IF(H$12=0,0,H81/H$12)</f>
        <v>0</v>
      </c>
      <c r="K81" s="1"/>
      <c r="L81" s="1">
        <f t="shared" ref="L81:L87" si="41">+D81-H81</f>
        <v>0</v>
      </c>
      <c r="M81" s="1"/>
      <c r="N81" s="5">
        <f t="shared" ref="N81:N87" si="42">IF(H81=0,0,L81/H81)</f>
        <v>0</v>
      </c>
      <c r="O81" s="14"/>
      <c r="P81" s="1">
        <f>SUM(OSRRefP22_4x_0)</f>
        <v>107.7</v>
      </c>
      <c r="Q81" s="1"/>
      <c r="R81" s="5">
        <f t="shared" ref="R81:R87" si="43">IF(P$12=0,0,P81/P$12)</f>
        <v>7.1252647140040789E-5</v>
      </c>
      <c r="S81" s="1"/>
      <c r="T81" s="1">
        <f>SUM(OSRRefT22_4x_0)</f>
        <v>0</v>
      </c>
      <c r="U81" s="1"/>
      <c r="V81" s="5">
        <f t="shared" ref="V81:V87" si="44">IF(T$12=0,0,T81/T$12)</f>
        <v>0</v>
      </c>
      <c r="W81" s="1"/>
      <c r="X81" s="1">
        <f t="shared" ref="X81:X87" si="45">+P81-T81</f>
        <v>107.7</v>
      </c>
      <c r="Y81" s="1"/>
      <c r="Z81" s="5">
        <f t="shared" ref="Z81:Z87" si="46">IF(T81=0,0,X81/T81)</f>
        <v>0</v>
      </c>
    </row>
    <row r="82" spans="1:26" s="24" customFormat="1" hidden="1" outlineLevel="2" x14ac:dyDescent="0.25">
      <c r="A82" s="28"/>
      <c r="B82" s="11" t="str">
        <f>CONCATENATE("          ", "6277", " - ", "EMPLOYEE APPRECIATION")</f>
        <v xml:space="preserve">          6277 - EMPLOYEE APPRECIATION</v>
      </c>
      <c r="C82" s="11"/>
      <c r="D82" s="7"/>
      <c r="E82" s="2"/>
      <c r="F82" s="6">
        <f t="shared" si="39"/>
        <v>0</v>
      </c>
      <c r="G82" s="2"/>
      <c r="H82" s="7"/>
      <c r="I82" s="2"/>
      <c r="J82" s="6">
        <f t="shared" si="40"/>
        <v>0</v>
      </c>
      <c r="K82" s="2"/>
      <c r="L82" s="7">
        <f t="shared" si="41"/>
        <v>0</v>
      </c>
      <c r="M82" s="2"/>
      <c r="N82" s="6">
        <f t="shared" si="42"/>
        <v>0</v>
      </c>
      <c r="O82" s="11"/>
      <c r="P82" s="7">
        <v>107.7</v>
      </c>
      <c r="Q82" s="2"/>
      <c r="R82" s="6">
        <f t="shared" si="43"/>
        <v>7.1252647140040789E-5</v>
      </c>
      <c r="S82" s="2"/>
      <c r="T82" s="7"/>
      <c r="U82" s="2"/>
      <c r="V82" s="6">
        <f t="shared" si="44"/>
        <v>0</v>
      </c>
      <c r="W82" s="2"/>
      <c r="X82" s="7">
        <f t="shared" si="45"/>
        <v>107.7</v>
      </c>
      <c r="Y82" s="2"/>
      <c r="Z82" s="6">
        <f t="shared" si="46"/>
        <v>0</v>
      </c>
    </row>
    <row r="83" spans="1:26" s="27" customFormat="1" outlineLevel="1" collapsed="1" x14ac:dyDescent="0.25">
      <c r="A83" s="29"/>
      <c r="B83" s="14" t="str">
        <f>CONCATENATE("     ","Equipment Rental                                  ")</f>
        <v xml:space="preserve">     Equipment Rental                                  </v>
      </c>
      <c r="C83" s="14"/>
      <c r="D83" s="1">
        <f>SUM(OSRRefD22_5x_0)</f>
        <v>91.26</v>
      </c>
      <c r="E83" s="1"/>
      <c r="F83" s="5">
        <f t="shared" si="39"/>
        <v>3.8445389116753206E-4</v>
      </c>
      <c r="G83" s="1"/>
      <c r="H83" s="1">
        <f>SUM(OSRRefH22_5x_0)</f>
        <v>91.26</v>
      </c>
      <c r="I83" s="1"/>
      <c r="J83" s="5">
        <f t="shared" si="40"/>
        <v>1.5791355324823035E-4</v>
      </c>
      <c r="K83" s="1"/>
      <c r="L83" s="1">
        <f t="shared" si="41"/>
        <v>0</v>
      </c>
      <c r="M83" s="1"/>
      <c r="N83" s="5">
        <f t="shared" si="42"/>
        <v>0</v>
      </c>
      <c r="O83" s="14"/>
      <c r="P83" s="1">
        <f>SUM(OSRRefP22_5x_0)</f>
        <v>273.77999999999997</v>
      </c>
      <c r="Q83" s="1"/>
      <c r="R83" s="5">
        <f t="shared" si="43"/>
        <v>1.8112859548746857E-4</v>
      </c>
      <c r="S83" s="1"/>
      <c r="T83" s="1">
        <f>SUM(OSRRefT22_5x_0)</f>
        <v>273.77999999999997</v>
      </c>
      <c r="U83" s="1"/>
      <c r="V83" s="5">
        <f t="shared" si="44"/>
        <v>9.7094516287695609E-5</v>
      </c>
      <c r="W83" s="1"/>
      <c r="X83" s="1">
        <f t="shared" si="45"/>
        <v>0</v>
      </c>
      <c r="Y83" s="1"/>
      <c r="Z83" s="5">
        <f t="shared" si="46"/>
        <v>0</v>
      </c>
    </row>
    <row r="84" spans="1:26" s="24" customFormat="1" hidden="1" outlineLevel="2" x14ac:dyDescent="0.25">
      <c r="A84" s="28"/>
      <c r="B84" s="11" t="str">
        <f>CONCATENATE("          ", "6351", " - ", "EQUIPMENT RENTAL")</f>
        <v xml:space="preserve">          6351 - EQUIPMENT RENTAL</v>
      </c>
      <c r="C84" s="11"/>
      <c r="D84" s="7">
        <v>91.26</v>
      </c>
      <c r="E84" s="2"/>
      <c r="F84" s="6">
        <f t="shared" si="39"/>
        <v>3.8445389116753206E-4</v>
      </c>
      <c r="G84" s="2"/>
      <c r="H84" s="7">
        <v>91.26</v>
      </c>
      <c r="I84" s="2"/>
      <c r="J84" s="6">
        <f t="shared" si="40"/>
        <v>1.5791355324823035E-4</v>
      </c>
      <c r="K84" s="2"/>
      <c r="L84" s="7">
        <f t="shared" si="41"/>
        <v>0</v>
      </c>
      <c r="M84" s="2"/>
      <c r="N84" s="6">
        <f t="shared" si="42"/>
        <v>0</v>
      </c>
      <c r="O84" s="11"/>
      <c r="P84" s="7">
        <v>273.77999999999997</v>
      </c>
      <c r="Q84" s="2"/>
      <c r="R84" s="6">
        <f t="shared" si="43"/>
        <v>1.8112859548746857E-4</v>
      </c>
      <c r="S84" s="2"/>
      <c r="T84" s="7">
        <v>273.77999999999997</v>
      </c>
      <c r="U84" s="2"/>
      <c r="V84" s="6">
        <f t="shared" si="44"/>
        <v>9.7094516287695609E-5</v>
      </c>
      <c r="W84" s="2"/>
      <c r="X84" s="7">
        <f t="shared" si="45"/>
        <v>0</v>
      </c>
      <c r="Y84" s="2"/>
      <c r="Z84" s="6">
        <f t="shared" si="46"/>
        <v>0</v>
      </c>
    </row>
    <row r="85" spans="1:26" s="27" customFormat="1" outlineLevel="1" collapsed="1" x14ac:dyDescent="0.25">
      <c r="A85" s="29"/>
      <c r="B85" s="14" t="str">
        <f>CONCATENATE("     ","Freight out/Postage                               ")</f>
        <v xml:space="preserve">     Freight out/Postage                               </v>
      </c>
      <c r="C85" s="14"/>
      <c r="D85" s="1">
        <f>SUM(OSRRefD22_6x_0)</f>
        <v>35.35</v>
      </c>
      <c r="E85" s="1"/>
      <c r="F85" s="5">
        <f t="shared" si="39"/>
        <v>1.4892006413294169E-4</v>
      </c>
      <c r="G85" s="1"/>
      <c r="H85" s="1">
        <f>SUM(OSRRefH22_6x_0)</f>
        <v>2138.08</v>
      </c>
      <c r="I85" s="1"/>
      <c r="J85" s="5">
        <f t="shared" si="40"/>
        <v>3.6996691861601611E-3</v>
      </c>
      <c r="K85" s="1"/>
      <c r="L85" s="1">
        <f t="shared" si="41"/>
        <v>-2102.73</v>
      </c>
      <c r="M85" s="1"/>
      <c r="N85" s="5">
        <f t="shared" si="42"/>
        <v>-0.98346647459402836</v>
      </c>
      <c r="O85" s="14"/>
      <c r="P85" s="1">
        <f>SUM(OSRRefP22_6x_0)</f>
        <v>536.16</v>
      </c>
      <c r="Q85" s="1"/>
      <c r="R85" s="5">
        <f t="shared" si="43"/>
        <v>3.5471512804646489E-4</v>
      </c>
      <c r="S85" s="1"/>
      <c r="T85" s="1">
        <f>SUM(OSRRefT22_6x_0)</f>
        <v>2802.41</v>
      </c>
      <c r="U85" s="1"/>
      <c r="V85" s="5">
        <f t="shared" si="44"/>
        <v>9.9385873106070961E-4</v>
      </c>
      <c r="W85" s="1"/>
      <c r="X85" s="1">
        <f t="shared" si="45"/>
        <v>-2266.25</v>
      </c>
      <c r="Y85" s="1"/>
      <c r="Z85" s="5">
        <f t="shared" si="46"/>
        <v>-0.80867895846789017</v>
      </c>
    </row>
    <row r="86" spans="1:26" s="24" customFormat="1" hidden="1" outlineLevel="2" x14ac:dyDescent="0.25">
      <c r="A86" s="28"/>
      <c r="B86" s="11" t="str">
        <f>CONCATENATE("          ", "6305", " - ", "FREIGHT OUT")</f>
        <v xml:space="preserve">          6305 - FREIGHT OUT</v>
      </c>
      <c r="C86" s="11"/>
      <c r="D86" s="7">
        <v>35.35</v>
      </c>
      <c r="E86" s="2"/>
      <c r="F86" s="6">
        <f t="shared" si="39"/>
        <v>1.4892006413294169E-4</v>
      </c>
      <c r="G86" s="2"/>
      <c r="H86" s="7">
        <v>2137.58</v>
      </c>
      <c r="I86" s="2"/>
      <c r="J86" s="6">
        <f t="shared" si="40"/>
        <v>3.698804001231122E-3</v>
      </c>
      <c r="K86" s="2"/>
      <c r="L86" s="7">
        <f t="shared" si="41"/>
        <v>-2102.23</v>
      </c>
      <c r="M86" s="2"/>
      <c r="N86" s="6">
        <f t="shared" si="42"/>
        <v>-0.98346260724744805</v>
      </c>
      <c r="O86" s="11"/>
      <c r="P86" s="7">
        <v>536.16</v>
      </c>
      <c r="Q86" s="2"/>
      <c r="R86" s="6">
        <f t="shared" si="43"/>
        <v>3.5471512804646489E-4</v>
      </c>
      <c r="S86" s="2"/>
      <c r="T86" s="7">
        <v>2801.91</v>
      </c>
      <c r="U86" s="2"/>
      <c r="V86" s="6">
        <f t="shared" si="44"/>
        <v>9.9368140891101329E-4</v>
      </c>
      <c r="W86" s="2"/>
      <c r="X86" s="7">
        <f t="shared" si="45"/>
        <v>-2265.75</v>
      </c>
      <c r="Y86" s="2"/>
      <c r="Z86" s="6">
        <f t="shared" si="46"/>
        <v>-0.80864481728535187</v>
      </c>
    </row>
    <row r="87" spans="1:26" s="24" customFormat="1" hidden="1" outlineLevel="2" x14ac:dyDescent="0.25">
      <c r="A87" s="28"/>
      <c r="B87" s="11" t="str">
        <f>CONCATENATE("          ", "6307", " - ", "POSTAGE")</f>
        <v xml:space="preserve">          6307 - POSTAGE</v>
      </c>
      <c r="C87" s="11"/>
      <c r="D87" s="7"/>
      <c r="E87" s="2"/>
      <c r="F87" s="6">
        <f t="shared" si="39"/>
        <v>0</v>
      </c>
      <c r="G87" s="2"/>
      <c r="H87" s="7">
        <v>0.5</v>
      </c>
      <c r="I87" s="2"/>
      <c r="J87" s="6">
        <f t="shared" si="40"/>
        <v>8.6518492903917565E-7</v>
      </c>
      <c r="K87" s="2"/>
      <c r="L87" s="7">
        <f t="shared" si="41"/>
        <v>-0.5</v>
      </c>
      <c r="M87" s="2"/>
      <c r="N87" s="6">
        <f t="shared" si="42"/>
        <v>-1</v>
      </c>
      <c r="O87" s="11"/>
      <c r="P87" s="7"/>
      <c r="Q87" s="2"/>
      <c r="R87" s="6">
        <f t="shared" si="43"/>
        <v>0</v>
      </c>
      <c r="S87" s="2"/>
      <c r="T87" s="7">
        <v>0.5</v>
      </c>
      <c r="U87" s="2"/>
      <c r="V87" s="6">
        <f t="shared" si="44"/>
        <v>1.7732214969628098E-7</v>
      </c>
      <c r="W87" s="2"/>
      <c r="X87" s="7">
        <f t="shared" si="45"/>
        <v>-0.5</v>
      </c>
      <c r="Y87" s="2"/>
      <c r="Z87" s="6">
        <f t="shared" si="46"/>
        <v>-1</v>
      </c>
    </row>
    <row r="88" spans="1:26" s="27" customFormat="1" outlineLevel="1" collapsed="1" x14ac:dyDescent="0.25">
      <c r="A88" s="29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0</v>
      </c>
      <c r="E88" s="1"/>
      <c r="F88" s="5">
        <f t="shared" ref="F88:F94" si="47">IF(D$12=0,0,D88/D$12)</f>
        <v>0</v>
      </c>
      <c r="G88" s="1"/>
      <c r="H88" s="1">
        <f>SUM(OSRRefH22_7x_0)</f>
        <v>-1500</v>
      </c>
      <c r="I88" s="1"/>
      <c r="J88" s="5">
        <f t="shared" ref="J88:J94" si="48">IF(H$12=0,0,H88/H$12)</f>
        <v>-2.5955547871175269E-3</v>
      </c>
      <c r="K88" s="1"/>
      <c r="L88" s="1">
        <f t="shared" ref="L88:L94" si="49">+D88-H88</f>
        <v>1500</v>
      </c>
      <c r="M88" s="1"/>
      <c r="N88" s="5">
        <f t="shared" ref="N88:N94" si="50">IF(H88=0,0,L88/H88)</f>
        <v>-1</v>
      </c>
      <c r="O88" s="14"/>
      <c r="P88" s="1">
        <f>SUM(OSRRefP22_7x_0)</f>
        <v>-4794.1899999999996</v>
      </c>
      <c r="Q88" s="1"/>
      <c r="R88" s="5">
        <f t="shared" ref="R88:R94" si="51">IF(P$12=0,0,P88/P$12)</f>
        <v>-3.1717616378116264E-3</v>
      </c>
      <c r="S88" s="1"/>
      <c r="T88" s="1">
        <f>SUM(OSRRefT22_7x_0)</f>
        <v>-1492.16</v>
      </c>
      <c r="U88" s="1"/>
      <c r="V88" s="5">
        <f t="shared" ref="V88:V94" si="52">IF(T$12=0,0,T88/T$12)</f>
        <v>-5.2918603778160528E-4</v>
      </c>
      <c r="W88" s="1"/>
      <c r="X88" s="1">
        <f t="shared" ref="X88:X94" si="53">+P88-T88</f>
        <v>-3302.0299999999997</v>
      </c>
      <c r="Y88" s="1"/>
      <c r="Z88" s="5">
        <f t="shared" ref="Z88:Z94" si="54">IF(T88=0,0,X88/T88)</f>
        <v>2.2129195260561869</v>
      </c>
    </row>
    <row r="89" spans="1:26" s="24" customFormat="1" hidden="1" outlineLevel="2" x14ac:dyDescent="0.25">
      <c r="A89" s="28"/>
      <c r="B89" s="11" t="str">
        <f>CONCATENATE("          ", "6279", " - ", "GENERAL EXPENSE")</f>
        <v xml:space="preserve">          6279 - GENERAL EXPENSE</v>
      </c>
      <c r="C89" s="11"/>
      <c r="D89" s="7"/>
      <c r="E89" s="2"/>
      <c r="F89" s="6">
        <f t="shared" si="47"/>
        <v>0</v>
      </c>
      <c r="G89" s="2"/>
      <c r="H89" s="7">
        <v>-1500</v>
      </c>
      <c r="I89" s="2"/>
      <c r="J89" s="6">
        <f t="shared" si="48"/>
        <v>-2.5955547871175269E-3</v>
      </c>
      <c r="K89" s="2"/>
      <c r="L89" s="7">
        <f t="shared" si="49"/>
        <v>1500</v>
      </c>
      <c r="M89" s="2"/>
      <c r="N89" s="6">
        <f t="shared" si="50"/>
        <v>-1</v>
      </c>
      <c r="O89" s="11"/>
      <c r="P89" s="7">
        <v>-4794.1899999999996</v>
      </c>
      <c r="Q89" s="2"/>
      <c r="R89" s="6">
        <f t="shared" si="51"/>
        <v>-3.1717616378116264E-3</v>
      </c>
      <c r="S89" s="2"/>
      <c r="T89" s="7">
        <v>-1492.16</v>
      </c>
      <c r="U89" s="2"/>
      <c r="V89" s="6">
        <f t="shared" si="52"/>
        <v>-5.2918603778160528E-4</v>
      </c>
      <c r="W89" s="2"/>
      <c r="X89" s="7">
        <f t="shared" si="53"/>
        <v>-3302.0299999999997</v>
      </c>
      <c r="Y89" s="2"/>
      <c r="Z89" s="6">
        <f t="shared" si="54"/>
        <v>2.2129195260561869</v>
      </c>
    </row>
    <row r="90" spans="1:26" s="27" customFormat="1" outlineLevel="1" collapsed="1" x14ac:dyDescent="0.25">
      <c r="A90" s="29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1000</v>
      </c>
      <c r="E90" s="1"/>
      <c r="F90" s="5">
        <f t="shared" si="47"/>
        <v>4.2127316586405006E-3</v>
      </c>
      <c r="G90" s="1"/>
      <c r="H90" s="1">
        <f>SUM(OSRRefH22_8x_0)</f>
        <v>1000</v>
      </c>
      <c r="I90" s="1"/>
      <c r="J90" s="5">
        <f t="shared" si="48"/>
        <v>1.7303698580783513E-3</v>
      </c>
      <c r="K90" s="1"/>
      <c r="L90" s="1">
        <f t="shared" si="49"/>
        <v>0</v>
      </c>
      <c r="M90" s="1"/>
      <c r="N90" s="5">
        <f t="shared" si="50"/>
        <v>0</v>
      </c>
      <c r="O90" s="14"/>
      <c r="P90" s="1">
        <f>SUM(OSRRefP22_8x_0)</f>
        <v>3000</v>
      </c>
      <c r="Q90" s="1"/>
      <c r="R90" s="5">
        <f t="shared" si="51"/>
        <v>1.9847534022295484E-3</v>
      </c>
      <c r="S90" s="1"/>
      <c r="T90" s="1">
        <f>SUM(OSRRefT22_8x_0)</f>
        <v>3000</v>
      </c>
      <c r="U90" s="1"/>
      <c r="V90" s="5">
        <f t="shared" si="52"/>
        <v>1.0639328981776859E-3</v>
      </c>
      <c r="W90" s="1"/>
      <c r="X90" s="1">
        <f t="shared" si="53"/>
        <v>0</v>
      </c>
      <c r="Y90" s="1"/>
      <c r="Z90" s="5">
        <f t="shared" si="54"/>
        <v>0</v>
      </c>
    </row>
    <row r="91" spans="1:26" s="24" customFormat="1" hidden="1" outlineLevel="2" x14ac:dyDescent="0.25">
      <c r="A91" s="28"/>
      <c r="B91" s="11" t="str">
        <f>CONCATENATE("          ", "6408", " - ", "INVENTORY ADJUSTMENT")</f>
        <v xml:space="preserve">          6408 - INVENTORY ADJUSTMENT</v>
      </c>
      <c r="C91" s="11"/>
      <c r="D91" s="7">
        <v>1000</v>
      </c>
      <c r="E91" s="2"/>
      <c r="F91" s="6">
        <f t="shared" si="47"/>
        <v>4.2127316586405006E-3</v>
      </c>
      <c r="G91" s="2"/>
      <c r="H91" s="7">
        <v>1000</v>
      </c>
      <c r="I91" s="2"/>
      <c r="J91" s="6">
        <f t="shared" si="48"/>
        <v>1.7303698580783513E-3</v>
      </c>
      <c r="K91" s="2"/>
      <c r="L91" s="7">
        <f t="shared" si="49"/>
        <v>0</v>
      </c>
      <c r="M91" s="2"/>
      <c r="N91" s="6">
        <f t="shared" si="50"/>
        <v>0</v>
      </c>
      <c r="O91" s="11"/>
      <c r="P91" s="7">
        <v>3000</v>
      </c>
      <c r="Q91" s="2"/>
      <c r="R91" s="6">
        <f t="shared" si="51"/>
        <v>1.9847534022295484E-3</v>
      </c>
      <c r="S91" s="2"/>
      <c r="T91" s="7">
        <v>3000</v>
      </c>
      <c r="U91" s="2"/>
      <c r="V91" s="6">
        <f t="shared" si="52"/>
        <v>1.0639328981776859E-3</v>
      </c>
      <c r="W91" s="2"/>
      <c r="X91" s="7">
        <f t="shared" si="53"/>
        <v>0</v>
      </c>
      <c r="Y91" s="2"/>
      <c r="Z91" s="6">
        <f t="shared" si="54"/>
        <v>0</v>
      </c>
    </row>
    <row r="92" spans="1:26" s="27" customFormat="1" outlineLevel="1" collapsed="1" x14ac:dyDescent="0.25">
      <c r="A92" s="29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68.94</v>
      </c>
      <c r="E92" s="1"/>
      <c r="F92" s="5">
        <f t="shared" si="47"/>
        <v>2.9042572054667606E-4</v>
      </c>
      <c r="G92" s="1"/>
      <c r="H92" s="1">
        <f>SUM(OSRRefH22_9x_0)</f>
        <v>20.78</v>
      </c>
      <c r="I92" s="1"/>
      <c r="J92" s="5">
        <f t="shared" si="48"/>
        <v>3.595708565086814E-5</v>
      </c>
      <c r="K92" s="1"/>
      <c r="L92" s="1">
        <f t="shared" si="49"/>
        <v>48.16</v>
      </c>
      <c r="M92" s="1"/>
      <c r="N92" s="5">
        <f t="shared" si="50"/>
        <v>2.3176130895091429</v>
      </c>
      <c r="O92" s="14"/>
      <c r="P92" s="1">
        <f>SUM(OSRRefP22_9x_0)</f>
        <v>91.8</v>
      </c>
      <c r="Q92" s="1"/>
      <c r="R92" s="5">
        <f t="shared" si="51"/>
        <v>6.0733454108224185E-5</v>
      </c>
      <c r="S92" s="1"/>
      <c r="T92" s="1">
        <f>SUM(OSRRefT22_9x_0)</f>
        <v>70.2</v>
      </c>
      <c r="U92" s="1"/>
      <c r="V92" s="5">
        <f t="shared" si="52"/>
        <v>2.4896029817357852E-5</v>
      </c>
      <c r="W92" s="1"/>
      <c r="X92" s="1">
        <f t="shared" si="53"/>
        <v>21.599999999999994</v>
      </c>
      <c r="Y92" s="1"/>
      <c r="Z92" s="5">
        <f t="shared" si="54"/>
        <v>0.3076923076923076</v>
      </c>
    </row>
    <row r="93" spans="1:26" s="24" customFormat="1" hidden="1" outlineLevel="2" x14ac:dyDescent="0.25">
      <c r="A93" s="28"/>
      <c r="B93" s="11" t="str">
        <f>CONCATENATE("          ", "6373", " - ", "MAINTENANCE CONTRACTS")</f>
        <v xml:space="preserve">          6373 - MAINTENANCE CONTRACTS</v>
      </c>
      <c r="C93" s="11"/>
      <c r="D93" s="7">
        <v>43.83</v>
      </c>
      <c r="E93" s="2"/>
      <c r="F93" s="6">
        <f t="shared" si="47"/>
        <v>1.8464402859821313E-4</v>
      </c>
      <c r="G93" s="2"/>
      <c r="H93" s="7">
        <v>20.78</v>
      </c>
      <c r="I93" s="2"/>
      <c r="J93" s="6">
        <f t="shared" si="48"/>
        <v>3.595708565086814E-5</v>
      </c>
      <c r="K93" s="2"/>
      <c r="L93" s="7">
        <f t="shared" si="49"/>
        <v>23.049999999999997</v>
      </c>
      <c r="M93" s="2"/>
      <c r="N93" s="6">
        <f t="shared" si="50"/>
        <v>1.1092396535129931</v>
      </c>
      <c r="O93" s="11"/>
      <c r="P93" s="7">
        <v>66.69</v>
      </c>
      <c r="Q93" s="2"/>
      <c r="R93" s="6">
        <f t="shared" si="51"/>
        <v>4.4121068131562864E-5</v>
      </c>
      <c r="S93" s="2"/>
      <c r="T93" s="7">
        <v>70.2</v>
      </c>
      <c r="U93" s="2"/>
      <c r="V93" s="6">
        <f t="shared" si="52"/>
        <v>2.4896029817357852E-5</v>
      </c>
      <c r="W93" s="2"/>
      <c r="X93" s="7">
        <f t="shared" si="53"/>
        <v>-3.5100000000000051</v>
      </c>
      <c r="Y93" s="2"/>
      <c r="Z93" s="6">
        <f t="shared" si="54"/>
        <v>-5.0000000000000072E-2</v>
      </c>
    </row>
    <row r="94" spans="1:26" s="24" customFormat="1" hidden="1" outlineLevel="2" x14ac:dyDescent="0.25">
      <c r="A94" s="28"/>
      <c r="B94" s="11" t="str">
        <f>CONCATENATE("          ", "6375", " - ", "OUTSIDE REPAIRS &amp; MAINTENANCE")</f>
        <v xml:space="preserve">          6375 - OUTSIDE REPAIRS &amp; MAINTENANCE</v>
      </c>
      <c r="C94" s="11"/>
      <c r="D94" s="7">
        <v>25.11</v>
      </c>
      <c r="E94" s="2"/>
      <c r="F94" s="6">
        <f t="shared" si="47"/>
        <v>1.0578169194846296E-4</v>
      </c>
      <c r="G94" s="2"/>
      <c r="H94" s="7"/>
      <c r="I94" s="2"/>
      <c r="J94" s="6">
        <f t="shared" si="48"/>
        <v>0</v>
      </c>
      <c r="K94" s="2"/>
      <c r="L94" s="7">
        <f t="shared" si="49"/>
        <v>25.11</v>
      </c>
      <c r="M94" s="2"/>
      <c r="N94" s="6">
        <f t="shared" si="50"/>
        <v>0</v>
      </c>
      <c r="O94" s="11"/>
      <c r="P94" s="7">
        <v>25.11</v>
      </c>
      <c r="Q94" s="2"/>
      <c r="R94" s="6">
        <f t="shared" si="51"/>
        <v>1.661238597666132E-5</v>
      </c>
      <c r="S94" s="2"/>
      <c r="T94" s="7"/>
      <c r="U94" s="2"/>
      <c r="V94" s="6">
        <f t="shared" si="52"/>
        <v>0</v>
      </c>
      <c r="W94" s="2"/>
      <c r="X94" s="7">
        <f t="shared" si="53"/>
        <v>25.11</v>
      </c>
      <c r="Y94" s="2"/>
      <c r="Z94" s="6">
        <f t="shared" si="54"/>
        <v>0</v>
      </c>
    </row>
    <row r="95" spans="1:26" s="27" customFormat="1" outlineLevel="1" collapsed="1" x14ac:dyDescent="0.25">
      <c r="A95" s="29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SUM(OSRRefD22_10x_0)</f>
        <v>73.040000000000006</v>
      </c>
      <c r="E95" s="1"/>
      <c r="F95" s="5">
        <f t="shared" ref="F95:F100" si="55">IF(D$12=0,0,D95/D$12)</f>
        <v>3.0769792034710219E-4</v>
      </c>
      <c r="G95" s="1"/>
      <c r="H95" s="1">
        <f>SUM(OSRRefH22_10x_0)</f>
        <v>250</v>
      </c>
      <c r="I95" s="1"/>
      <c r="J95" s="5">
        <f t="shared" ref="J95:J100" si="56">IF(H$12=0,0,H95/H$12)</f>
        <v>4.3259246451958781E-4</v>
      </c>
      <c r="K95" s="1"/>
      <c r="L95" s="1">
        <f t="shared" ref="L95:L100" si="57">+D95-H95</f>
        <v>-176.95999999999998</v>
      </c>
      <c r="M95" s="1"/>
      <c r="N95" s="5">
        <f t="shared" ref="N95:N100" si="58">IF(H95=0,0,L95/H95)</f>
        <v>-0.70783999999999991</v>
      </c>
      <c r="O95" s="14"/>
      <c r="P95" s="1">
        <f>SUM(OSRRefP22_10x_0)</f>
        <v>633.04</v>
      </c>
      <c r="Q95" s="1"/>
      <c r="R95" s="5">
        <f t="shared" ref="R95:R100" si="59">IF(P$12=0,0,P95/P$12)</f>
        <v>4.188094312491311E-4</v>
      </c>
      <c r="S95" s="1"/>
      <c r="T95" s="1">
        <f>SUM(OSRRefT22_10x_0)</f>
        <v>788.85</v>
      </c>
      <c r="U95" s="1"/>
      <c r="V95" s="5">
        <f t="shared" ref="V95:V100" si="60">IF(T$12=0,0,T95/T$12)</f>
        <v>2.7976115557582252E-4</v>
      </c>
      <c r="W95" s="1"/>
      <c r="X95" s="1">
        <f t="shared" ref="X95:X100" si="61">+P95-T95</f>
        <v>-155.81000000000006</v>
      </c>
      <c r="Y95" s="1"/>
      <c r="Z95" s="5">
        <f t="shared" ref="Z95:Z100" si="62">IF(T95=0,0,X95/T95)</f>
        <v>-0.19751537047600945</v>
      </c>
    </row>
    <row r="96" spans="1:26" s="24" customFormat="1" hidden="1" outlineLevel="2" x14ac:dyDescent="0.25">
      <c r="A96" s="28"/>
      <c r="B96" s="11" t="str">
        <f>CONCATENATE("          ", "6258", " - ", "MEMBERSHIP DUES")</f>
        <v xml:space="preserve">          6258 - MEMBERSHIP DUES</v>
      </c>
      <c r="C96" s="11"/>
      <c r="D96" s="7">
        <v>73.040000000000006</v>
      </c>
      <c r="E96" s="2"/>
      <c r="F96" s="6">
        <f t="shared" si="55"/>
        <v>3.0769792034710219E-4</v>
      </c>
      <c r="G96" s="2"/>
      <c r="H96" s="7">
        <v>250</v>
      </c>
      <c r="I96" s="2"/>
      <c r="J96" s="6">
        <f t="shared" si="56"/>
        <v>4.3259246451958781E-4</v>
      </c>
      <c r="K96" s="2"/>
      <c r="L96" s="7">
        <f t="shared" si="57"/>
        <v>-176.95999999999998</v>
      </c>
      <c r="M96" s="2"/>
      <c r="N96" s="6">
        <f t="shared" si="58"/>
        <v>-0.70783999999999991</v>
      </c>
      <c r="O96" s="11"/>
      <c r="P96" s="7">
        <v>633.04</v>
      </c>
      <c r="Q96" s="2"/>
      <c r="R96" s="6">
        <f t="shared" si="59"/>
        <v>4.188094312491311E-4</v>
      </c>
      <c r="S96" s="2"/>
      <c r="T96" s="7">
        <v>788.85</v>
      </c>
      <c r="U96" s="2"/>
      <c r="V96" s="6">
        <f t="shared" si="60"/>
        <v>2.7976115557582252E-4</v>
      </c>
      <c r="W96" s="2"/>
      <c r="X96" s="7">
        <f t="shared" si="61"/>
        <v>-155.81000000000006</v>
      </c>
      <c r="Y96" s="2"/>
      <c r="Z96" s="6">
        <f t="shared" si="62"/>
        <v>-0.19751537047600945</v>
      </c>
    </row>
    <row r="97" spans="1:26" s="27" customFormat="1" outlineLevel="1" collapsed="1" x14ac:dyDescent="0.25">
      <c r="A97" s="29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SUM(OSRRefD22_11x_0)</f>
        <v>98.81</v>
      </c>
      <c r="E97" s="1"/>
      <c r="F97" s="5">
        <f t="shared" si="55"/>
        <v>4.1626001519026783E-4</v>
      </c>
      <c r="G97" s="1"/>
      <c r="H97" s="1">
        <f>SUM(OSRRefH22_11x_0)</f>
        <v>149.59</v>
      </c>
      <c r="I97" s="1"/>
      <c r="J97" s="5">
        <f t="shared" si="56"/>
        <v>2.5884602706994055E-4</v>
      </c>
      <c r="K97" s="1"/>
      <c r="L97" s="1">
        <f t="shared" si="57"/>
        <v>-50.78</v>
      </c>
      <c r="M97" s="1"/>
      <c r="N97" s="5">
        <f t="shared" si="58"/>
        <v>-0.33946119393007557</v>
      </c>
      <c r="O97" s="14"/>
      <c r="P97" s="1">
        <f>SUM(OSRRefP22_11x_0)</f>
        <v>1088.97</v>
      </c>
      <c r="Q97" s="1"/>
      <c r="R97" s="5">
        <f t="shared" si="59"/>
        <v>7.2044563747530389E-4</v>
      </c>
      <c r="S97" s="1"/>
      <c r="T97" s="1">
        <f>SUM(OSRRefT22_11x_0)</f>
        <v>7349.1399999999994</v>
      </c>
      <c r="U97" s="1"/>
      <c r="V97" s="5">
        <f t="shared" si="60"/>
        <v>2.6063306064378526E-3</v>
      </c>
      <c r="W97" s="1"/>
      <c r="X97" s="1">
        <f t="shared" si="61"/>
        <v>-6260.1699999999992</v>
      </c>
      <c r="Y97" s="1"/>
      <c r="Z97" s="5">
        <f t="shared" si="62"/>
        <v>-0.85182347866553088</v>
      </c>
    </row>
    <row r="98" spans="1:26" s="24" customFormat="1" hidden="1" outlineLevel="2" x14ac:dyDescent="0.25">
      <c r="A98" s="28"/>
      <c r="B98" s="11" t="str">
        <f>CONCATENATE("          ", "6241", " - ", "OFFICE EXPENSE")</f>
        <v xml:space="preserve">          6241 - OFFICE EXPENSE</v>
      </c>
      <c r="C98" s="11"/>
      <c r="D98" s="7">
        <v>98.81</v>
      </c>
      <c r="E98" s="2"/>
      <c r="F98" s="6">
        <f t="shared" si="55"/>
        <v>4.1626001519026783E-4</v>
      </c>
      <c r="G98" s="2"/>
      <c r="H98" s="7">
        <v>132.74</v>
      </c>
      <c r="I98" s="2"/>
      <c r="J98" s="6">
        <f t="shared" si="56"/>
        <v>2.2968929496132036E-4</v>
      </c>
      <c r="K98" s="2"/>
      <c r="L98" s="7">
        <f t="shared" si="57"/>
        <v>-33.930000000000007</v>
      </c>
      <c r="M98" s="2"/>
      <c r="N98" s="6">
        <f t="shared" si="58"/>
        <v>-0.25561247551604643</v>
      </c>
      <c r="O98" s="11"/>
      <c r="P98" s="7">
        <v>455.87</v>
      </c>
      <c r="Q98" s="2"/>
      <c r="R98" s="6">
        <f t="shared" si="59"/>
        <v>3.0159651115812809E-4</v>
      </c>
      <c r="S98" s="2"/>
      <c r="T98" s="7">
        <v>2337.8200000000002</v>
      </c>
      <c r="U98" s="2"/>
      <c r="V98" s="6">
        <f t="shared" si="60"/>
        <v>8.2909453600591928E-4</v>
      </c>
      <c r="W98" s="2"/>
      <c r="X98" s="7">
        <f t="shared" si="61"/>
        <v>-1881.9500000000003</v>
      </c>
      <c r="Y98" s="2"/>
      <c r="Z98" s="6">
        <f t="shared" si="62"/>
        <v>-0.8050020959697497</v>
      </c>
    </row>
    <row r="99" spans="1:26" s="24" customFormat="1" hidden="1" outlineLevel="2" x14ac:dyDescent="0.25">
      <c r="A99" s="28"/>
      <c r="B99" s="11" t="str">
        <f>CONCATENATE("          ", "6245", " - ", "PRINTING")</f>
        <v xml:space="preserve">          6245 - PRINTING</v>
      </c>
      <c r="C99" s="11"/>
      <c r="D99" s="7"/>
      <c r="E99" s="2"/>
      <c r="F99" s="6">
        <f t="shared" si="55"/>
        <v>0</v>
      </c>
      <c r="G99" s="2"/>
      <c r="H99" s="7"/>
      <c r="I99" s="2"/>
      <c r="J99" s="6">
        <f t="shared" si="56"/>
        <v>0</v>
      </c>
      <c r="K99" s="2"/>
      <c r="L99" s="7">
        <f t="shared" si="57"/>
        <v>0</v>
      </c>
      <c r="M99" s="2"/>
      <c r="N99" s="6">
        <f t="shared" si="58"/>
        <v>0</v>
      </c>
      <c r="O99" s="11"/>
      <c r="P99" s="7"/>
      <c r="Q99" s="2"/>
      <c r="R99" s="6">
        <f t="shared" si="59"/>
        <v>0</v>
      </c>
      <c r="S99" s="2"/>
      <c r="T99" s="7">
        <v>4978.08</v>
      </c>
      <c r="U99" s="2"/>
      <c r="V99" s="6">
        <f t="shared" si="60"/>
        <v>1.7654476939201248E-3</v>
      </c>
      <c r="W99" s="2"/>
      <c r="X99" s="7">
        <f t="shared" si="61"/>
        <v>-4978.08</v>
      </c>
      <c r="Y99" s="2"/>
      <c r="Z99" s="6">
        <f t="shared" si="62"/>
        <v>-1</v>
      </c>
    </row>
    <row r="100" spans="1:26" s="24" customFormat="1" hidden="1" outlineLevel="2" x14ac:dyDescent="0.25">
      <c r="A100" s="28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55"/>
        <v>0</v>
      </c>
      <c r="G100" s="2"/>
      <c r="H100" s="7">
        <v>16.850000000000001</v>
      </c>
      <c r="I100" s="2"/>
      <c r="J100" s="6">
        <f t="shared" si="56"/>
        <v>2.9156732108620221E-5</v>
      </c>
      <c r="K100" s="2"/>
      <c r="L100" s="7">
        <f t="shared" si="57"/>
        <v>-16.850000000000001</v>
      </c>
      <c r="M100" s="2"/>
      <c r="N100" s="6">
        <f t="shared" si="58"/>
        <v>-1</v>
      </c>
      <c r="O100" s="11"/>
      <c r="P100" s="7">
        <v>633.1</v>
      </c>
      <c r="Q100" s="2"/>
      <c r="R100" s="6">
        <f t="shared" si="59"/>
        <v>4.1884912631717574E-4</v>
      </c>
      <c r="S100" s="2"/>
      <c r="T100" s="7">
        <v>33.24</v>
      </c>
      <c r="U100" s="2"/>
      <c r="V100" s="6">
        <f t="shared" si="60"/>
        <v>1.178837651180876E-5</v>
      </c>
      <c r="W100" s="2"/>
      <c r="X100" s="7">
        <f t="shared" si="61"/>
        <v>599.86</v>
      </c>
      <c r="Y100" s="2"/>
      <c r="Z100" s="6">
        <f t="shared" si="62"/>
        <v>18.046329723225028</v>
      </c>
    </row>
    <row r="101" spans="1:26" s="27" customFormat="1" outlineLevel="1" collapsed="1" x14ac:dyDescent="0.25">
      <c r="A101" s="29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2635</v>
      </c>
      <c r="E101" s="1"/>
      <c r="F101" s="5">
        <f t="shared" ref="F101:F103" si="63">IF(D$12=0,0,D101/D$12)</f>
        <v>1.1100547920517718E-2</v>
      </c>
      <c r="G101" s="1"/>
      <c r="H101" s="1">
        <f>SUM(OSRRefH22_12x_0)</f>
        <v>2045</v>
      </c>
      <c r="I101" s="1"/>
      <c r="J101" s="5">
        <f t="shared" ref="J101:J103" si="64">IF(H$12=0,0,H101/H$12)</f>
        <v>3.5386063597702281E-3</v>
      </c>
      <c r="K101" s="1"/>
      <c r="L101" s="1">
        <f t="shared" ref="L101:L103" si="65">+D101-H101</f>
        <v>590</v>
      </c>
      <c r="M101" s="1"/>
      <c r="N101" s="5">
        <f t="shared" ref="N101:N103" si="66">IF(H101=0,0,L101/H101)</f>
        <v>0.28850855745721271</v>
      </c>
      <c r="O101" s="14"/>
      <c r="P101" s="1">
        <f>SUM(OSRRefP22_12x_0)</f>
        <v>3868.3</v>
      </c>
      <c r="Q101" s="1"/>
      <c r="R101" s="5">
        <f t="shared" ref="R101:R103" si="67">IF(P$12=0,0,P101/P$12)</f>
        <v>2.559207195281521E-3</v>
      </c>
      <c r="S101" s="1"/>
      <c r="T101" s="1">
        <f>SUM(OSRRefT22_12x_0)</f>
        <v>3399.5</v>
      </c>
      <c r="U101" s="1"/>
      <c r="V101" s="5">
        <f t="shared" ref="V101:V103" si="68">IF(T$12=0,0,T101/T$12)</f>
        <v>1.2056132957850144E-3</v>
      </c>
      <c r="W101" s="1"/>
      <c r="X101" s="1">
        <f t="shared" ref="X101:X103" si="69">+P101-T101</f>
        <v>468.80000000000018</v>
      </c>
      <c r="Y101" s="1"/>
      <c r="Z101" s="5">
        <f t="shared" ref="Z101:Z103" si="70">IF(T101=0,0,X101/T101)</f>
        <v>0.13790263274010889</v>
      </c>
    </row>
    <row r="102" spans="1:26" s="24" customFormat="1" hidden="1" outlineLevel="2" x14ac:dyDescent="0.25">
      <c r="A102" s="28"/>
      <c r="B102" s="11" t="str">
        <f>CONCATENATE("          ", "6303", " - ", "DATA PHONE LINES")</f>
        <v xml:space="preserve">          6303 - DATA PHONE LINES</v>
      </c>
      <c r="C102" s="11"/>
      <c r="D102" s="7">
        <v>885</v>
      </c>
      <c r="E102" s="2"/>
      <c r="F102" s="6">
        <f t="shared" si="63"/>
        <v>3.728267517896843E-3</v>
      </c>
      <c r="G102" s="2"/>
      <c r="H102" s="7">
        <v>295</v>
      </c>
      <c r="I102" s="2"/>
      <c r="J102" s="6">
        <f t="shared" si="64"/>
        <v>5.1045910813311357E-4</v>
      </c>
      <c r="K102" s="2"/>
      <c r="L102" s="7">
        <f t="shared" si="65"/>
        <v>590</v>
      </c>
      <c r="M102" s="2"/>
      <c r="N102" s="6">
        <f t="shared" si="66"/>
        <v>2</v>
      </c>
      <c r="O102" s="11"/>
      <c r="P102" s="7">
        <v>1180</v>
      </c>
      <c r="Q102" s="2"/>
      <c r="R102" s="6">
        <f t="shared" si="67"/>
        <v>7.8066967154362247E-4</v>
      </c>
      <c r="S102" s="2"/>
      <c r="T102" s="7">
        <v>885</v>
      </c>
      <c r="U102" s="2"/>
      <c r="V102" s="6">
        <f t="shared" si="68"/>
        <v>3.1386020496241733E-4</v>
      </c>
      <c r="W102" s="2"/>
      <c r="X102" s="7">
        <f t="shared" si="69"/>
        <v>295</v>
      </c>
      <c r="Y102" s="2"/>
      <c r="Z102" s="6">
        <f t="shared" si="70"/>
        <v>0.33333333333333331</v>
      </c>
    </row>
    <row r="103" spans="1:26" s="24" customFormat="1" hidden="1" outlineLevel="2" x14ac:dyDescent="0.25">
      <c r="A103" s="28"/>
      <c r="B103" s="11" t="str">
        <f>CONCATENATE("          ", "6309", " - ", "TELEPHONE")</f>
        <v xml:space="preserve">          6309 - TELEPHONE</v>
      </c>
      <c r="C103" s="11"/>
      <c r="D103" s="7">
        <v>1750</v>
      </c>
      <c r="E103" s="2"/>
      <c r="F103" s="6">
        <f t="shared" si="63"/>
        <v>7.372280402620876E-3</v>
      </c>
      <c r="G103" s="2"/>
      <c r="H103" s="7">
        <v>1750</v>
      </c>
      <c r="I103" s="2"/>
      <c r="J103" s="6">
        <f t="shared" si="64"/>
        <v>3.0281472516371145E-3</v>
      </c>
      <c r="K103" s="2"/>
      <c r="L103" s="7">
        <f t="shared" si="65"/>
        <v>0</v>
      </c>
      <c r="M103" s="2"/>
      <c r="N103" s="6">
        <f t="shared" si="66"/>
        <v>0</v>
      </c>
      <c r="O103" s="11"/>
      <c r="P103" s="7">
        <v>2688.3</v>
      </c>
      <c r="Q103" s="2"/>
      <c r="R103" s="6">
        <f t="shared" si="67"/>
        <v>1.7785375237378985E-3</v>
      </c>
      <c r="S103" s="2"/>
      <c r="T103" s="7">
        <v>2514.5</v>
      </c>
      <c r="U103" s="2"/>
      <c r="V103" s="6">
        <f t="shared" si="68"/>
        <v>8.9175309082259707E-4</v>
      </c>
      <c r="W103" s="2"/>
      <c r="X103" s="7">
        <f t="shared" si="69"/>
        <v>173.80000000000018</v>
      </c>
      <c r="Y103" s="2"/>
      <c r="Z103" s="6">
        <f t="shared" si="70"/>
        <v>6.9119109166832449E-2</v>
      </c>
    </row>
    <row r="104" spans="1:26" s="27" customFormat="1" outlineLevel="1" collapsed="1" x14ac:dyDescent="0.25">
      <c r="A104" s="29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SUM(OSRRefD22_13x_0)</f>
        <v>0</v>
      </c>
      <c r="E104" s="1"/>
      <c r="F104" s="5">
        <f t="shared" ref="F104:F107" si="71">IF(D$12=0,0,D104/D$12)</f>
        <v>0</v>
      </c>
      <c r="G104" s="1"/>
      <c r="H104" s="1">
        <f>SUM(OSRRefH22_13x_0)</f>
        <v>0</v>
      </c>
      <c r="I104" s="1"/>
      <c r="J104" s="5">
        <f t="shared" ref="J104:J107" si="72">IF(H$12=0,0,H104/H$12)</f>
        <v>0</v>
      </c>
      <c r="K104" s="1"/>
      <c r="L104" s="1">
        <f t="shared" ref="L104:L107" si="73">+D104-H104</f>
        <v>0</v>
      </c>
      <c r="M104" s="1"/>
      <c r="N104" s="5">
        <f t="shared" ref="N104:N107" si="74">IF(H104=0,0,L104/H104)</f>
        <v>0</v>
      </c>
      <c r="O104" s="14"/>
      <c r="P104" s="1">
        <f>SUM(OSRRefP22_13x_0)</f>
        <v>0</v>
      </c>
      <c r="Q104" s="1"/>
      <c r="R104" s="5">
        <f t="shared" ref="R104:R107" si="75">IF(P$12=0,0,P104/P$12)</f>
        <v>0</v>
      </c>
      <c r="S104" s="1"/>
      <c r="T104" s="1">
        <f>SUM(OSRRefT22_13x_0)</f>
        <v>547.47</v>
      </c>
      <c r="U104" s="1"/>
      <c r="V104" s="5">
        <f t="shared" ref="V104:V107" si="76">IF(T$12=0,0,T104/T$12)</f>
        <v>1.9415711458844591E-4</v>
      </c>
      <c r="W104" s="1"/>
      <c r="X104" s="1">
        <f t="shared" ref="X104:X107" si="77">+P104-T104</f>
        <v>-547.47</v>
      </c>
      <c r="Y104" s="1"/>
      <c r="Z104" s="5">
        <f t="shared" ref="Z104:Z107" si="78">IF(T104=0,0,X104/T104)</f>
        <v>-1</v>
      </c>
    </row>
    <row r="105" spans="1:26" s="24" customFormat="1" hidden="1" outlineLevel="2" x14ac:dyDescent="0.25">
      <c r="A105" s="28"/>
      <c r="B105" s="11" t="str">
        <f>CONCATENATE("          ", "6376", " - ", "TRAINING")</f>
        <v xml:space="preserve">          6376 - TRAINING</v>
      </c>
      <c r="C105" s="11"/>
      <c r="D105" s="7"/>
      <c r="E105" s="2"/>
      <c r="F105" s="6">
        <f t="shared" si="71"/>
        <v>0</v>
      </c>
      <c r="G105" s="2"/>
      <c r="H105" s="7"/>
      <c r="I105" s="2"/>
      <c r="J105" s="6">
        <f t="shared" si="72"/>
        <v>0</v>
      </c>
      <c r="K105" s="2"/>
      <c r="L105" s="7">
        <f t="shared" si="73"/>
        <v>0</v>
      </c>
      <c r="M105" s="2"/>
      <c r="N105" s="6">
        <f t="shared" si="74"/>
        <v>0</v>
      </c>
      <c r="O105" s="11"/>
      <c r="P105" s="7"/>
      <c r="Q105" s="2"/>
      <c r="R105" s="6">
        <f t="shared" si="75"/>
        <v>0</v>
      </c>
      <c r="S105" s="2"/>
      <c r="T105" s="7">
        <v>547.47</v>
      </c>
      <c r="U105" s="2"/>
      <c r="V105" s="6">
        <f t="shared" si="76"/>
        <v>1.9415711458844591E-4</v>
      </c>
      <c r="W105" s="2"/>
      <c r="X105" s="7">
        <f t="shared" si="77"/>
        <v>-547.47</v>
      </c>
      <c r="Y105" s="2"/>
      <c r="Z105" s="6">
        <f t="shared" si="78"/>
        <v>-1</v>
      </c>
    </row>
    <row r="106" spans="1:26" s="27" customFormat="1" outlineLevel="1" collapsed="1" x14ac:dyDescent="0.25">
      <c r="A106" s="29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SUM(OSRRefD22_14x_0)</f>
        <v>0</v>
      </c>
      <c r="E106" s="1"/>
      <c r="F106" s="5">
        <f t="shared" si="71"/>
        <v>0</v>
      </c>
      <c r="G106" s="1"/>
      <c r="H106" s="1">
        <f>SUM(OSRRefH22_14x_0)</f>
        <v>0</v>
      </c>
      <c r="I106" s="1"/>
      <c r="J106" s="5">
        <f t="shared" si="72"/>
        <v>0</v>
      </c>
      <c r="K106" s="1"/>
      <c r="L106" s="1">
        <f t="shared" si="73"/>
        <v>0</v>
      </c>
      <c r="M106" s="1"/>
      <c r="N106" s="5">
        <f t="shared" si="74"/>
        <v>0</v>
      </c>
      <c r="O106" s="14"/>
      <c r="P106" s="1">
        <f>SUM(OSRRefP22_14x_0)</f>
        <v>0.16</v>
      </c>
      <c r="Q106" s="1"/>
      <c r="R106" s="5">
        <f t="shared" si="75"/>
        <v>1.0585351478557593E-7</v>
      </c>
      <c r="S106" s="1"/>
      <c r="T106" s="1">
        <f>SUM(OSRRefT22_14x_0)</f>
        <v>0</v>
      </c>
      <c r="U106" s="1"/>
      <c r="V106" s="5">
        <f t="shared" si="76"/>
        <v>0</v>
      </c>
      <c r="W106" s="1"/>
      <c r="X106" s="1">
        <f t="shared" si="77"/>
        <v>0.16</v>
      </c>
      <c r="Y106" s="1"/>
      <c r="Z106" s="5">
        <f t="shared" si="78"/>
        <v>0</v>
      </c>
    </row>
    <row r="107" spans="1:26" s="24" customFormat="1" hidden="1" outlineLevel="2" x14ac:dyDescent="0.25">
      <c r="A107" s="28"/>
      <c r="B107" s="11" t="str">
        <f>CONCATENATE("          ", "6292", " - ", "TRAVEL/CONFERENCE")</f>
        <v xml:space="preserve">          6292 - TRAVEL/CONFERENCE</v>
      </c>
      <c r="C107" s="11"/>
      <c r="D107" s="7"/>
      <c r="E107" s="2"/>
      <c r="F107" s="6">
        <f t="shared" si="71"/>
        <v>0</v>
      </c>
      <c r="G107" s="2"/>
      <c r="H107" s="7"/>
      <c r="I107" s="2"/>
      <c r="J107" s="6">
        <f t="shared" si="72"/>
        <v>0</v>
      </c>
      <c r="K107" s="2"/>
      <c r="L107" s="7">
        <f t="shared" si="73"/>
        <v>0</v>
      </c>
      <c r="M107" s="2"/>
      <c r="N107" s="6">
        <f t="shared" si="74"/>
        <v>0</v>
      </c>
      <c r="O107" s="11"/>
      <c r="P107" s="7">
        <v>0.16</v>
      </c>
      <c r="Q107" s="2"/>
      <c r="R107" s="6">
        <f t="shared" si="75"/>
        <v>1.0585351478557593E-7</v>
      </c>
      <c r="S107" s="2"/>
      <c r="T107" s="7"/>
      <c r="U107" s="2"/>
      <c r="V107" s="6">
        <f t="shared" si="76"/>
        <v>0</v>
      </c>
      <c r="W107" s="2"/>
      <c r="X107" s="7">
        <f t="shared" si="77"/>
        <v>0.16</v>
      </c>
      <c r="Y107" s="2"/>
      <c r="Z107" s="6">
        <f t="shared" si="78"/>
        <v>0</v>
      </c>
    </row>
    <row r="108" spans="1:26" s="60" customFormat="1" x14ac:dyDescent="0.25">
      <c r="A108" s="37"/>
      <c r="B108" s="37"/>
      <c r="C108" s="37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7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6" t="s">
        <v>0</v>
      </c>
      <c r="C109" s="10"/>
      <c r="D109" s="4">
        <f>SUM(OSRRefD25x_0)</f>
        <v>156953.37</v>
      </c>
      <c r="E109" s="4"/>
      <c r="F109" s="12">
        <f t="shared" ref="F109:F112" si="79">IF(D$12=0,0,D109/D$12)</f>
        <v>0.66120243072931617</v>
      </c>
      <c r="G109" s="4"/>
      <c r="H109" s="4">
        <f>SUM(OSRRefH25x_0)</f>
        <v>95057.069999999992</v>
      </c>
      <c r="I109" s="4"/>
      <c r="J109" s="12">
        <f t="shared" ref="J109:J112" si="80">IF(H$12=0,0,H109/H$12)</f>
        <v>0.16448388872524389</v>
      </c>
      <c r="K109" s="4"/>
      <c r="L109" s="4">
        <f t="shared" ref="L109:L112" si="81">+D109-H109</f>
        <v>61896.3</v>
      </c>
      <c r="M109" s="4"/>
      <c r="N109" s="12">
        <f t="shared" ref="N109:N112" si="82">IF(H109=0,0,L109/H109)</f>
        <v>0.65114883090758013</v>
      </c>
      <c r="O109" s="10"/>
      <c r="P109" s="4">
        <f>SUM(OSRRefP25x_0)</f>
        <v>160900.78000000003</v>
      </c>
      <c r="Q109" s="4"/>
      <c r="R109" s="12">
        <f t="shared" ref="R109:R112" si="83">IF(P$12=0,0,P109/P$12)</f>
        <v>0.10644945684212939</v>
      </c>
      <c r="S109" s="4"/>
      <c r="T109" s="4">
        <f>SUM(OSRRefT25x_0)</f>
        <v>97383.17</v>
      </c>
      <c r="U109" s="4"/>
      <c r="V109" s="12">
        <f t="shared" ref="V109:V112" si="84">IF(T$12=0,0,T109/T$12)</f>
        <v>3.4536386097276758E-2</v>
      </c>
      <c r="W109" s="4"/>
      <c r="X109" s="4">
        <f t="shared" ref="X109:X112" si="85">+P109-T109</f>
        <v>63517.61000000003</v>
      </c>
      <c r="Y109" s="4"/>
      <c r="Z109" s="12">
        <f t="shared" ref="Z109:Z112" si="86">IF(T109=0,0,X109/T109)</f>
        <v>0.65224422248731506</v>
      </c>
    </row>
    <row r="110" spans="1:26" s="24" customFormat="1" hidden="1" outlineLevel="1" x14ac:dyDescent="0.25">
      <c r="A110" s="44"/>
      <c r="B110" s="11" t="str">
        <f>CONCATENATE("          ", "9150", " - ", "MISC. INCOME")</f>
        <v xml:space="preserve">          9150 - MISC. INCOME</v>
      </c>
      <c r="C110" s="11"/>
      <c r="D110" s="2">
        <f>--9125.43</f>
        <v>9125.43</v>
      </c>
      <c r="E110" s="2"/>
      <c r="F110" s="19">
        <f t="shared" si="79"/>
        <v>3.8442987859707782E-2</v>
      </c>
      <c r="G110" s="2"/>
      <c r="H110" s="2">
        <f>--6747.28</f>
        <v>6747.28</v>
      </c>
      <c r="I110" s="2"/>
      <c r="J110" s="19">
        <f t="shared" si="80"/>
        <v>1.1675289936014898E-2</v>
      </c>
      <c r="K110" s="2"/>
      <c r="L110" s="2">
        <f t="shared" si="81"/>
        <v>2378.1500000000005</v>
      </c>
      <c r="M110" s="2"/>
      <c r="N110" s="19">
        <f t="shared" si="82"/>
        <v>0.35246054706489144</v>
      </c>
      <c r="O110" s="11"/>
      <c r="P110" s="2">
        <f>--11526.45</f>
        <v>11526.45</v>
      </c>
      <c r="Q110" s="2"/>
      <c r="R110" s="19">
        <f t="shared" si="83"/>
        <v>7.6257202843762603E-3</v>
      </c>
      <c r="S110" s="2"/>
      <c r="T110" s="2">
        <f>--9065.95</f>
        <v>9065.9500000000007</v>
      </c>
      <c r="U110" s="2"/>
      <c r="V110" s="19">
        <f t="shared" si="84"/>
        <v>3.2151874860779973E-3</v>
      </c>
      <c r="W110" s="2"/>
      <c r="X110" s="2">
        <f t="shared" si="85"/>
        <v>2460.5</v>
      </c>
      <c r="Y110" s="2"/>
      <c r="Z110" s="19">
        <f t="shared" si="86"/>
        <v>0.2714001290543186</v>
      </c>
    </row>
    <row r="111" spans="1:26" s="24" customFormat="1" hidden="1" outlineLevel="1" x14ac:dyDescent="0.25">
      <c r="A111" s="44"/>
      <c r="B111" s="11" t="str">
        <f>CONCATENATE("          ", "9151", " - ", "MISC. INCOME")</f>
        <v xml:space="preserve">          9151 - MISC. INCOME</v>
      </c>
      <c r="C111" s="11"/>
      <c r="D111" s="2">
        <f>--147285.39</f>
        <v>147285.39000000001</v>
      </c>
      <c r="E111" s="2"/>
      <c r="F111" s="19">
        <f t="shared" si="79"/>
        <v>0.62047382530821305</v>
      </c>
      <c r="G111" s="2"/>
      <c r="H111" s="2">
        <f>--87676.2</f>
        <v>87676.2</v>
      </c>
      <c r="I111" s="2"/>
      <c r="J111" s="19">
        <f t="shared" si="80"/>
        <v>0.15171225375084912</v>
      </c>
      <c r="K111" s="2"/>
      <c r="L111" s="2">
        <f t="shared" si="81"/>
        <v>59609.190000000017</v>
      </c>
      <c r="M111" s="2"/>
      <c r="N111" s="19">
        <f t="shared" si="82"/>
        <v>0.67987880405400802</v>
      </c>
      <c r="O111" s="11"/>
      <c r="P111" s="2">
        <f>--147285.39</f>
        <v>147285.39000000001</v>
      </c>
      <c r="Q111" s="2"/>
      <c r="R111" s="19">
        <f t="shared" si="83"/>
        <v>9.7441726300401987E-2</v>
      </c>
      <c r="S111" s="2"/>
      <c r="T111" s="2">
        <f>--87676.2</f>
        <v>87676.2</v>
      </c>
      <c r="U111" s="2"/>
      <c r="V111" s="19">
        <f t="shared" si="84"/>
        <v>3.1093864522402141E-2</v>
      </c>
      <c r="W111" s="2"/>
      <c r="X111" s="2">
        <f t="shared" si="85"/>
        <v>59609.190000000017</v>
      </c>
      <c r="Y111" s="2"/>
      <c r="Z111" s="19">
        <f t="shared" si="86"/>
        <v>0.67987880405400802</v>
      </c>
    </row>
    <row r="112" spans="1:26" s="24" customFormat="1" hidden="1" outlineLevel="1" x14ac:dyDescent="0.25">
      <c r="A112" s="44"/>
      <c r="B112" s="11" t="str">
        <f>CONCATENATE("          ", "9152", " - ", "MISC. INCOME")</f>
        <v xml:space="preserve">          9152 - MISC. INCOME</v>
      </c>
      <c r="C112" s="11"/>
      <c r="D112" s="2">
        <f>--542.55</f>
        <v>542.54999999999995</v>
      </c>
      <c r="E112" s="2"/>
      <c r="F112" s="19">
        <f t="shared" si="79"/>
        <v>2.2856175613954035E-3</v>
      </c>
      <c r="G112" s="2"/>
      <c r="H112" s="2">
        <f>--633.59</f>
        <v>633.59</v>
      </c>
      <c r="I112" s="2"/>
      <c r="J112" s="19">
        <f t="shared" si="80"/>
        <v>1.0963450383798625E-3</v>
      </c>
      <c r="K112" s="2"/>
      <c r="L112" s="2">
        <f t="shared" si="81"/>
        <v>-91.040000000000077</v>
      </c>
      <c r="M112" s="2"/>
      <c r="N112" s="19">
        <f t="shared" si="82"/>
        <v>-0.14368913650783641</v>
      </c>
      <c r="O112" s="11"/>
      <c r="P112" s="2">
        <f>--2088.94</f>
        <v>2088.94</v>
      </c>
      <c r="Q112" s="2"/>
      <c r="R112" s="19">
        <f t="shared" si="83"/>
        <v>1.382010257351131E-3</v>
      </c>
      <c r="S112" s="2"/>
      <c r="T112" s="2">
        <f>--641.02</f>
        <v>641.02</v>
      </c>
      <c r="U112" s="2"/>
      <c r="V112" s="19">
        <f t="shared" si="84"/>
        <v>2.2733408879662006E-4</v>
      </c>
      <c r="W112" s="2"/>
      <c r="X112" s="2">
        <f t="shared" si="85"/>
        <v>1447.92</v>
      </c>
      <c r="Y112" s="2"/>
      <c r="Z112" s="19">
        <f t="shared" si="86"/>
        <v>2.2587750772206796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5" t="s">
        <v>3</v>
      </c>
      <c r="C114" s="25"/>
      <c r="D114" s="22">
        <f>+D56-D58+D109</f>
        <v>197116.18000000011</v>
      </c>
      <c r="E114" s="13"/>
      <c r="F114" s="21">
        <f>IF(D$12=0,0,D114/D$12)</f>
        <v>0.83039757191627994</v>
      </c>
      <c r="G114" s="13"/>
      <c r="H114" s="22">
        <f>+H56-H58+H109</f>
        <v>219014.35000000027</v>
      </c>
      <c r="I114" s="13"/>
      <c r="J114" s="21">
        <f>IF(H$12=0,0,H114/H$12)</f>
        <v>0.3789758297266228</v>
      </c>
      <c r="K114" s="15"/>
      <c r="L114" s="22">
        <f>+D114-H114</f>
        <v>-21898.170000000158</v>
      </c>
      <c r="M114" s="15"/>
      <c r="N114" s="21">
        <f>IF(H114=0,0,L114/H114)</f>
        <v>-9.9985092301030185E-2</v>
      </c>
      <c r="O114" s="26"/>
      <c r="P114" s="22">
        <f>+P56-P58+P109</f>
        <v>463496.72000000044</v>
      </c>
      <c r="Q114" s="13"/>
      <c r="R114" s="21">
        <f>IF(P$12=0,0,P114/P$12)</f>
        <v>0.30664223064741242</v>
      </c>
      <c r="S114" s="13"/>
      <c r="T114" s="22">
        <f>+T56-T58+T109</f>
        <v>731876.56999999739</v>
      </c>
      <c r="U114" s="13"/>
      <c r="V114" s="21">
        <f>IF(T$12=0,0,T114/T$12)</f>
        <v>0.2595558534094804</v>
      </c>
      <c r="W114" s="15"/>
      <c r="X114" s="22">
        <f>+P114-T114</f>
        <v>-268379.84999999695</v>
      </c>
      <c r="Y114" s="15"/>
      <c r="Z114" s="21">
        <f>IF(T114=0,0,X114/T114)</f>
        <v>-0.36670097254240275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1"/>
      <c r="B116" s="10" t="s">
        <v>13</v>
      </c>
      <c r="C116" s="10"/>
      <c r="D116" s="4">
        <v>64894.33</v>
      </c>
      <c r="E116" s="4"/>
      <c r="F116" s="12">
        <f>IF(D$12=0,0,D116/D$12)</f>
        <v>0.27338239845726398</v>
      </c>
      <c r="G116" s="4"/>
      <c r="H116" s="4">
        <v>23362.5</v>
      </c>
      <c r="I116" s="4"/>
      <c r="J116" s="12">
        <f>IF(H$12=0,0,H116/H$12)</f>
        <v>4.0425765809355481E-2</v>
      </c>
      <c r="K116" s="4"/>
      <c r="L116" s="4">
        <f>+D116-H116</f>
        <v>41531.83</v>
      </c>
      <c r="M116" s="4"/>
      <c r="N116" s="12">
        <f>IF(H116=0,0,L116/H116)</f>
        <v>1.7777134296415196</v>
      </c>
      <c r="O116" s="10"/>
      <c r="P116" s="4">
        <v>280017.14</v>
      </c>
      <c r="Q116" s="4"/>
      <c r="R116" s="12">
        <f>IF(P$12=0,0,P116/P$12)</f>
        <v>0.18525499043252927</v>
      </c>
      <c r="S116" s="4"/>
      <c r="T116" s="4">
        <v>302876.01</v>
      </c>
      <c r="U116" s="4"/>
      <c r="V116" s="12">
        <f>IF(T$12=0,0,T116/T$12)</f>
        <v>0.10741325036926459</v>
      </c>
      <c r="W116" s="4"/>
      <c r="X116" s="4">
        <f>+P116-T116</f>
        <v>-22858.869999999995</v>
      </c>
      <c r="Y116" s="4"/>
      <c r="Z116" s="12">
        <f>IF(T116=0,0,X116/T116)</f>
        <v>-7.5472699207837543E-2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5" t="s">
        <v>4</v>
      </c>
      <c r="C118" s="25"/>
      <c r="D118" s="33">
        <f>+D114-D116</f>
        <v>132221.85000000009</v>
      </c>
      <c r="E118" s="13"/>
      <c r="F118" s="32">
        <f>IF(D$12=0,0,D118/D$12)</f>
        <v>0.55701517345901586</v>
      </c>
      <c r="G118" s="13"/>
      <c r="H118" s="33">
        <f>+H114-H116</f>
        <v>195651.85000000027</v>
      </c>
      <c r="I118" s="13"/>
      <c r="J118" s="32">
        <f>IF(H$12=0,0,H118/H$12)</f>
        <v>0.33855006391726733</v>
      </c>
      <c r="K118" s="15"/>
      <c r="L118" s="33">
        <f>D118-H118</f>
        <v>-63430.000000000175</v>
      </c>
      <c r="M118" s="15"/>
      <c r="N118" s="32">
        <f>IF(H118=0,0,L118/H118)</f>
        <v>-0.32419831450609893</v>
      </c>
      <c r="O118" s="26"/>
      <c r="P118" s="33">
        <f>+P114-P116</f>
        <v>183479.58000000042</v>
      </c>
      <c r="Q118" s="13"/>
      <c r="R118" s="32">
        <f>IF(P$12=0,0,P118/P$12)</f>
        <v>0.12138724021488316</v>
      </c>
      <c r="S118" s="13"/>
      <c r="T118" s="33">
        <f>+T114-T116</f>
        <v>429000.55999999738</v>
      </c>
      <c r="U118" s="13"/>
      <c r="V118" s="32">
        <f>IF(T$12=0,0,T118/T$12)</f>
        <v>0.15214260304021582</v>
      </c>
      <c r="W118" s="15"/>
      <c r="X118" s="33">
        <f>P118-T118</f>
        <v>-245520.97999999695</v>
      </c>
      <c r="Y118" s="15"/>
      <c r="Z118" s="32">
        <f>IF(T118=0,0,X118/T118)</f>
        <v>-0.57230922961965003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5" t="s">
        <v>5</v>
      </c>
      <c r="C121" s="25"/>
      <c r="D121" s="34">
        <f>SUM(D118:D120)</f>
        <v>132221.85000000009</v>
      </c>
      <c r="E121" s="13"/>
      <c r="F121" s="31">
        <f>IF(D$12=0,0,D121/D$12)</f>
        <v>0.55701517345901586</v>
      </c>
      <c r="G121" s="13"/>
      <c r="H121" s="34">
        <f>SUM(H118:H120)</f>
        <v>195651.85000000027</v>
      </c>
      <c r="I121" s="13"/>
      <c r="J121" s="31">
        <f>IF(H$12=0,0,H121/H$12)</f>
        <v>0.33855006391726733</v>
      </c>
      <c r="K121" s="15"/>
      <c r="L121" s="34">
        <f>+D121-H121</f>
        <v>-63430.000000000175</v>
      </c>
      <c r="M121" s="15"/>
      <c r="N121" s="31">
        <f>IF(H121=0,0,L121/H121)</f>
        <v>-0.32419831450609893</v>
      </c>
      <c r="O121" s="26"/>
      <c r="P121" s="34">
        <f>SUM(P118:P120)</f>
        <v>183479.58000000042</v>
      </c>
      <c r="Q121" s="13"/>
      <c r="R121" s="31">
        <f>IF(P$12=0,0,P121/P$12)</f>
        <v>0.12138724021488316</v>
      </c>
      <c r="S121" s="13"/>
      <c r="T121" s="34">
        <f>SUM(T118:T120)</f>
        <v>429000.55999999738</v>
      </c>
      <c r="U121" s="13"/>
      <c r="V121" s="31">
        <f>IF(T$12=0,0,T121/T$12)</f>
        <v>0.15214260304021582</v>
      </c>
      <c r="W121" s="15"/>
      <c r="X121" s="34">
        <f>+P121-T121</f>
        <v>-245520.97999999695</v>
      </c>
      <c r="Y121" s="15"/>
      <c r="Z121" s="31">
        <f>IF(T121=0,0,X121/T121)</f>
        <v>-0.57230922961965003</v>
      </c>
    </row>
    <row r="122" spans="1:26" ht="15.75" thickTop="1" x14ac:dyDescent="0.25">
      <c r="A122" s="9"/>
      <c r="C122" s="9"/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54">
        <v>44123.564735567132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9" t="s">
        <v>313</v>
      </c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8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188990.74</v>
      </c>
      <c r="E12" s="4"/>
      <c r="F12" s="12"/>
      <c r="G12" s="4"/>
      <c r="H12" s="4">
        <f>SUM(OSRRefH13x_0)</f>
        <v>394529.24999999994</v>
      </c>
      <c r="I12" s="4"/>
      <c r="J12" s="12"/>
      <c r="K12" s="4"/>
      <c r="L12" s="4">
        <f t="shared" ref="L12:L38" si="0">+D12-H12</f>
        <v>-205538.50999999995</v>
      </c>
      <c r="M12" s="4"/>
      <c r="N12" s="12">
        <f t="shared" ref="N12:N38" si="1">IF(H12=0,0,L12/H12)</f>
        <v>-0.52097153759828951</v>
      </c>
      <c r="O12" s="10"/>
      <c r="P12" s="4">
        <f>SUM(OSRRefP13x_0)</f>
        <v>1043791.4</v>
      </c>
      <c r="Q12" s="4"/>
      <c r="R12" s="12"/>
      <c r="S12" s="4"/>
      <c r="T12" s="4">
        <f>SUM(OSRRefT13x_0)</f>
        <v>1929680.19</v>
      </c>
      <c r="U12" s="4"/>
      <c r="V12" s="12"/>
      <c r="W12" s="4"/>
      <c r="X12" s="4">
        <f t="shared" ref="X12:X38" si="2">+P12-T12</f>
        <v>-885888.78999999992</v>
      </c>
      <c r="Y12" s="4"/>
      <c r="Z12" s="12">
        <f t="shared" ref="Z12:Z38" si="3">IF(T12=0,0,X12/T12)</f>
        <v>-0.45908580841056357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-965.28</f>
        <v>-965.28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-965.28</v>
      </c>
      <c r="M13" s="2"/>
      <c r="N13" s="19">
        <f t="shared" si="1"/>
        <v>0</v>
      </c>
      <c r="O13" s="11"/>
      <c r="P13" s="2">
        <f>-4993.54</f>
        <v>-4993.54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-4993.54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--86795.93</f>
        <v>86795.93</v>
      </c>
      <c r="E14" s="2"/>
      <c r="F14" s="19"/>
      <c r="G14" s="2"/>
      <c r="H14" s="2">
        <f>--267141.57</f>
        <v>267141.57</v>
      </c>
      <c r="I14" s="2"/>
      <c r="J14" s="19"/>
      <c r="K14" s="2"/>
      <c r="L14" s="2">
        <f t="shared" si="0"/>
        <v>-180345.64</v>
      </c>
      <c r="M14" s="2"/>
      <c r="N14" s="19">
        <f t="shared" si="1"/>
        <v>-0.67509388374111901</v>
      </c>
      <c r="O14" s="11"/>
      <c r="P14" s="2">
        <f>--523741.98</f>
        <v>523741.98</v>
      </c>
      <c r="Q14" s="2"/>
      <c r="R14" s="19"/>
      <c r="S14" s="2"/>
      <c r="T14" s="2">
        <f>--1212249.81</f>
        <v>1212249.81</v>
      </c>
      <c r="U14" s="2"/>
      <c r="V14" s="19"/>
      <c r="W14" s="2"/>
      <c r="X14" s="2">
        <f t="shared" si="2"/>
        <v>-688507.83000000007</v>
      </c>
      <c r="Y14" s="2"/>
      <c r="Z14" s="19">
        <f t="shared" si="3"/>
        <v>-0.56795870316531549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--24307.89</f>
        <v>24307.89</v>
      </c>
      <c r="E15" s="2"/>
      <c r="F15" s="19"/>
      <c r="G15" s="2"/>
      <c r="H15" s="2">
        <f>--54213</f>
        <v>54213</v>
      </c>
      <c r="I15" s="2"/>
      <c r="J15" s="19"/>
      <c r="K15" s="2"/>
      <c r="L15" s="2">
        <f t="shared" si="0"/>
        <v>-29905.11</v>
      </c>
      <c r="M15" s="2"/>
      <c r="N15" s="19">
        <f t="shared" si="1"/>
        <v>-0.55162248907088707</v>
      </c>
      <c r="O15" s="11"/>
      <c r="P15" s="2">
        <f>--184223.19</f>
        <v>184223.19</v>
      </c>
      <c r="Q15" s="2"/>
      <c r="R15" s="19"/>
      <c r="S15" s="2"/>
      <c r="T15" s="2">
        <f>--350637.45</f>
        <v>350637.45</v>
      </c>
      <c r="U15" s="2"/>
      <c r="V15" s="19"/>
      <c r="W15" s="2"/>
      <c r="X15" s="2">
        <f t="shared" si="2"/>
        <v>-166414.26</v>
      </c>
      <c r="Y15" s="2"/>
      <c r="Z15" s="19">
        <f t="shared" si="3"/>
        <v>-0.47460492311930741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19"/>
      <c r="G16" s="2"/>
      <c r="H16" s="2">
        <f>--2800.64</f>
        <v>2800.64</v>
      </c>
      <c r="I16" s="2"/>
      <c r="J16" s="19"/>
      <c r="K16" s="2"/>
      <c r="L16" s="2">
        <f t="shared" si="0"/>
        <v>-1260.8499999999999</v>
      </c>
      <c r="M16" s="2"/>
      <c r="N16" s="19">
        <f t="shared" si="1"/>
        <v>-0.45020066841864714</v>
      </c>
      <c r="O16" s="11"/>
      <c r="P16" s="2">
        <f>--10595.63</f>
        <v>10595.63</v>
      </c>
      <c r="Q16" s="2"/>
      <c r="R16" s="19"/>
      <c r="S16" s="2"/>
      <c r="T16" s="2">
        <f>--15536.69</f>
        <v>15536.69</v>
      </c>
      <c r="U16" s="2"/>
      <c r="V16" s="19"/>
      <c r="W16" s="2"/>
      <c r="X16" s="2">
        <f t="shared" si="2"/>
        <v>-4941.0600000000013</v>
      </c>
      <c r="Y16" s="2"/>
      <c r="Z16" s="19">
        <f t="shared" si="3"/>
        <v>-0.31802526793029928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19"/>
      <c r="G17" s="2"/>
      <c r="H17" s="2">
        <f>--7290.37</f>
        <v>7290.37</v>
      </c>
      <c r="I17" s="2"/>
      <c r="J17" s="19"/>
      <c r="K17" s="2"/>
      <c r="L17" s="2">
        <f t="shared" si="0"/>
        <v>-7006.15</v>
      </c>
      <c r="M17" s="2"/>
      <c r="N17" s="19">
        <f t="shared" si="1"/>
        <v>-0.96101432437585466</v>
      </c>
      <c r="O17" s="11"/>
      <c r="P17" s="2">
        <f>--2105.11</f>
        <v>2105.11</v>
      </c>
      <c r="Q17" s="2"/>
      <c r="R17" s="19"/>
      <c r="S17" s="2"/>
      <c r="T17" s="2">
        <f>--29700.44</f>
        <v>29700.44</v>
      </c>
      <c r="U17" s="2"/>
      <c r="V17" s="19"/>
      <c r="W17" s="2"/>
      <c r="X17" s="2">
        <f t="shared" si="2"/>
        <v>-27595.329999999998</v>
      </c>
      <c r="Y17" s="2"/>
      <c r="Z17" s="19">
        <f t="shared" si="3"/>
        <v>-0.92912192546642403</v>
      </c>
    </row>
    <row r="18" spans="1:26" s="24" customFormat="1" hidden="1" outlineLevel="1" x14ac:dyDescent="0.25">
      <c r="A18" s="44"/>
      <c r="B18" s="11" t="str">
        <f>CONCATENATE("          ", "4011", " - ", "TAXABLE SALES-NO VALUE TEXT")</f>
        <v xml:space="preserve">          4011 - TAXABLE SALES-NO VALUE TEXT</v>
      </c>
      <c r="C18" s="11"/>
      <c r="D18" s="2">
        <f t="shared" ref="D18:D19" si="4">0</f>
        <v>0</v>
      </c>
      <c r="E18" s="2"/>
      <c r="F18" s="19"/>
      <c r="G18" s="2"/>
      <c r="H18" s="2">
        <f>--9.6</f>
        <v>9.6</v>
      </c>
      <c r="I18" s="2"/>
      <c r="J18" s="19"/>
      <c r="K18" s="2"/>
      <c r="L18" s="2">
        <f t="shared" si="0"/>
        <v>-9.6</v>
      </c>
      <c r="M18" s="2"/>
      <c r="N18" s="19">
        <f t="shared" si="1"/>
        <v>-1</v>
      </c>
      <c r="O18" s="11"/>
      <c r="P18" s="2">
        <f>0</f>
        <v>0</v>
      </c>
      <c r="Q18" s="2"/>
      <c r="R18" s="19"/>
      <c r="S18" s="2"/>
      <c r="T18" s="2">
        <f>--9.6</f>
        <v>9.6</v>
      </c>
      <c r="U18" s="2"/>
      <c r="V18" s="19"/>
      <c r="W18" s="2"/>
      <c r="X18" s="2">
        <f t="shared" si="2"/>
        <v>-9.6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"4013", " - ", "TAXABLE SALES-TRADE BOOKS")</f>
        <v xml:space="preserve">          4013 - TAXABLE SALES-TRADE BOOKS</v>
      </c>
      <c r="C19" s="11"/>
      <c r="D19" s="2">
        <f t="shared" si="4"/>
        <v>0</v>
      </c>
      <c r="E19" s="2"/>
      <c r="F19" s="19"/>
      <c r="G19" s="2"/>
      <c r="H19" s="2">
        <f>--29.95</f>
        <v>29.95</v>
      </c>
      <c r="I19" s="2"/>
      <c r="J19" s="19"/>
      <c r="K19" s="2"/>
      <c r="L19" s="2">
        <f t="shared" si="0"/>
        <v>-29.95</v>
      </c>
      <c r="M19" s="2"/>
      <c r="N19" s="19">
        <f t="shared" si="1"/>
        <v>-1</v>
      </c>
      <c r="O19" s="11"/>
      <c r="P19" s="2">
        <f>--39.9</f>
        <v>39.9</v>
      </c>
      <c r="Q19" s="2"/>
      <c r="R19" s="19"/>
      <c r="S19" s="2"/>
      <c r="T19" s="2">
        <f>--140.76</f>
        <v>140.76</v>
      </c>
      <c r="U19" s="2"/>
      <c r="V19" s="19"/>
      <c r="W19" s="2"/>
      <c r="X19" s="2">
        <f t="shared" si="2"/>
        <v>-100.85999999999999</v>
      </c>
      <c r="Y19" s="2"/>
      <c r="Z19" s="19">
        <f t="shared" si="3"/>
        <v>-0.71653878942881499</v>
      </c>
    </row>
    <row r="20" spans="1:26" s="24" customFormat="1" hidden="1" outlineLevel="1" x14ac:dyDescent="0.25">
      <c r="A20" s="44"/>
      <c r="B20" s="11" t="str">
        <f>CONCATENATE("          ", "4014", " - ", "TAXABLE SALES-REMAINDERS")</f>
        <v xml:space="preserve">          4014 - TAXABLE SALES-REMAINDERS</v>
      </c>
      <c r="C20" s="11"/>
      <c r="D20" s="2">
        <f>--97.51</f>
        <v>97.51</v>
      </c>
      <c r="E20" s="2"/>
      <c r="F20" s="19"/>
      <c r="G20" s="2"/>
      <c r="H20" s="2">
        <f>--97.44</f>
        <v>97.44</v>
      </c>
      <c r="I20" s="2"/>
      <c r="J20" s="19"/>
      <c r="K20" s="2"/>
      <c r="L20" s="2">
        <f t="shared" si="0"/>
        <v>7.000000000000739E-2</v>
      </c>
      <c r="M20" s="2"/>
      <c r="N20" s="19">
        <f t="shared" si="1"/>
        <v>7.1839080459777703E-4</v>
      </c>
      <c r="O20" s="11"/>
      <c r="P20" s="2">
        <f>--304.44</f>
        <v>304.44</v>
      </c>
      <c r="Q20" s="2"/>
      <c r="R20" s="19"/>
      <c r="S20" s="2"/>
      <c r="T20" s="2">
        <f>--523.09</f>
        <v>523.09</v>
      </c>
      <c r="U20" s="2"/>
      <c r="V20" s="19"/>
      <c r="W20" s="2"/>
      <c r="X20" s="2">
        <f t="shared" si="2"/>
        <v>-218.65000000000003</v>
      </c>
      <c r="Y20" s="2"/>
      <c r="Z20" s="19">
        <f t="shared" si="3"/>
        <v>-0.41799690301860104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--48.87</f>
        <v>48.87</v>
      </c>
      <c r="E21" s="2"/>
      <c r="F21" s="19"/>
      <c r="G21" s="2"/>
      <c r="H21" s="2">
        <f>--696.02</f>
        <v>696.02</v>
      </c>
      <c r="I21" s="2"/>
      <c r="J21" s="19"/>
      <c r="K21" s="2"/>
      <c r="L21" s="2">
        <f t="shared" si="0"/>
        <v>-647.15</v>
      </c>
      <c r="M21" s="2"/>
      <c r="N21" s="19">
        <f t="shared" si="1"/>
        <v>-0.92978650038791988</v>
      </c>
      <c r="O21" s="11"/>
      <c r="P21" s="2">
        <f>--183.89</f>
        <v>183.89</v>
      </c>
      <c r="Q21" s="2"/>
      <c r="R21" s="19"/>
      <c r="S21" s="2"/>
      <c r="T21" s="2">
        <f>--2060.15</f>
        <v>2060.15</v>
      </c>
      <c r="U21" s="2"/>
      <c r="V21" s="19"/>
      <c r="W21" s="2"/>
      <c r="X21" s="2">
        <f t="shared" si="2"/>
        <v>-1876.2600000000002</v>
      </c>
      <c r="Y21" s="2"/>
      <c r="Z21" s="19">
        <f t="shared" si="3"/>
        <v>-0.91073950925903457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--18824.16</f>
        <v>18824.16</v>
      </c>
      <c r="E22" s="2"/>
      <c r="F22" s="19"/>
      <c r="G22" s="2"/>
      <c r="H22" s="2">
        <f>--27999.53</f>
        <v>27999.53</v>
      </c>
      <c r="I22" s="2"/>
      <c r="J22" s="19"/>
      <c r="K22" s="2"/>
      <c r="L22" s="2">
        <f t="shared" si="0"/>
        <v>-9175.369999999999</v>
      </c>
      <c r="M22" s="2"/>
      <c r="N22" s="19">
        <f t="shared" si="1"/>
        <v>-0.32769728634730655</v>
      </c>
      <c r="O22" s="11"/>
      <c r="P22" s="2">
        <f>--70404.84</f>
        <v>70404.84</v>
      </c>
      <c r="Q22" s="2"/>
      <c r="R22" s="19"/>
      <c r="S22" s="2"/>
      <c r="T22" s="2">
        <f>--83892.55</f>
        <v>83892.55</v>
      </c>
      <c r="U22" s="2"/>
      <c r="V22" s="19"/>
      <c r="W22" s="2"/>
      <c r="X22" s="2">
        <f t="shared" si="2"/>
        <v>-13487.710000000006</v>
      </c>
      <c r="Y22" s="2"/>
      <c r="Z22" s="19">
        <f t="shared" si="3"/>
        <v>-0.16077363246200058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--8807.08</f>
        <v>8807.08</v>
      </c>
      <c r="E23" s="2"/>
      <c r="F23" s="19"/>
      <c r="G23" s="2"/>
      <c r="H23" s="2">
        <f>--3969.18</f>
        <v>3969.18</v>
      </c>
      <c r="I23" s="2"/>
      <c r="J23" s="19"/>
      <c r="K23" s="2"/>
      <c r="L23" s="2">
        <f t="shared" si="0"/>
        <v>4837.8999999999996</v>
      </c>
      <c r="M23" s="2"/>
      <c r="N23" s="19">
        <f t="shared" si="1"/>
        <v>1.2188663653449832</v>
      </c>
      <c r="O23" s="11"/>
      <c r="P23" s="2">
        <f>--30370.82</f>
        <v>30370.82</v>
      </c>
      <c r="Q23" s="2"/>
      <c r="R23" s="19"/>
      <c r="S23" s="2"/>
      <c r="T23" s="2">
        <f>--36443.51</f>
        <v>36443.51</v>
      </c>
      <c r="U23" s="2"/>
      <c r="V23" s="19"/>
      <c r="W23" s="2"/>
      <c r="X23" s="2">
        <f t="shared" si="2"/>
        <v>-6072.6900000000023</v>
      </c>
      <c r="Y23" s="2"/>
      <c r="Z23" s="19">
        <f t="shared" si="3"/>
        <v>-0.16663296153416621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--284.97</f>
        <v>284.97000000000003</v>
      </c>
      <c r="E24" s="2"/>
      <c r="F24" s="19"/>
      <c r="G24" s="2"/>
      <c r="H24" s="2">
        <f>-144.99</f>
        <v>-144.99</v>
      </c>
      <c r="I24" s="2"/>
      <c r="J24" s="19"/>
      <c r="K24" s="2"/>
      <c r="L24" s="2">
        <f t="shared" si="0"/>
        <v>429.96000000000004</v>
      </c>
      <c r="M24" s="2"/>
      <c r="N24" s="19">
        <f t="shared" si="1"/>
        <v>-2.9654458928201946</v>
      </c>
      <c r="O24" s="11"/>
      <c r="P24" s="2">
        <f>--284.97</f>
        <v>284.97000000000003</v>
      </c>
      <c r="Q24" s="2"/>
      <c r="R24" s="19"/>
      <c r="S24" s="2"/>
      <c r="T24" s="2">
        <f>--329.98</f>
        <v>329.98</v>
      </c>
      <c r="U24" s="2"/>
      <c r="V24" s="19"/>
      <c r="W24" s="2"/>
      <c r="X24" s="2">
        <f t="shared" si="2"/>
        <v>-45.009999999999991</v>
      </c>
      <c r="Y24" s="2"/>
      <c r="Z24" s="19">
        <f t="shared" si="3"/>
        <v>-0.13640220619431478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--73817.67</f>
        <v>73817.67</v>
      </c>
      <c r="E25" s="2"/>
      <c r="F25" s="19"/>
      <c r="G25" s="2"/>
      <c r="H25" s="2">
        <f>--59065.75</f>
        <v>59065.75</v>
      </c>
      <c r="I25" s="2"/>
      <c r="J25" s="19"/>
      <c r="K25" s="2"/>
      <c r="L25" s="2">
        <f t="shared" si="0"/>
        <v>14751.919999999998</v>
      </c>
      <c r="M25" s="2"/>
      <c r="N25" s="19">
        <f t="shared" si="1"/>
        <v>0.24975421458290123</v>
      </c>
      <c r="O25" s="11"/>
      <c r="P25" s="2">
        <f>--286707.85</f>
        <v>286707.84999999998</v>
      </c>
      <c r="Q25" s="2"/>
      <c r="R25" s="19"/>
      <c r="S25" s="2"/>
      <c r="T25" s="2">
        <f>--318933.82</f>
        <v>318933.82</v>
      </c>
      <c r="U25" s="2"/>
      <c r="V25" s="19"/>
      <c r="W25" s="2"/>
      <c r="X25" s="2">
        <f t="shared" si="2"/>
        <v>-32225.97000000003</v>
      </c>
      <c r="Y25" s="2"/>
      <c r="Z25" s="19">
        <f t="shared" si="3"/>
        <v>-0.10104281195390326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 t="shared" ref="D26:D27" si="5">0</f>
        <v>0</v>
      </c>
      <c r="E26" s="2"/>
      <c r="F26" s="19"/>
      <c r="G26" s="2"/>
      <c r="H26" s="2">
        <f>--594.06</f>
        <v>594.05999999999995</v>
      </c>
      <c r="I26" s="2"/>
      <c r="J26" s="19"/>
      <c r="K26" s="2"/>
      <c r="L26" s="2">
        <f t="shared" si="0"/>
        <v>-594.05999999999995</v>
      </c>
      <c r="M26" s="2"/>
      <c r="N26" s="19">
        <f t="shared" si="1"/>
        <v>-1</v>
      </c>
      <c r="O26" s="11"/>
      <c r="P26" s="2">
        <f t="shared" ref="P26:P27" si="6">0</f>
        <v>0</v>
      </c>
      <c r="Q26" s="2"/>
      <c r="R26" s="19"/>
      <c r="S26" s="2"/>
      <c r="T26" s="2">
        <f>--6342.17</f>
        <v>6342.17</v>
      </c>
      <c r="U26" s="2"/>
      <c r="V26" s="19"/>
      <c r="W26" s="2"/>
      <c r="X26" s="2">
        <f t="shared" si="2"/>
        <v>-6342.17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si="5"/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6"/>
        <v>0</v>
      </c>
      <c r="Q27" s="2"/>
      <c r="R27" s="19"/>
      <c r="S27" s="2"/>
      <c r="T27" s="2">
        <f>--1146.72</f>
        <v>1146.72</v>
      </c>
      <c r="U27" s="2"/>
      <c r="V27" s="19"/>
      <c r="W27" s="2"/>
      <c r="X27" s="2">
        <f t="shared" si="2"/>
        <v>-1146.72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--6.5</f>
        <v>6.5</v>
      </c>
      <c r="E28" s="2"/>
      <c r="F28" s="19"/>
      <c r="G28" s="2"/>
      <c r="H28" s="2">
        <f>--6.95</f>
        <v>6.95</v>
      </c>
      <c r="I28" s="2"/>
      <c r="J28" s="19"/>
      <c r="K28" s="2"/>
      <c r="L28" s="2">
        <f t="shared" si="0"/>
        <v>-0.45000000000000018</v>
      </c>
      <c r="M28" s="2"/>
      <c r="N28" s="19">
        <f t="shared" si="1"/>
        <v>-6.4748201438848949E-2</v>
      </c>
      <c r="O28" s="11"/>
      <c r="P28" s="2">
        <f>--108.33</f>
        <v>108.33</v>
      </c>
      <c r="Q28" s="2"/>
      <c r="R28" s="19"/>
      <c r="S28" s="2"/>
      <c r="T28" s="2">
        <f>--20.92</f>
        <v>20.92</v>
      </c>
      <c r="U28" s="2"/>
      <c r="V28" s="19"/>
      <c r="W28" s="2"/>
      <c r="X28" s="2">
        <f t="shared" si="2"/>
        <v>87.41</v>
      </c>
      <c r="Y28" s="2"/>
      <c r="Z28" s="19">
        <f t="shared" si="3"/>
        <v>4.1782982791586996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-13393.2</f>
        <v>-13393.2</v>
      </c>
      <c r="E29" s="2"/>
      <c r="F29" s="19"/>
      <c r="G29" s="2"/>
      <c r="H29" s="2">
        <f>-14069.34</f>
        <v>-14069.34</v>
      </c>
      <c r="I29" s="2"/>
      <c r="J29" s="19"/>
      <c r="K29" s="2"/>
      <c r="L29" s="2">
        <f t="shared" si="0"/>
        <v>676.13999999999942</v>
      </c>
      <c r="M29" s="2"/>
      <c r="N29" s="19">
        <f t="shared" si="1"/>
        <v>-4.8057691405566955E-2</v>
      </c>
      <c r="O29" s="11"/>
      <c r="P29" s="2">
        <f>-32248.99</f>
        <v>-32248.99</v>
      </c>
      <c r="Q29" s="2"/>
      <c r="R29" s="19"/>
      <c r="S29" s="2"/>
      <c r="T29" s="2">
        <f>-73239.75</f>
        <v>-73239.75</v>
      </c>
      <c r="U29" s="2"/>
      <c r="V29" s="19"/>
      <c r="W29" s="2"/>
      <c r="X29" s="2">
        <f t="shared" si="2"/>
        <v>40990.759999999995</v>
      </c>
      <c r="Y29" s="2"/>
      <c r="Z29" s="19">
        <f t="shared" si="3"/>
        <v>-0.55967913598831232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-1345.2</f>
        <v>-1345.2</v>
      </c>
      <c r="E30" s="2"/>
      <c r="F30" s="19"/>
      <c r="G30" s="2"/>
      <c r="H30" s="2">
        <f>-2096.65</f>
        <v>-2096.65</v>
      </c>
      <c r="I30" s="2"/>
      <c r="J30" s="19"/>
      <c r="K30" s="2"/>
      <c r="L30" s="2">
        <f t="shared" si="0"/>
        <v>751.45</v>
      </c>
      <c r="M30" s="2"/>
      <c r="N30" s="19">
        <f t="shared" si="1"/>
        <v>-0.35840507476212052</v>
      </c>
      <c r="O30" s="11"/>
      <c r="P30" s="2">
        <f>-10392.95</f>
        <v>-10392.950000000001</v>
      </c>
      <c r="Q30" s="2"/>
      <c r="R30" s="19"/>
      <c r="S30" s="2"/>
      <c r="T30" s="2">
        <f>-23351.1</f>
        <v>-23351.1</v>
      </c>
      <c r="U30" s="2"/>
      <c r="V30" s="19"/>
      <c r="W30" s="2"/>
      <c r="X30" s="2">
        <f t="shared" si="2"/>
        <v>12958.149999999998</v>
      </c>
      <c r="Y30" s="2"/>
      <c r="Z30" s="19">
        <f t="shared" si="3"/>
        <v>-0.55492674863282665</v>
      </c>
    </row>
    <row r="31" spans="1:26" s="24" customFormat="1" hidden="1" outlineLevel="1" x14ac:dyDescent="0.25">
      <c r="A31" s="44"/>
      <c r="B31" s="11" t="str">
        <f>CONCATENATE("          ", "4203", " - ", "SALES RETURN TAXABLE-RENTAL TE")</f>
        <v xml:space="preserve">          4203 - SALES RETURN TAXABLE-RENTAL TE</v>
      </c>
      <c r="C31" s="11"/>
      <c r="D31" s="2">
        <f>0</f>
        <v>0</v>
      </c>
      <c r="E31" s="2"/>
      <c r="F31" s="19"/>
      <c r="G31" s="2"/>
      <c r="H31" s="2">
        <f>-144.99</f>
        <v>-144.99</v>
      </c>
      <c r="I31" s="2"/>
      <c r="J31" s="19"/>
      <c r="K31" s="2"/>
      <c r="L31" s="2">
        <f t="shared" si="0"/>
        <v>144.99</v>
      </c>
      <c r="M31" s="2"/>
      <c r="N31" s="19">
        <f t="shared" si="1"/>
        <v>-1</v>
      </c>
      <c r="O31" s="11"/>
      <c r="P31" s="2">
        <f>0</f>
        <v>0</v>
      </c>
      <c r="Q31" s="2"/>
      <c r="R31" s="19"/>
      <c r="S31" s="2"/>
      <c r="T31" s="2">
        <f>-144.99</f>
        <v>-144.99</v>
      </c>
      <c r="U31" s="2"/>
      <c r="V31" s="19"/>
      <c r="W31" s="2"/>
      <c r="X31" s="2">
        <f t="shared" si="2"/>
        <v>144.99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"4204", " - ", "SALES RETURN TAXABLE-DIGITAL T")</f>
        <v xml:space="preserve">          4204 - SALES RETURN TAXABLE-DIGITAL T</v>
      </c>
      <c r="C32" s="11"/>
      <c r="D32" s="2">
        <f>-105.87</f>
        <v>-105.87</v>
      </c>
      <c r="E32" s="2"/>
      <c r="F32" s="19"/>
      <c r="G32" s="2"/>
      <c r="H32" s="2">
        <f>-4208.35</f>
        <v>-4208.3500000000004</v>
      </c>
      <c r="I32" s="2"/>
      <c r="J32" s="19"/>
      <c r="K32" s="2"/>
      <c r="L32" s="2">
        <f t="shared" si="0"/>
        <v>4102.4800000000005</v>
      </c>
      <c r="M32" s="2"/>
      <c r="N32" s="19">
        <f t="shared" si="1"/>
        <v>-0.97484287190941821</v>
      </c>
      <c r="O32" s="11"/>
      <c r="P32" s="2">
        <f>-1246.95</f>
        <v>-1246.95</v>
      </c>
      <c r="Q32" s="2"/>
      <c r="R32" s="19"/>
      <c r="S32" s="2"/>
      <c r="T32" s="2">
        <f>-11056.72</f>
        <v>-11056.72</v>
      </c>
      <c r="U32" s="2"/>
      <c r="V32" s="19"/>
      <c r="W32" s="2"/>
      <c r="X32" s="2">
        <f t="shared" si="2"/>
        <v>9809.7699999999986</v>
      </c>
      <c r="Y32" s="2"/>
      <c r="Z32" s="19">
        <f t="shared" si="3"/>
        <v>-0.88722243124543254</v>
      </c>
    </row>
    <row r="33" spans="1:26" s="24" customFormat="1" hidden="1" outlineLevel="1" x14ac:dyDescent="0.25">
      <c r="A33" s="44"/>
      <c r="B33" s="11" t="str">
        <f>CONCATENATE("          ", "4218", " - ", "SALES RETURN TAXABLE-STUDY GUI")</f>
        <v xml:space="preserve">          4218 - SALES RETURN TAXABLE-STUDY GUI</v>
      </c>
      <c r="C33" s="11"/>
      <c r="D33" s="2">
        <f>0</f>
        <v>0</v>
      </c>
      <c r="E33" s="2"/>
      <c r="F33" s="19"/>
      <c r="G33" s="2"/>
      <c r="H33" s="2">
        <f>-5.95</f>
        <v>-5.95</v>
      </c>
      <c r="I33" s="2"/>
      <c r="J33" s="19"/>
      <c r="K33" s="2"/>
      <c r="L33" s="2">
        <f t="shared" si="0"/>
        <v>5.95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f>-32.75</f>
        <v>-32.75</v>
      </c>
      <c r="U33" s="2"/>
      <c r="V33" s="19"/>
      <c r="W33" s="2"/>
      <c r="X33" s="2">
        <f t="shared" si="2"/>
        <v>32.75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"4301", " - ", "SALES RETURN NON TAXABLE-NEW T")</f>
        <v xml:space="preserve">          4301 - SALES RETURN NON TAXABLE-NEW T</v>
      </c>
      <c r="C34" s="11"/>
      <c r="D34" s="2">
        <f>-1820.43</f>
        <v>-1820.43</v>
      </c>
      <c r="E34" s="2"/>
      <c r="F34" s="19"/>
      <c r="G34" s="2"/>
      <c r="H34" s="2">
        <f>-3805.44</f>
        <v>-3805.44</v>
      </c>
      <c r="I34" s="2"/>
      <c r="J34" s="19"/>
      <c r="K34" s="2"/>
      <c r="L34" s="2">
        <f t="shared" si="0"/>
        <v>1985.01</v>
      </c>
      <c r="M34" s="2"/>
      <c r="N34" s="19">
        <f t="shared" si="1"/>
        <v>-0.52162430625630674</v>
      </c>
      <c r="O34" s="11"/>
      <c r="P34" s="2">
        <f>-1840.68</f>
        <v>-1840.68</v>
      </c>
      <c r="Q34" s="2"/>
      <c r="R34" s="19"/>
      <c r="S34" s="2"/>
      <c r="T34" s="2">
        <f>-6725.22</f>
        <v>-6725.22</v>
      </c>
      <c r="U34" s="2"/>
      <c r="V34" s="19"/>
      <c r="W34" s="2"/>
      <c r="X34" s="2">
        <f t="shared" si="2"/>
        <v>4884.54</v>
      </c>
      <c r="Y34" s="2"/>
      <c r="Z34" s="19">
        <f t="shared" si="3"/>
        <v>-0.72630189049577554</v>
      </c>
    </row>
    <row r="35" spans="1:26" s="24" customFormat="1" hidden="1" outlineLevel="1" x14ac:dyDescent="0.25">
      <c r="A35" s="44"/>
      <c r="B35" s="11" t="str">
        <f>CONCATENATE("          ", "4302", " - ", "SALES RETURN NON TAXABLE-TEXT")</f>
        <v xml:space="preserve">          4302 - SALES RETURN NON TAXABLE-TEXT</v>
      </c>
      <c r="C35" s="11"/>
      <c r="D35" s="2">
        <f>-737.24</f>
        <v>-737.24</v>
      </c>
      <c r="E35" s="2"/>
      <c r="F35" s="19"/>
      <c r="G35" s="2"/>
      <c r="H35" s="2">
        <f>-398.45</f>
        <v>-398.45</v>
      </c>
      <c r="I35" s="2"/>
      <c r="J35" s="19"/>
      <c r="K35" s="2"/>
      <c r="L35" s="2">
        <f t="shared" si="0"/>
        <v>-338.79</v>
      </c>
      <c r="M35" s="2"/>
      <c r="N35" s="19">
        <f t="shared" si="1"/>
        <v>0.85026979545739745</v>
      </c>
      <c r="O35" s="11"/>
      <c r="P35" s="2">
        <f>-1147.08</f>
        <v>-1147.08</v>
      </c>
      <c r="Q35" s="2"/>
      <c r="R35" s="19"/>
      <c r="S35" s="2"/>
      <c r="T35" s="2">
        <f>-648.7</f>
        <v>-648.70000000000005</v>
      </c>
      <c r="U35" s="2"/>
      <c r="V35" s="19"/>
      <c r="W35" s="2"/>
      <c r="X35" s="2">
        <f t="shared" si="2"/>
        <v>-498.37999999999988</v>
      </c>
      <c r="Y35" s="2"/>
      <c r="Z35" s="19">
        <f t="shared" si="3"/>
        <v>0.76827501156158451</v>
      </c>
    </row>
    <row r="36" spans="1:26" s="24" customFormat="1" hidden="1" outlineLevel="1" x14ac:dyDescent="0.25">
      <c r="A36" s="44"/>
      <c r="B36" s="11" t="str">
        <f>CONCATENATE("          ", "4303", " - ", "SALES RETURN NON-TAXABLE-RENTA")</f>
        <v xml:space="preserve">          4303 - SALES RETURN NON-TAXABLE-RENTA</v>
      </c>
      <c r="C36" s="11"/>
      <c r="D36" s="2">
        <f>0</f>
        <v>0</v>
      </c>
      <c r="E36" s="2"/>
      <c r="F36" s="19"/>
      <c r="G36" s="2"/>
      <c r="H36" s="2">
        <f>-184.99</f>
        <v>-184.99</v>
      </c>
      <c r="I36" s="2"/>
      <c r="J36" s="19"/>
      <c r="K36" s="2"/>
      <c r="L36" s="2">
        <f t="shared" si="0"/>
        <v>184.99</v>
      </c>
      <c r="M36" s="2"/>
      <c r="N36" s="19">
        <f t="shared" si="1"/>
        <v>-1</v>
      </c>
      <c r="O36" s="11"/>
      <c r="P36" s="2">
        <f>0</f>
        <v>0</v>
      </c>
      <c r="Q36" s="2"/>
      <c r="R36" s="19"/>
      <c r="S36" s="2"/>
      <c r="T36" s="2">
        <f>-184.99</f>
        <v>-184.99</v>
      </c>
      <c r="U36" s="2"/>
      <c r="V36" s="19"/>
      <c r="W36" s="2"/>
      <c r="X36" s="2">
        <f t="shared" si="2"/>
        <v>184.99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"4304", " - ", "SALES RETURN NON TAXABLE-DIGIT")</f>
        <v xml:space="preserve">          4304 - SALES RETURN NON TAXABLE-DIGIT</v>
      </c>
      <c r="C37" s="11"/>
      <c r="D37" s="2">
        <f>-7456.63</f>
        <v>-7456.63</v>
      </c>
      <c r="E37" s="2"/>
      <c r="F37" s="19"/>
      <c r="G37" s="2"/>
      <c r="H37" s="2">
        <f>-4048.76</f>
        <v>-4048.76</v>
      </c>
      <c r="I37" s="2"/>
      <c r="J37" s="19"/>
      <c r="K37" s="2"/>
      <c r="L37" s="2">
        <f t="shared" si="0"/>
        <v>-3407.87</v>
      </c>
      <c r="M37" s="2"/>
      <c r="N37" s="19">
        <f t="shared" si="1"/>
        <v>0.84170709056600035</v>
      </c>
      <c r="O37" s="11"/>
      <c r="P37" s="2">
        <f>-13409.36</f>
        <v>-13409.36</v>
      </c>
      <c r="Q37" s="2"/>
      <c r="R37" s="19"/>
      <c r="S37" s="2"/>
      <c r="T37" s="2">
        <f>-12515.31</f>
        <v>-12515.31</v>
      </c>
      <c r="U37" s="2"/>
      <c r="V37" s="19"/>
      <c r="W37" s="2"/>
      <c r="X37" s="2">
        <f t="shared" si="2"/>
        <v>-894.05000000000109</v>
      </c>
      <c r="Y37" s="2"/>
      <c r="Z37" s="19">
        <f t="shared" si="3"/>
        <v>7.1436504569203724E-2</v>
      </c>
    </row>
    <row r="38" spans="1:26" s="24" customFormat="1" hidden="1" outlineLevel="1" x14ac:dyDescent="0.25">
      <c r="A38" s="44"/>
      <c r="B38" s="11" t="str">
        <f>CONCATENATE("          ", "4311", " - ", "SALES RETURN NON TAXABLE-NO VA")</f>
        <v xml:space="preserve">          4311 - SALES RETURN NON TAXABLE-NO VA</v>
      </c>
      <c r="C38" s="11"/>
      <c r="D38" s="2">
        <f>0</f>
        <v>0</v>
      </c>
      <c r="E38" s="2"/>
      <c r="F38" s="19"/>
      <c r="G38" s="2"/>
      <c r="H38" s="2">
        <f>-276.9</f>
        <v>-276.89999999999998</v>
      </c>
      <c r="I38" s="2"/>
      <c r="J38" s="19"/>
      <c r="K38" s="2"/>
      <c r="L38" s="2">
        <f t="shared" si="0"/>
        <v>276.89999999999998</v>
      </c>
      <c r="M38" s="2"/>
      <c r="N38" s="19">
        <f t="shared" si="1"/>
        <v>-1</v>
      </c>
      <c r="O38" s="11"/>
      <c r="P38" s="2">
        <f>0</f>
        <v>0</v>
      </c>
      <c r="Q38" s="2"/>
      <c r="R38" s="19"/>
      <c r="S38" s="2"/>
      <c r="T38" s="2">
        <f>-387.94</f>
        <v>-387.94</v>
      </c>
      <c r="U38" s="2"/>
      <c r="V38" s="19"/>
      <c r="W38" s="2"/>
      <c r="X38" s="2">
        <f t="shared" si="2"/>
        <v>387.94</v>
      </c>
      <c r="Y38" s="2"/>
      <c r="Z38" s="19">
        <f t="shared" si="3"/>
        <v>-1</v>
      </c>
    </row>
    <row r="39" spans="1:26" x14ac:dyDescent="0.25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collapsed="1" x14ac:dyDescent="0.25">
      <c r="A40" s="10"/>
      <c r="B40" s="26" t="s">
        <v>8</v>
      </c>
      <c r="C40" s="10"/>
      <c r="D40" s="4">
        <f>SUM(OSRRefD16x_0)</f>
        <v>130512.99999999991</v>
      </c>
      <c r="E40" s="4"/>
      <c r="F40" s="12">
        <f t="shared" ref="F40:F53" si="7">IF(D$12=0,0,D40/D$12)</f>
        <v>0.69057880825272133</v>
      </c>
      <c r="G40" s="4"/>
      <c r="H40" s="4">
        <f>SUM(OSRRefH16x_0)</f>
        <v>290959.48999999993</v>
      </c>
      <c r="I40" s="4"/>
      <c r="J40" s="12">
        <f t="shared" ref="J40:J53" si="8">IF(H$12=0,0,H40/H$12)</f>
        <v>0.73748521814288792</v>
      </c>
      <c r="K40" s="4"/>
      <c r="L40" s="4">
        <f t="shared" ref="L40:L53" si="9">+D40-H40</f>
        <v>-160446.49000000002</v>
      </c>
      <c r="M40" s="4"/>
      <c r="N40" s="12">
        <f t="shared" ref="N40:N53" si="10">IF(H40=0,0,L40/H40)</f>
        <v>-0.5514392742439852</v>
      </c>
      <c r="O40" s="10"/>
      <c r="P40" s="4">
        <f>SUM(OSRRefP16x_0)</f>
        <v>737968.99999999953</v>
      </c>
      <c r="Q40" s="4"/>
      <c r="R40" s="12">
        <f t="shared" ref="R40:R53" si="11">IF(P$12=0,0,P40/P$12)</f>
        <v>0.70700812442026206</v>
      </c>
      <c r="S40" s="4"/>
      <c r="T40" s="4">
        <f>SUM(OSRRefT16x_0)</f>
        <v>1393880.9000000001</v>
      </c>
      <c r="U40" s="4"/>
      <c r="V40" s="12">
        <f t="shared" ref="V40:V53" si="12">IF(T$12=0,0,T40/T$12)</f>
        <v>0.72233777763972395</v>
      </c>
      <c r="W40" s="4"/>
      <c r="X40" s="4">
        <f t="shared" ref="X40:X53" si="13">+P40-T40</f>
        <v>-655911.90000000061</v>
      </c>
      <c r="Y40" s="4"/>
      <c r="Z40" s="12">
        <f t="shared" ref="Z40:Z53" si="14">IF(T40=0,0,X40/T40)</f>
        <v>-0.47056523982787951</v>
      </c>
    </row>
    <row r="41" spans="1:26" s="24" customFormat="1" hidden="1" outlineLevel="1" x14ac:dyDescent="0.25">
      <c r="A41" s="44"/>
      <c r="B41" s="11" t="str">
        <f>CONCATENATE("          ", "5001", " - ", "PURCHASES @ COST-NEW TEXT")</f>
        <v xml:space="preserve">          5001 - PURCHASES @ COST-NEW TEXT</v>
      </c>
      <c r="C41" s="11"/>
      <c r="D41" s="2">
        <v>575285.49</v>
      </c>
      <c r="E41" s="2"/>
      <c r="F41" s="19">
        <f t="shared" si="7"/>
        <v>3.0439877107206419</v>
      </c>
      <c r="G41" s="2"/>
      <c r="H41" s="2">
        <v>20162.849999999999</v>
      </c>
      <c r="I41" s="2"/>
      <c r="J41" s="19">
        <f t="shared" si="8"/>
        <v>5.1106096696252566E-2</v>
      </c>
      <c r="K41" s="2"/>
      <c r="L41" s="2">
        <f t="shared" si="9"/>
        <v>555122.64</v>
      </c>
      <c r="M41" s="2"/>
      <c r="N41" s="19">
        <f t="shared" si="10"/>
        <v>27.531953072110344</v>
      </c>
      <c r="O41" s="11"/>
      <c r="P41" s="2">
        <v>1090229.3999999999</v>
      </c>
      <c r="Q41" s="2"/>
      <c r="R41" s="19">
        <f t="shared" si="11"/>
        <v>1.0444897323354072</v>
      </c>
      <c r="S41" s="2"/>
      <c r="T41" s="2">
        <v>1629693.45</v>
      </c>
      <c r="U41" s="2"/>
      <c r="V41" s="19">
        <f t="shared" si="12"/>
        <v>0.84454069562687484</v>
      </c>
      <c r="W41" s="2"/>
      <c r="X41" s="2">
        <f t="shared" si="13"/>
        <v>-539464.05000000005</v>
      </c>
      <c r="Y41" s="2"/>
      <c r="Z41" s="19">
        <f t="shared" si="14"/>
        <v>-0.33102179431352569</v>
      </c>
    </row>
    <row r="42" spans="1:26" s="24" customFormat="1" hidden="1" outlineLevel="1" x14ac:dyDescent="0.25">
      <c r="A42" s="44"/>
      <c r="B42" s="11" t="str">
        <f>CONCATENATE("          ", "5002", " - ", "PURCHASES @ COST-USED TEXT")</f>
        <v xml:space="preserve">          5002 - PURCHASES @ COST-USED TEXT</v>
      </c>
      <c r="C42" s="11"/>
      <c r="D42" s="2">
        <v>108363.86</v>
      </c>
      <c r="E42" s="2"/>
      <c r="F42" s="19">
        <f t="shared" si="7"/>
        <v>0.57338184929060554</v>
      </c>
      <c r="G42" s="2"/>
      <c r="H42" s="2">
        <v>-36079.68</v>
      </c>
      <c r="I42" s="2"/>
      <c r="J42" s="19">
        <f t="shared" si="8"/>
        <v>-9.1449949528457031E-2</v>
      </c>
      <c r="K42" s="2"/>
      <c r="L42" s="2">
        <f t="shared" si="9"/>
        <v>144443.54</v>
      </c>
      <c r="M42" s="2"/>
      <c r="N42" s="19">
        <f t="shared" si="10"/>
        <v>-4.0034595650515747</v>
      </c>
      <c r="O42" s="11"/>
      <c r="P42" s="2">
        <v>157396.90000000002</v>
      </c>
      <c r="Q42" s="2"/>
      <c r="R42" s="19">
        <f t="shared" si="11"/>
        <v>0.15079344397740777</v>
      </c>
      <c r="S42" s="2"/>
      <c r="T42" s="2">
        <v>-17591.89</v>
      </c>
      <c r="U42" s="2"/>
      <c r="V42" s="19">
        <f t="shared" si="12"/>
        <v>-9.1164795550914574E-3</v>
      </c>
      <c r="W42" s="2"/>
      <c r="X42" s="2">
        <f t="shared" si="13"/>
        <v>174988.79000000004</v>
      </c>
      <c r="Y42" s="2"/>
      <c r="Z42" s="19">
        <f t="shared" si="14"/>
        <v>-9.9471284779520595</v>
      </c>
    </row>
    <row r="43" spans="1:26" s="24" customFormat="1" hidden="1" outlineLevel="1" x14ac:dyDescent="0.25">
      <c r="A43" s="44"/>
      <c r="B43" s="11" t="str">
        <f>CONCATENATE("          ", "5003", " - ", "PURCHASES @ COST-RENTAL TEXT")</f>
        <v xml:space="preserve">          5003 - PURCHASES @ COST-RENTAL TEXT</v>
      </c>
      <c r="C43" s="11"/>
      <c r="D43" s="2">
        <v>781.74</v>
      </c>
      <c r="E43" s="2"/>
      <c r="F43" s="19">
        <f t="shared" si="7"/>
        <v>4.1363931375685394E-3</v>
      </c>
      <c r="G43" s="2"/>
      <c r="H43" s="2"/>
      <c r="I43" s="2"/>
      <c r="J43" s="19">
        <f t="shared" si="8"/>
        <v>0</v>
      </c>
      <c r="K43" s="2"/>
      <c r="L43" s="2">
        <f t="shared" si="9"/>
        <v>781.74</v>
      </c>
      <c r="M43" s="2"/>
      <c r="N43" s="19">
        <f t="shared" si="10"/>
        <v>0</v>
      </c>
      <c r="O43" s="11"/>
      <c r="P43" s="2">
        <v>-11086.1</v>
      </c>
      <c r="Q43" s="2"/>
      <c r="R43" s="19">
        <f t="shared" si="11"/>
        <v>-1.062099189550709E-2</v>
      </c>
      <c r="S43" s="2"/>
      <c r="T43" s="2">
        <v>-78.400000000000006</v>
      </c>
      <c r="U43" s="2"/>
      <c r="V43" s="19">
        <f t="shared" si="12"/>
        <v>-4.0628493988944359E-5</v>
      </c>
      <c r="W43" s="2"/>
      <c r="X43" s="2">
        <f t="shared" si="13"/>
        <v>-11007.7</v>
      </c>
      <c r="Y43" s="2"/>
      <c r="Z43" s="19">
        <f t="shared" si="14"/>
        <v>140.40433673469389</v>
      </c>
    </row>
    <row r="44" spans="1:26" s="24" customFormat="1" hidden="1" outlineLevel="1" x14ac:dyDescent="0.25">
      <c r="A44" s="44"/>
      <c r="B44" s="11" t="str">
        <f>CONCATENATE("          ", "5004", " - ", "PURCHASES @ COST-DIGITAL TEXT")</f>
        <v xml:space="preserve">          5004 - PURCHASES @ COST-DIGITAL TEXT</v>
      </c>
      <c r="C44" s="11"/>
      <c r="D44" s="2">
        <v>60186.1</v>
      </c>
      <c r="E44" s="2"/>
      <c r="F44" s="19">
        <f t="shared" si="7"/>
        <v>0.31846057642824194</v>
      </c>
      <c r="G44" s="2"/>
      <c r="H44" s="2">
        <v>50761.9</v>
      </c>
      <c r="I44" s="2"/>
      <c r="J44" s="19">
        <f t="shared" si="8"/>
        <v>0.12866447798230424</v>
      </c>
      <c r="K44" s="2"/>
      <c r="L44" s="2">
        <f t="shared" si="9"/>
        <v>9424.1999999999971</v>
      </c>
      <c r="M44" s="2"/>
      <c r="N44" s="19">
        <f t="shared" si="10"/>
        <v>0.18565498927345109</v>
      </c>
      <c r="O44" s="11"/>
      <c r="P44" s="2">
        <v>182616.07</v>
      </c>
      <c r="Q44" s="2"/>
      <c r="R44" s="19">
        <f t="shared" si="11"/>
        <v>0.17495456467642864</v>
      </c>
      <c r="S44" s="2"/>
      <c r="T44" s="2">
        <v>353728.39</v>
      </c>
      <c r="U44" s="2"/>
      <c r="V44" s="19">
        <f t="shared" si="12"/>
        <v>0.18330933376063732</v>
      </c>
      <c r="W44" s="2"/>
      <c r="X44" s="2">
        <f t="shared" si="13"/>
        <v>-171112.32000000001</v>
      </c>
      <c r="Y44" s="2"/>
      <c r="Z44" s="19">
        <f t="shared" si="14"/>
        <v>-0.48373928934570393</v>
      </c>
    </row>
    <row r="45" spans="1:26" s="24" customFormat="1" hidden="1" outlineLevel="1" x14ac:dyDescent="0.25">
      <c r="A45" s="44"/>
      <c r="B45" s="11" t="str">
        <f>CONCATENATE("          ", "5011", " - ", "PURCHASES @ COST-NO VALUE TEXT")</f>
        <v xml:space="preserve">          5011 - PURCHASES @ COST-NO VALUE TEXT</v>
      </c>
      <c r="C45" s="11"/>
      <c r="D45" s="2"/>
      <c r="E45" s="2"/>
      <c r="F45" s="19">
        <f t="shared" si="7"/>
        <v>0</v>
      </c>
      <c r="G45" s="2"/>
      <c r="H45" s="2">
        <v>2928</v>
      </c>
      <c r="I45" s="2"/>
      <c r="J45" s="19">
        <f t="shared" si="8"/>
        <v>7.4215029684110883E-3</v>
      </c>
      <c r="K45" s="2"/>
      <c r="L45" s="2">
        <f t="shared" si="9"/>
        <v>-2928</v>
      </c>
      <c r="M45" s="2"/>
      <c r="N45" s="19">
        <f t="shared" si="10"/>
        <v>-1</v>
      </c>
      <c r="O45" s="11"/>
      <c r="P45" s="2"/>
      <c r="Q45" s="2"/>
      <c r="R45" s="19">
        <f t="shared" si="11"/>
        <v>0</v>
      </c>
      <c r="S45" s="2"/>
      <c r="T45" s="2">
        <v>3585</v>
      </c>
      <c r="U45" s="2"/>
      <c r="V45" s="19">
        <f t="shared" si="12"/>
        <v>1.8578208029383357E-3</v>
      </c>
      <c r="W45" s="2"/>
      <c r="X45" s="2">
        <f t="shared" si="13"/>
        <v>-3585</v>
      </c>
      <c r="Y45" s="2"/>
      <c r="Z45" s="19">
        <f t="shared" si="14"/>
        <v>-1</v>
      </c>
    </row>
    <row r="46" spans="1:26" s="24" customFormat="1" hidden="1" outlineLevel="1" x14ac:dyDescent="0.25">
      <c r="A46" s="44"/>
      <c r="B46" s="11" t="str">
        <f>CONCATENATE("          ", "5013", " - ", "PURCHASES @ COST-TRADE BOOKS")</f>
        <v xml:space="preserve">          5013 - PURCHASES @ COST-TRADE BOOKS</v>
      </c>
      <c r="C46" s="11"/>
      <c r="D46" s="2">
        <v>-9.36</v>
      </c>
      <c r="E46" s="2"/>
      <c r="F46" s="19">
        <f t="shared" si="7"/>
        <v>-4.9526236047332268E-5</v>
      </c>
      <c r="G46" s="2"/>
      <c r="H46" s="2">
        <v>269.89</v>
      </c>
      <c r="I46" s="2"/>
      <c r="J46" s="19">
        <f t="shared" si="8"/>
        <v>6.8408109157939501E-4</v>
      </c>
      <c r="K46" s="2"/>
      <c r="L46" s="2">
        <f t="shared" si="9"/>
        <v>-279.25</v>
      </c>
      <c r="M46" s="2"/>
      <c r="N46" s="19">
        <f t="shared" si="10"/>
        <v>-1.034680795879803</v>
      </c>
      <c r="O46" s="11"/>
      <c r="P46" s="2">
        <v>99.18</v>
      </c>
      <c r="Q46" s="2"/>
      <c r="R46" s="19">
        <f t="shared" si="11"/>
        <v>9.5018985594248051E-5</v>
      </c>
      <c r="S46" s="2"/>
      <c r="T46" s="2">
        <v>474.79</v>
      </c>
      <c r="U46" s="2"/>
      <c r="V46" s="19">
        <f t="shared" si="12"/>
        <v>2.4604595230881239E-4</v>
      </c>
      <c r="W46" s="2"/>
      <c r="X46" s="2">
        <f t="shared" si="13"/>
        <v>-375.61</v>
      </c>
      <c r="Y46" s="2"/>
      <c r="Z46" s="19">
        <f t="shared" si="14"/>
        <v>-0.79110764759156682</v>
      </c>
    </row>
    <row r="47" spans="1:26" s="24" customFormat="1" hidden="1" outlineLevel="1" x14ac:dyDescent="0.25">
      <c r="A47" s="44"/>
      <c r="B47" s="11" t="str">
        <f>CONCATENATE("          ", "5014", " - ", "PURCHASES @ COST-REMAINDERS")</f>
        <v xml:space="preserve">          5014 - PURCHASES @ COST-REMAINDERS</v>
      </c>
      <c r="C47" s="11"/>
      <c r="D47" s="2"/>
      <c r="E47" s="2"/>
      <c r="F47" s="19">
        <f t="shared" si="7"/>
        <v>0</v>
      </c>
      <c r="G47" s="2"/>
      <c r="H47" s="2">
        <v>55.65</v>
      </c>
      <c r="I47" s="2"/>
      <c r="J47" s="19">
        <f t="shared" si="8"/>
        <v>1.4105418039346893E-4</v>
      </c>
      <c r="K47" s="2"/>
      <c r="L47" s="2">
        <f t="shared" si="9"/>
        <v>-55.65</v>
      </c>
      <c r="M47" s="2"/>
      <c r="N47" s="19">
        <f t="shared" si="10"/>
        <v>-1</v>
      </c>
      <c r="O47" s="11"/>
      <c r="P47" s="2">
        <v>-12.51</v>
      </c>
      <c r="Q47" s="2"/>
      <c r="R47" s="19">
        <f t="shared" si="11"/>
        <v>-1.1985153355354336E-5</v>
      </c>
      <c r="S47" s="2"/>
      <c r="T47" s="2">
        <v>289.97000000000003</v>
      </c>
      <c r="U47" s="2"/>
      <c r="V47" s="19">
        <f t="shared" si="12"/>
        <v>1.5026842349456882E-4</v>
      </c>
      <c r="W47" s="2"/>
      <c r="X47" s="2">
        <f t="shared" si="13"/>
        <v>-302.48</v>
      </c>
      <c r="Y47" s="2"/>
      <c r="Z47" s="19">
        <f t="shared" si="14"/>
        <v>-1.0431423940407627</v>
      </c>
    </row>
    <row r="48" spans="1:26" s="24" customFormat="1" hidden="1" outlineLevel="1" x14ac:dyDescent="0.25">
      <c r="A48" s="44"/>
      <c r="B48" s="11" t="str">
        <f>CONCATENATE("          ", "5018", " - ", "PURCHASES @ COST-STUDY GUIDES")</f>
        <v xml:space="preserve">          5018 - PURCHASES @ COST-STUDY GUIDES</v>
      </c>
      <c r="C48" s="11"/>
      <c r="D48" s="2"/>
      <c r="E48" s="2"/>
      <c r="F48" s="19">
        <f t="shared" si="7"/>
        <v>0</v>
      </c>
      <c r="G48" s="2"/>
      <c r="H48" s="2"/>
      <c r="I48" s="2"/>
      <c r="J48" s="19">
        <f t="shared" si="8"/>
        <v>0</v>
      </c>
      <c r="K48" s="2"/>
      <c r="L48" s="2">
        <f t="shared" si="9"/>
        <v>0</v>
      </c>
      <c r="M48" s="2"/>
      <c r="N48" s="19">
        <f t="shared" si="10"/>
        <v>0</v>
      </c>
      <c r="O48" s="11"/>
      <c r="P48" s="2"/>
      <c r="Q48" s="2"/>
      <c r="R48" s="19">
        <f t="shared" si="11"/>
        <v>0</v>
      </c>
      <c r="S48" s="2"/>
      <c r="T48" s="2">
        <v>503.93</v>
      </c>
      <c r="U48" s="2"/>
      <c r="V48" s="19">
        <f t="shared" si="12"/>
        <v>2.6114690020215216E-4</v>
      </c>
      <c r="W48" s="2"/>
      <c r="X48" s="2">
        <f t="shared" si="13"/>
        <v>-503.93</v>
      </c>
      <c r="Y48" s="2"/>
      <c r="Z48" s="19">
        <f t="shared" si="14"/>
        <v>-1</v>
      </c>
    </row>
    <row r="49" spans="1:26" s="24" customFormat="1" hidden="1" outlineLevel="1" x14ac:dyDescent="0.25">
      <c r="A49" s="44"/>
      <c r="B49" s="11" t="str">
        <f>CONCATENATE("          ", "5200", " - ", "PURCHASES OFFSET")</f>
        <v xml:space="preserve">          5200 - PURCHASES OFFSET</v>
      </c>
      <c r="C49" s="11"/>
      <c r="D49" s="2">
        <v>-757174.69000000006</v>
      </c>
      <c r="E49" s="2"/>
      <c r="F49" s="19">
        <f t="shared" si="7"/>
        <v>-4.0064115839749617</v>
      </c>
      <c r="G49" s="2"/>
      <c r="H49" s="2">
        <v>-53957</v>
      </c>
      <c r="I49" s="2"/>
      <c r="J49" s="19">
        <f t="shared" si="8"/>
        <v>-0.13676299032327771</v>
      </c>
      <c r="K49" s="2"/>
      <c r="L49" s="2">
        <f t="shared" si="9"/>
        <v>-703217.69000000006</v>
      </c>
      <c r="M49" s="2"/>
      <c r="N49" s="19">
        <f t="shared" si="10"/>
        <v>13.032927887021147</v>
      </c>
      <c r="O49" s="11"/>
      <c r="P49" s="2">
        <v>-1438527.6300000001</v>
      </c>
      <c r="Q49" s="2"/>
      <c r="R49" s="19">
        <f t="shared" si="11"/>
        <v>-1.3781753997973158</v>
      </c>
      <c r="S49" s="2"/>
      <c r="T49" s="2">
        <v>-2003459</v>
      </c>
      <c r="U49" s="2"/>
      <c r="V49" s="19">
        <f t="shared" si="12"/>
        <v>-1.0382336981963836</v>
      </c>
      <c r="W49" s="2"/>
      <c r="X49" s="2">
        <f t="shared" si="13"/>
        <v>564931.36999999988</v>
      </c>
      <c r="Y49" s="2"/>
      <c r="Z49" s="19">
        <f t="shared" si="14"/>
        <v>-0.28197800404200929</v>
      </c>
    </row>
    <row r="50" spans="1:26" s="24" customFormat="1" hidden="1" outlineLevel="1" x14ac:dyDescent="0.25">
      <c r="A50" s="44"/>
      <c r="B50" s="11" t="str">
        <f>CONCATENATE("          ", "5300", " - ", "COG$ OFFSET")</f>
        <v xml:space="preserve">          5300 - COG$ OFFSET</v>
      </c>
      <c r="C50" s="11"/>
      <c r="D50" s="2">
        <v>130513</v>
      </c>
      <c r="E50" s="2"/>
      <c r="F50" s="19">
        <f t="shared" si="7"/>
        <v>0.69057880825272189</v>
      </c>
      <c r="G50" s="2"/>
      <c r="H50" s="2">
        <v>290960</v>
      </c>
      <c r="I50" s="2"/>
      <c r="J50" s="19">
        <f t="shared" si="8"/>
        <v>0.73748651082270844</v>
      </c>
      <c r="K50" s="2"/>
      <c r="L50" s="2">
        <f t="shared" si="9"/>
        <v>-160447</v>
      </c>
      <c r="M50" s="2"/>
      <c r="N50" s="19">
        <f t="shared" si="10"/>
        <v>-0.55144006048941441</v>
      </c>
      <c r="O50" s="11"/>
      <c r="P50" s="2">
        <v>737969</v>
      </c>
      <c r="Q50" s="2"/>
      <c r="R50" s="19">
        <f t="shared" si="11"/>
        <v>0.70700812442026251</v>
      </c>
      <c r="S50" s="2"/>
      <c r="T50" s="2">
        <v>1393883</v>
      </c>
      <c r="U50" s="2"/>
      <c r="V50" s="19">
        <f t="shared" si="12"/>
        <v>0.72233886590295571</v>
      </c>
      <c r="W50" s="2"/>
      <c r="X50" s="2">
        <f t="shared" si="13"/>
        <v>-655914</v>
      </c>
      <c r="Y50" s="2"/>
      <c r="Z50" s="19">
        <f t="shared" si="14"/>
        <v>-0.47056603746512443</v>
      </c>
    </row>
    <row r="51" spans="1:26" s="24" customFormat="1" hidden="1" outlineLevel="1" x14ac:dyDescent="0.25">
      <c r="A51" s="44"/>
      <c r="B51" s="11" t="str">
        <f>CONCATENATE("          ", "5501", " - ", "FREIGHT-IN-NEW TEXT")</f>
        <v xml:space="preserve">          5501 - FREIGHT-IN-NEW TEXT</v>
      </c>
      <c r="C51" s="11"/>
      <c r="D51" s="2">
        <v>5279.6</v>
      </c>
      <c r="E51" s="2"/>
      <c r="F51" s="19">
        <f t="shared" si="7"/>
        <v>2.7935760238834987E-2</v>
      </c>
      <c r="G51" s="2"/>
      <c r="H51" s="2">
        <v>13859.22</v>
      </c>
      <c r="I51" s="2"/>
      <c r="J51" s="19">
        <f t="shared" si="8"/>
        <v>3.5128498077138769E-2</v>
      </c>
      <c r="K51" s="2"/>
      <c r="L51" s="2">
        <f t="shared" si="9"/>
        <v>-8579.619999999999</v>
      </c>
      <c r="M51" s="2"/>
      <c r="N51" s="19">
        <f t="shared" si="10"/>
        <v>-0.61905504061556127</v>
      </c>
      <c r="O51" s="11"/>
      <c r="P51" s="2">
        <v>10762.88</v>
      </c>
      <c r="Q51" s="2"/>
      <c r="R51" s="19">
        <f t="shared" si="11"/>
        <v>1.0311332321764673E-2</v>
      </c>
      <c r="S51" s="2"/>
      <c r="T51" s="2">
        <v>26583.46</v>
      </c>
      <c r="U51" s="2"/>
      <c r="V51" s="19">
        <f t="shared" si="12"/>
        <v>1.3776096234889575E-2</v>
      </c>
      <c r="W51" s="2"/>
      <c r="X51" s="2">
        <f t="shared" si="13"/>
        <v>-15820.58</v>
      </c>
      <c r="Y51" s="2"/>
      <c r="Z51" s="19">
        <f t="shared" si="14"/>
        <v>-0.595128700327196</v>
      </c>
    </row>
    <row r="52" spans="1:26" s="24" customFormat="1" hidden="1" outlineLevel="1" x14ac:dyDescent="0.25">
      <c r="A52" s="44"/>
      <c r="B52" s="11" t="str">
        <f>CONCATENATE("          ", "5502", " - ", "FREIGHT-IN-USED TEXT")</f>
        <v xml:space="preserve">          5502 - FREIGHT-IN-USED TEXT</v>
      </c>
      <c r="C52" s="11"/>
      <c r="D52" s="2">
        <v>7276.27</v>
      </c>
      <c r="E52" s="2"/>
      <c r="F52" s="19">
        <f t="shared" si="7"/>
        <v>3.8500669397876323E-2</v>
      </c>
      <c r="G52" s="2"/>
      <c r="H52" s="2">
        <v>1998.66</v>
      </c>
      <c r="I52" s="2"/>
      <c r="J52" s="19">
        <f t="shared" si="8"/>
        <v>5.0659361758348728E-3</v>
      </c>
      <c r="K52" s="2"/>
      <c r="L52" s="2">
        <f t="shared" si="9"/>
        <v>5277.6100000000006</v>
      </c>
      <c r="M52" s="2"/>
      <c r="N52" s="19">
        <f t="shared" si="10"/>
        <v>2.6405741847037518</v>
      </c>
      <c r="O52" s="11"/>
      <c r="P52" s="2">
        <v>8510.82</v>
      </c>
      <c r="Q52" s="2"/>
      <c r="R52" s="19">
        <f t="shared" si="11"/>
        <v>8.1537556258846344E-3</v>
      </c>
      <c r="S52" s="2"/>
      <c r="T52" s="2">
        <v>6261.17</v>
      </c>
      <c r="U52" s="2"/>
      <c r="V52" s="19">
        <f t="shared" si="12"/>
        <v>3.244667190162739E-3</v>
      </c>
      <c r="W52" s="2"/>
      <c r="X52" s="2">
        <f t="shared" si="13"/>
        <v>2249.6499999999996</v>
      </c>
      <c r="Y52" s="2"/>
      <c r="Z52" s="19">
        <f t="shared" si="14"/>
        <v>0.35930185572345097</v>
      </c>
    </row>
    <row r="53" spans="1:26" s="24" customFormat="1" hidden="1" outlineLevel="1" x14ac:dyDescent="0.25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>
        <v>10.99</v>
      </c>
      <c r="E53" s="2"/>
      <c r="F53" s="19">
        <f t="shared" si="7"/>
        <v>5.8150997239335649E-5</v>
      </c>
      <c r="G53" s="2"/>
      <c r="H53" s="2"/>
      <c r="I53" s="2"/>
      <c r="J53" s="19">
        <f t="shared" si="8"/>
        <v>0</v>
      </c>
      <c r="K53" s="2"/>
      <c r="L53" s="2">
        <f t="shared" si="9"/>
        <v>10.99</v>
      </c>
      <c r="M53" s="2"/>
      <c r="N53" s="19">
        <f t="shared" si="10"/>
        <v>0</v>
      </c>
      <c r="O53" s="11"/>
      <c r="P53" s="2">
        <v>10.99</v>
      </c>
      <c r="Q53" s="2"/>
      <c r="R53" s="19">
        <f t="shared" si="11"/>
        <v>1.0528923691074672E-5</v>
      </c>
      <c r="S53" s="2"/>
      <c r="T53" s="2">
        <v>7.03</v>
      </c>
      <c r="U53" s="2"/>
      <c r="V53" s="19">
        <f t="shared" si="12"/>
        <v>3.6430907237535563E-6</v>
      </c>
      <c r="W53" s="2"/>
      <c r="X53" s="2">
        <f t="shared" si="13"/>
        <v>3.96</v>
      </c>
      <c r="Y53" s="2"/>
      <c r="Z53" s="19">
        <f t="shared" si="14"/>
        <v>0.56330014224751068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5" t="s">
        <v>6</v>
      </c>
      <c r="C55" s="25"/>
      <c r="D55" s="22">
        <f>D12-D40</f>
        <v>58477.740000000078</v>
      </c>
      <c r="E55" s="13"/>
      <c r="F55" s="21">
        <f>IF(D$12=0,0,D55/D$12)</f>
        <v>0.30942119174727861</v>
      </c>
      <c r="G55" s="13"/>
      <c r="H55" s="22">
        <f>H12-H40</f>
        <v>103569.76000000001</v>
      </c>
      <c r="I55" s="13"/>
      <c r="J55" s="21">
        <f>IF(H$12=0,0,H55/H$12)</f>
        <v>0.26251478185711208</v>
      </c>
      <c r="K55" s="15"/>
      <c r="L55" s="22">
        <f>+D55-H55</f>
        <v>-45092.019999999931</v>
      </c>
      <c r="M55" s="15"/>
      <c r="N55" s="21">
        <f>IF(H55=0,0,L55/H55)</f>
        <v>-0.4353782416798101</v>
      </c>
      <c r="O55" s="26"/>
      <c r="P55" s="22">
        <f>P12-P40</f>
        <v>305822.40000000049</v>
      </c>
      <c r="Q55" s="13"/>
      <c r="R55" s="21">
        <f>IF(P$12=0,0,P55/P$12)</f>
        <v>0.29299187557973794</v>
      </c>
      <c r="S55" s="13"/>
      <c r="T55" s="22">
        <f>T12-T40</f>
        <v>535799.2899999998</v>
      </c>
      <c r="U55" s="13"/>
      <c r="V55" s="21">
        <f>IF(T$12=0,0,T55/T$12)</f>
        <v>0.2776622223602761</v>
      </c>
      <c r="W55" s="15"/>
      <c r="X55" s="22">
        <f>+P55-T55</f>
        <v>-229976.88999999932</v>
      </c>
      <c r="Y55" s="15"/>
      <c r="Z55" s="21">
        <f>IF(T55=0,0,X55/T55)</f>
        <v>-0.429222087994927</v>
      </c>
    </row>
    <row r="56" spans="1:26" x14ac:dyDescent="0.25">
      <c r="A56" s="9"/>
      <c r="B56" s="10"/>
      <c r="C56" s="9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6" t="s">
        <v>9</v>
      </c>
      <c r="C57" s="10"/>
      <c r="D57" s="20">
        <f>SUM(OSRRefD22x_0)</f>
        <v>39896.36</v>
      </c>
      <c r="E57" s="20"/>
      <c r="F57" s="36">
        <f t="shared" ref="F57:F67" si="15">IF(D$12=0,0,D57/D$12)</f>
        <v>0.21110219474245143</v>
      </c>
      <c r="G57" s="20"/>
      <c r="H57" s="20">
        <f>SUM(OSRRefH22x_0)</f>
        <v>23354.710000000003</v>
      </c>
      <c r="I57" s="20"/>
      <c r="J57" s="36">
        <f t="shared" ref="J57:J67" si="16">IF(H$12=0,0,H57/H$12)</f>
        <v>5.9196396718367537E-2</v>
      </c>
      <c r="K57" s="4"/>
      <c r="L57" s="20">
        <f t="shared" ref="L57:L67" si="17">+D57-H57</f>
        <v>16541.649999999998</v>
      </c>
      <c r="M57" s="4"/>
      <c r="N57" s="36">
        <f t="shared" ref="N57:N67" si="18">IF(H57=0,0,L57/H57)</f>
        <v>0.70827897242140858</v>
      </c>
      <c r="O57" s="10"/>
      <c r="P57" s="20">
        <f>SUM(OSRRefP22x_0)</f>
        <v>128431.01</v>
      </c>
      <c r="Q57" s="20"/>
      <c r="R57" s="36">
        <f t="shared" ref="R57:R67" si="19">IF(P$12=0,0,P57/P$12)</f>
        <v>0.12304279379960402</v>
      </c>
      <c r="S57" s="20"/>
      <c r="T57" s="20">
        <f>SUM(OSRRefT22x_0)</f>
        <v>116991.76999999999</v>
      </c>
      <c r="U57" s="20"/>
      <c r="V57" s="36">
        <f t="shared" ref="V57:V67" si="20">IF(T$12=0,0,T57/T$12)</f>
        <v>6.0627543676032652E-2</v>
      </c>
      <c r="W57" s="4"/>
      <c r="X57" s="20">
        <f t="shared" ref="X57:X67" si="21">+P57-T57</f>
        <v>11439.240000000005</v>
      </c>
      <c r="Y57" s="4"/>
      <c r="Z57" s="36">
        <f t="shared" ref="Z57:Z67" si="22">IF(T57=0,0,X57/T57)</f>
        <v>9.7778159950909424E-2</v>
      </c>
    </row>
    <row r="58" spans="1:26" s="27" customFormat="1" outlineLevel="1" collapsed="1" x14ac:dyDescent="0.25">
      <c r="A58" s="29"/>
      <c r="B58" s="14" t="str">
        <f>CONCATENATE("     ","*Benefits                                         ")</f>
        <v xml:space="preserve">     *Benefits                                         </v>
      </c>
      <c r="C58" s="14"/>
      <c r="D58" s="1">
        <f>SUM(OSRRefD22_0x_0)</f>
        <v>10776.93</v>
      </c>
      <c r="E58" s="1"/>
      <c r="F58" s="5">
        <f t="shared" si="15"/>
        <v>5.7023587504869293E-2</v>
      </c>
      <c r="G58" s="1"/>
      <c r="H58" s="1">
        <f>SUM(OSRRefH22_0x_0)</f>
        <v>9413.4500000000007</v>
      </c>
      <c r="I58" s="1"/>
      <c r="J58" s="5">
        <f t="shared" si="16"/>
        <v>2.3859954616799645E-2</v>
      </c>
      <c r="K58" s="1"/>
      <c r="L58" s="1">
        <f t="shared" si="17"/>
        <v>1363.4799999999996</v>
      </c>
      <c r="M58" s="1"/>
      <c r="N58" s="5">
        <f t="shared" si="18"/>
        <v>0.14484381390457265</v>
      </c>
      <c r="O58" s="14"/>
      <c r="P58" s="1">
        <f>SUM(OSRRefP22_0x_0)</f>
        <v>32591.090000000004</v>
      </c>
      <c r="Q58" s="1"/>
      <c r="R58" s="5">
        <f t="shared" si="19"/>
        <v>3.1223757927110726E-2</v>
      </c>
      <c r="S58" s="1"/>
      <c r="T58" s="1">
        <f>SUM(OSRRefT22_0x_0)</f>
        <v>30333.209999999992</v>
      </c>
      <c r="U58" s="1"/>
      <c r="V58" s="5">
        <f t="shared" si="20"/>
        <v>1.5719293879469215E-2</v>
      </c>
      <c r="W58" s="1"/>
      <c r="X58" s="1">
        <f t="shared" si="21"/>
        <v>2257.8800000000119</v>
      </c>
      <c r="Y58" s="1"/>
      <c r="Z58" s="5">
        <f t="shared" si="22"/>
        <v>7.4435907047095004E-2</v>
      </c>
    </row>
    <row r="59" spans="1:26" s="24" customFormat="1" hidden="1" outlineLevel="2" x14ac:dyDescent="0.25">
      <c r="A59" s="28"/>
      <c r="B59" s="11" t="str">
        <f>CONCATENATE("          ", "6111", " - ", "F.I.C.A.")</f>
        <v xml:space="preserve">          6111 - F.I.C.A.</v>
      </c>
      <c r="C59" s="11"/>
      <c r="D59" s="7">
        <v>2005.88</v>
      </c>
      <c r="E59" s="2"/>
      <c r="F59" s="6">
        <f t="shared" si="15"/>
        <v>1.0613641705408424E-2</v>
      </c>
      <c r="G59" s="2"/>
      <c r="H59" s="7">
        <v>1409.9</v>
      </c>
      <c r="I59" s="2"/>
      <c r="J59" s="6">
        <f t="shared" si="16"/>
        <v>3.573626036599315E-3</v>
      </c>
      <c r="K59" s="2"/>
      <c r="L59" s="7">
        <f t="shared" si="17"/>
        <v>595.98</v>
      </c>
      <c r="M59" s="2"/>
      <c r="N59" s="6">
        <f t="shared" si="18"/>
        <v>0.42271083055535852</v>
      </c>
      <c r="O59" s="11"/>
      <c r="P59" s="7">
        <v>6099.88</v>
      </c>
      <c r="Q59" s="2"/>
      <c r="R59" s="6">
        <f t="shared" si="19"/>
        <v>5.8439646082541017E-3</v>
      </c>
      <c r="S59" s="2"/>
      <c r="T59" s="7">
        <v>4796.1499999999996</v>
      </c>
      <c r="U59" s="2"/>
      <c r="V59" s="6">
        <f t="shared" si="20"/>
        <v>2.4854636663912684E-3</v>
      </c>
      <c r="W59" s="2"/>
      <c r="X59" s="7">
        <f t="shared" si="21"/>
        <v>1303.7300000000005</v>
      </c>
      <c r="Y59" s="2"/>
      <c r="Z59" s="6">
        <f t="shared" si="22"/>
        <v>0.27182844573251475</v>
      </c>
    </row>
    <row r="60" spans="1:26" s="24" customFormat="1" hidden="1" outlineLevel="2" x14ac:dyDescent="0.25">
      <c r="A60" s="28"/>
      <c r="B60" s="11" t="str">
        <f>CONCATENATE("          ", "6112", " - ", "COMPENSATION INSURANCE")</f>
        <v xml:space="preserve">          6112 - COMPENSATION INSURANCE</v>
      </c>
      <c r="C60" s="11"/>
      <c r="D60" s="7">
        <v>94.94</v>
      </c>
      <c r="E60" s="2"/>
      <c r="F60" s="6">
        <f t="shared" si="15"/>
        <v>5.0235265495018433E-4</v>
      </c>
      <c r="G60" s="2"/>
      <c r="H60" s="7">
        <v>74.67</v>
      </c>
      <c r="I60" s="2"/>
      <c r="J60" s="6">
        <f t="shared" si="16"/>
        <v>1.8926353369236884E-4</v>
      </c>
      <c r="K60" s="2"/>
      <c r="L60" s="7">
        <f t="shared" si="17"/>
        <v>20.269999999999996</v>
      </c>
      <c r="M60" s="2"/>
      <c r="N60" s="6">
        <f t="shared" si="18"/>
        <v>0.27146109548680858</v>
      </c>
      <c r="O60" s="11"/>
      <c r="P60" s="7">
        <v>433.29</v>
      </c>
      <c r="Q60" s="2"/>
      <c r="R60" s="6">
        <f t="shared" si="19"/>
        <v>4.1511167844456281E-4</v>
      </c>
      <c r="S60" s="2"/>
      <c r="T60" s="7">
        <v>256.11</v>
      </c>
      <c r="U60" s="2"/>
      <c r="V60" s="6">
        <f t="shared" si="20"/>
        <v>1.3272147443250688E-4</v>
      </c>
      <c r="W60" s="2"/>
      <c r="X60" s="7">
        <f t="shared" si="21"/>
        <v>177.18</v>
      </c>
      <c r="Y60" s="2"/>
      <c r="Z60" s="6">
        <f t="shared" si="22"/>
        <v>0.69181211198313219</v>
      </c>
    </row>
    <row r="61" spans="1:26" s="24" customFormat="1" hidden="1" outlineLevel="2" x14ac:dyDescent="0.25">
      <c r="A61" s="28"/>
      <c r="B61" s="11" t="str">
        <f>CONCATENATE("          ", "6113", " - ", "GROUP INSURANCE")</f>
        <v xml:space="preserve">          6113 - GROUP INSURANCE</v>
      </c>
      <c r="C61" s="11"/>
      <c r="D61" s="7">
        <v>4248.21</v>
      </c>
      <c r="E61" s="2"/>
      <c r="F61" s="6">
        <f t="shared" si="15"/>
        <v>2.2478402910110835E-2</v>
      </c>
      <c r="G61" s="2"/>
      <c r="H61" s="7">
        <v>4168.57</v>
      </c>
      <c r="I61" s="2"/>
      <c r="J61" s="6">
        <f t="shared" si="16"/>
        <v>1.0565933958001848E-2</v>
      </c>
      <c r="K61" s="2"/>
      <c r="L61" s="7">
        <f t="shared" si="17"/>
        <v>79.640000000000327</v>
      </c>
      <c r="M61" s="2"/>
      <c r="N61" s="6">
        <f t="shared" si="18"/>
        <v>1.9104872894062073E-2</v>
      </c>
      <c r="O61" s="11"/>
      <c r="P61" s="7">
        <v>12610.42</v>
      </c>
      <c r="Q61" s="2"/>
      <c r="R61" s="6">
        <f t="shared" si="19"/>
        <v>1.208136031777997E-2</v>
      </c>
      <c r="S61" s="2"/>
      <c r="T61" s="7">
        <v>12505.71</v>
      </c>
      <c r="U61" s="2"/>
      <c r="V61" s="6">
        <f t="shared" si="20"/>
        <v>6.4807163719704242E-3</v>
      </c>
      <c r="W61" s="2"/>
      <c r="X61" s="7">
        <f t="shared" si="21"/>
        <v>104.71000000000095</v>
      </c>
      <c r="Y61" s="2"/>
      <c r="Z61" s="6">
        <f t="shared" si="22"/>
        <v>8.3729752249173343E-3</v>
      </c>
    </row>
    <row r="62" spans="1:26" s="24" customFormat="1" hidden="1" outlineLevel="2" x14ac:dyDescent="0.25">
      <c r="A62" s="28"/>
      <c r="B62" s="11" t="str">
        <f>CONCATENATE("          ", "6114", " - ", "STATE UNEMPLOYMENT INSURANCE")</f>
        <v xml:space="preserve">          6114 - STATE UNEMPLOYMENT INSURANCE</v>
      </c>
      <c r="C62" s="11"/>
      <c r="D62" s="7">
        <v>74.8</v>
      </c>
      <c r="E62" s="2"/>
      <c r="F62" s="6">
        <f t="shared" si="15"/>
        <v>3.9578658721586043E-4</v>
      </c>
      <c r="G62" s="2"/>
      <c r="H62" s="7">
        <v>57.1</v>
      </c>
      <c r="I62" s="2"/>
      <c r="J62" s="6">
        <f t="shared" si="16"/>
        <v>1.4472944654927362E-4</v>
      </c>
      <c r="K62" s="2"/>
      <c r="L62" s="7">
        <f t="shared" si="17"/>
        <v>17.699999999999996</v>
      </c>
      <c r="M62" s="2"/>
      <c r="N62" s="6">
        <f t="shared" si="18"/>
        <v>0.30998248686514879</v>
      </c>
      <c r="O62" s="11"/>
      <c r="P62" s="7">
        <v>208.22</v>
      </c>
      <c r="Q62" s="2"/>
      <c r="R62" s="6">
        <f t="shared" si="19"/>
        <v>1.9948430308967864E-4</v>
      </c>
      <c r="S62" s="2"/>
      <c r="T62" s="7">
        <v>170.53</v>
      </c>
      <c r="U62" s="2"/>
      <c r="V62" s="6">
        <f t="shared" si="20"/>
        <v>8.8372156631819914E-5</v>
      </c>
      <c r="W62" s="2"/>
      <c r="X62" s="7">
        <f t="shared" si="21"/>
        <v>37.69</v>
      </c>
      <c r="Y62" s="2"/>
      <c r="Z62" s="6">
        <f t="shared" si="22"/>
        <v>0.22101682988330498</v>
      </c>
    </row>
    <row r="63" spans="1:26" s="24" customFormat="1" hidden="1" outlineLevel="2" x14ac:dyDescent="0.25">
      <c r="A63" s="28"/>
      <c r="B63" s="11" t="str">
        <f>CONCATENATE("          ", "6115", " - ", "P.E.R.S.")</f>
        <v xml:space="preserve">          6115 - P.E.R.S.</v>
      </c>
      <c r="C63" s="11"/>
      <c r="D63" s="7">
        <v>1480.2</v>
      </c>
      <c r="E63" s="2"/>
      <c r="F63" s="6">
        <f t="shared" si="15"/>
        <v>7.8321297646646616E-3</v>
      </c>
      <c r="G63" s="2"/>
      <c r="H63" s="7">
        <v>1325.86</v>
      </c>
      <c r="I63" s="2"/>
      <c r="J63" s="6">
        <f t="shared" si="16"/>
        <v>3.3606126795415045E-3</v>
      </c>
      <c r="K63" s="2"/>
      <c r="L63" s="7">
        <f t="shared" si="17"/>
        <v>154.34000000000015</v>
      </c>
      <c r="M63" s="2"/>
      <c r="N63" s="6">
        <f t="shared" si="18"/>
        <v>0.11640746383479414</v>
      </c>
      <c r="O63" s="11"/>
      <c r="P63" s="7">
        <v>5180.72</v>
      </c>
      <c r="Q63" s="2"/>
      <c r="R63" s="6">
        <f t="shared" si="19"/>
        <v>4.9633672015308803E-3</v>
      </c>
      <c r="S63" s="2"/>
      <c r="T63" s="7">
        <v>3977.58</v>
      </c>
      <c r="U63" s="2"/>
      <c r="V63" s="6">
        <f t="shared" si="20"/>
        <v>2.0612638408232819E-3</v>
      </c>
      <c r="W63" s="2"/>
      <c r="X63" s="7">
        <f t="shared" si="21"/>
        <v>1203.1400000000003</v>
      </c>
      <c r="Y63" s="2"/>
      <c r="Z63" s="6">
        <f t="shared" si="22"/>
        <v>0.30248040265689197</v>
      </c>
    </row>
    <row r="64" spans="1:26" s="24" customFormat="1" hidden="1" outlineLevel="2" x14ac:dyDescent="0.25">
      <c r="A64" s="28"/>
      <c r="B64" s="11" t="str">
        <f>CONCATENATE("          ", "6117", " - ", "RETIREMENT STAFF HOURLY")</f>
        <v xml:space="preserve">          6117 - RETIREMENT STAFF HOURLY</v>
      </c>
      <c r="C64" s="11"/>
      <c r="D64" s="7">
        <v>248.98</v>
      </c>
      <c r="E64" s="2"/>
      <c r="F64" s="6">
        <f t="shared" si="15"/>
        <v>1.3174190439171783E-3</v>
      </c>
      <c r="G64" s="2"/>
      <c r="H64" s="7">
        <v>145.97</v>
      </c>
      <c r="I64" s="2"/>
      <c r="J64" s="6">
        <f t="shared" si="16"/>
        <v>3.6998524190538475E-4</v>
      </c>
      <c r="K64" s="2"/>
      <c r="L64" s="7">
        <f t="shared" si="17"/>
        <v>103.00999999999999</v>
      </c>
      <c r="M64" s="2"/>
      <c r="N64" s="6">
        <f t="shared" si="18"/>
        <v>0.70569295060628889</v>
      </c>
      <c r="O64" s="11"/>
      <c r="P64" s="7">
        <v>837.77</v>
      </c>
      <c r="Q64" s="2"/>
      <c r="R64" s="6">
        <f t="shared" si="19"/>
        <v>8.0262205647603534E-4</v>
      </c>
      <c r="S64" s="2"/>
      <c r="T64" s="7">
        <v>461.34</v>
      </c>
      <c r="U64" s="2"/>
      <c r="V64" s="6">
        <f t="shared" si="20"/>
        <v>2.3907588541912739E-4</v>
      </c>
      <c r="W64" s="2"/>
      <c r="X64" s="7">
        <f t="shared" si="21"/>
        <v>376.43</v>
      </c>
      <c r="Y64" s="2"/>
      <c r="Z64" s="6">
        <f t="shared" si="22"/>
        <v>0.81594919148567224</v>
      </c>
    </row>
    <row r="65" spans="1:26" s="24" customFormat="1" hidden="1" outlineLevel="2" x14ac:dyDescent="0.25">
      <c r="A65" s="28"/>
      <c r="B65" s="11" t="str">
        <f>CONCATENATE("          ", "6118", " - ", "VACATION")</f>
        <v xml:space="preserve">          6118 - VACATION</v>
      </c>
      <c r="C65" s="11"/>
      <c r="D65" s="7">
        <v>1121.07</v>
      </c>
      <c r="E65" s="2"/>
      <c r="F65" s="6">
        <f t="shared" si="15"/>
        <v>5.9318779322203828E-3</v>
      </c>
      <c r="G65" s="2"/>
      <c r="H65" s="7">
        <v>819.89</v>
      </c>
      <c r="I65" s="2"/>
      <c r="J65" s="6">
        <f t="shared" si="16"/>
        <v>2.0781475644708223E-3</v>
      </c>
      <c r="K65" s="2"/>
      <c r="L65" s="7">
        <f t="shared" si="17"/>
        <v>301.17999999999995</v>
      </c>
      <c r="M65" s="2"/>
      <c r="N65" s="6">
        <f t="shared" si="18"/>
        <v>0.36734196050689721</v>
      </c>
      <c r="O65" s="11"/>
      <c r="P65" s="7">
        <v>3031.38</v>
      </c>
      <c r="Q65" s="2"/>
      <c r="R65" s="6">
        <f t="shared" si="19"/>
        <v>2.9042009734895308E-3</v>
      </c>
      <c r="S65" s="2"/>
      <c r="T65" s="7">
        <v>3094.35</v>
      </c>
      <c r="U65" s="2"/>
      <c r="V65" s="6">
        <f t="shared" si="20"/>
        <v>1.6035558721261476E-3</v>
      </c>
      <c r="W65" s="2"/>
      <c r="X65" s="7">
        <f t="shared" si="21"/>
        <v>-62.9699999999998</v>
      </c>
      <c r="Y65" s="2"/>
      <c r="Z65" s="6">
        <f t="shared" si="22"/>
        <v>-2.0349992728682858E-2</v>
      </c>
    </row>
    <row r="66" spans="1:26" s="24" customFormat="1" hidden="1" outlineLevel="2" x14ac:dyDescent="0.25">
      <c r="A66" s="28"/>
      <c r="B66" s="11" t="str">
        <f>CONCATENATE("          ", "6119", " - ", "SICK LEAVE")</f>
        <v xml:space="preserve">          6119 - SICK LEAVE</v>
      </c>
      <c r="C66" s="11"/>
      <c r="D66" s="7">
        <v>944.6</v>
      </c>
      <c r="E66" s="2"/>
      <c r="F66" s="6">
        <f t="shared" si="15"/>
        <v>4.998128479733981E-3</v>
      </c>
      <c r="G66" s="2"/>
      <c r="H66" s="7">
        <v>801.74</v>
      </c>
      <c r="I66" s="2"/>
      <c r="J66" s="6">
        <f t="shared" si="16"/>
        <v>2.0321433708654049E-3</v>
      </c>
      <c r="K66" s="2"/>
      <c r="L66" s="7">
        <f t="shared" si="17"/>
        <v>142.86000000000001</v>
      </c>
      <c r="M66" s="2"/>
      <c r="N66" s="6">
        <f t="shared" si="18"/>
        <v>0.17818744231296932</v>
      </c>
      <c r="O66" s="11"/>
      <c r="P66" s="7">
        <v>2833.8</v>
      </c>
      <c r="Q66" s="2"/>
      <c r="R66" s="6">
        <f t="shared" si="19"/>
        <v>2.7149102780498098E-3</v>
      </c>
      <c r="S66" s="2"/>
      <c r="T66" s="7">
        <v>3314.02</v>
      </c>
      <c r="U66" s="2"/>
      <c r="V66" s="6">
        <f t="shared" si="20"/>
        <v>1.7173933883831809E-3</v>
      </c>
      <c r="W66" s="2"/>
      <c r="X66" s="7">
        <f t="shared" si="21"/>
        <v>-480.2199999999998</v>
      </c>
      <c r="Y66" s="2"/>
      <c r="Z66" s="6">
        <f t="shared" si="22"/>
        <v>-0.14490558294759834</v>
      </c>
    </row>
    <row r="67" spans="1:26" s="24" customFormat="1" hidden="1" outlineLevel="2" x14ac:dyDescent="0.25">
      <c r="A67" s="28"/>
      <c r="B67" s="11" t="str">
        <f>CONCATENATE("          ", "6156", " - ", "EMPLOYEE MEALS")</f>
        <v xml:space="preserve">          6156 - EMPLOYEE MEALS</v>
      </c>
      <c r="C67" s="11"/>
      <c r="D67" s="7">
        <v>558.25</v>
      </c>
      <c r="E67" s="2"/>
      <c r="F67" s="6">
        <f t="shared" si="15"/>
        <v>2.953848426647782E-3</v>
      </c>
      <c r="G67" s="2"/>
      <c r="H67" s="7">
        <v>609.75</v>
      </c>
      <c r="I67" s="2"/>
      <c r="J67" s="6">
        <f t="shared" si="16"/>
        <v>1.5455127851737231E-3</v>
      </c>
      <c r="K67" s="2"/>
      <c r="L67" s="7">
        <f t="shared" si="17"/>
        <v>-51.5</v>
      </c>
      <c r="M67" s="2"/>
      <c r="N67" s="6">
        <f t="shared" si="18"/>
        <v>-8.4460844608446078E-2</v>
      </c>
      <c r="O67" s="11"/>
      <c r="P67" s="7">
        <v>1355.61</v>
      </c>
      <c r="Q67" s="2"/>
      <c r="R67" s="6">
        <f t="shared" si="19"/>
        <v>1.2987365099961542E-3</v>
      </c>
      <c r="S67" s="2"/>
      <c r="T67" s="7">
        <v>1757.42</v>
      </c>
      <c r="U67" s="2"/>
      <c r="V67" s="6">
        <f t="shared" si="20"/>
        <v>9.1073122329146162E-4</v>
      </c>
      <c r="W67" s="2"/>
      <c r="X67" s="7">
        <f t="shared" si="21"/>
        <v>-401.81000000000017</v>
      </c>
      <c r="Y67" s="2"/>
      <c r="Z67" s="6">
        <f t="shared" si="22"/>
        <v>-0.22863629638902491</v>
      </c>
    </row>
    <row r="68" spans="1:26" s="27" customFormat="1" outlineLevel="1" collapsed="1" x14ac:dyDescent="0.25">
      <c r="A68" s="29"/>
      <c r="B68" s="14" t="str">
        <f>CONCATENATE("     ","*Payroll                                          ")</f>
        <v xml:space="preserve">     *Payroll                                          </v>
      </c>
      <c r="C68" s="14"/>
      <c r="D68" s="1">
        <f>SUM(OSRRefD22_1x_0)</f>
        <v>25117.03</v>
      </c>
      <c r="E68" s="1"/>
      <c r="F68" s="5">
        <f t="shared" ref="F68:F74" si="23">IF(D$12=0,0,D68/D$12)</f>
        <v>0.1329008500628126</v>
      </c>
      <c r="G68" s="1"/>
      <c r="H68" s="1">
        <f>SUM(OSRRefH22_1x_0)</f>
        <v>19518.63</v>
      </c>
      <c r="I68" s="1"/>
      <c r="J68" s="5">
        <f t="shared" ref="J68:J74" si="24">IF(H$12=0,0,H68/H$12)</f>
        <v>4.9473213963223267E-2</v>
      </c>
      <c r="K68" s="1"/>
      <c r="L68" s="1">
        <f t="shared" ref="L68:L74" si="25">+D68-H68</f>
        <v>5598.3999999999978</v>
      </c>
      <c r="M68" s="1"/>
      <c r="N68" s="5">
        <f t="shared" ref="N68:N74" si="26">IF(H68=0,0,L68/H68)</f>
        <v>0.2868234092249301</v>
      </c>
      <c r="O68" s="14"/>
      <c r="P68" s="1">
        <f>SUM(OSRRefP22_1x_0)</f>
        <v>89674.319999999992</v>
      </c>
      <c r="Q68" s="1"/>
      <c r="R68" s="5">
        <f t="shared" ref="R68:R74" si="27">IF(P$12=0,0,P68/P$12)</f>
        <v>8.5912108492175732E-2</v>
      </c>
      <c r="S68" s="1"/>
      <c r="T68" s="1">
        <f>SUM(OSRRefT22_1x_0)</f>
        <v>70061.78</v>
      </c>
      <c r="U68" s="1"/>
      <c r="V68" s="5">
        <f t="shared" ref="V68:V74" si="28">IF(T$12=0,0,T68/T$12)</f>
        <v>3.6307456729397218E-2</v>
      </c>
      <c r="W68" s="1"/>
      <c r="X68" s="1">
        <f t="shared" ref="X68:X74" si="29">+P68-T68</f>
        <v>19612.539999999994</v>
      </c>
      <c r="Y68" s="1"/>
      <c r="Z68" s="5">
        <f t="shared" ref="Z68:Z74" si="30">IF(T68=0,0,X68/T68)</f>
        <v>0.27993208279892395</v>
      </c>
    </row>
    <row r="69" spans="1:26" s="24" customFormat="1" hidden="1" outlineLevel="2" x14ac:dyDescent="0.25">
      <c r="A69" s="28"/>
      <c r="B69" s="11" t="str">
        <f>CONCATENATE("          ", "6001", " - ", "ADMINISTRATIVE SALARIES")</f>
        <v xml:space="preserve">          6001 - ADMINISTRATIVE SALARIES</v>
      </c>
      <c r="C69" s="11"/>
      <c r="D69" s="7"/>
      <c r="E69" s="2"/>
      <c r="F69" s="6">
        <f t="shared" si="23"/>
        <v>0</v>
      </c>
      <c r="G69" s="2"/>
      <c r="H69" s="7"/>
      <c r="I69" s="2"/>
      <c r="J69" s="6">
        <f t="shared" si="24"/>
        <v>0</v>
      </c>
      <c r="K69" s="2"/>
      <c r="L69" s="7">
        <f t="shared" si="25"/>
        <v>0</v>
      </c>
      <c r="M69" s="2"/>
      <c r="N69" s="6">
        <f t="shared" si="26"/>
        <v>0</v>
      </c>
      <c r="O69" s="11"/>
      <c r="P69" s="7">
        <v>-311.32</v>
      </c>
      <c r="Q69" s="2"/>
      <c r="R69" s="6">
        <f t="shared" si="27"/>
        <v>-2.982588283444374E-4</v>
      </c>
      <c r="S69" s="2"/>
      <c r="T69" s="7"/>
      <c r="U69" s="2"/>
      <c r="V69" s="6">
        <f t="shared" si="28"/>
        <v>0</v>
      </c>
      <c r="W69" s="2"/>
      <c r="X69" s="7">
        <f t="shared" si="29"/>
        <v>-311.32</v>
      </c>
      <c r="Y69" s="2"/>
      <c r="Z69" s="6">
        <f t="shared" si="30"/>
        <v>0</v>
      </c>
    </row>
    <row r="70" spans="1:26" s="24" customFormat="1" hidden="1" outlineLevel="2" x14ac:dyDescent="0.25">
      <c r="A70" s="28"/>
      <c r="B70" s="11" t="str">
        <f>CONCATENATE("          ", "6002", " - ", "STAFF SALARIES")</f>
        <v xml:space="preserve">          6002 - STAFF SALARIES</v>
      </c>
      <c r="C70" s="11"/>
      <c r="D70" s="7">
        <v>14307.52</v>
      </c>
      <c r="E70" s="2"/>
      <c r="F70" s="6">
        <f t="shared" si="23"/>
        <v>7.5704873159393948E-2</v>
      </c>
      <c r="G70" s="2"/>
      <c r="H70" s="7">
        <v>12677.01</v>
      </c>
      <c r="I70" s="2"/>
      <c r="J70" s="6">
        <f t="shared" si="24"/>
        <v>3.2131990213653365E-2</v>
      </c>
      <c r="K70" s="2"/>
      <c r="L70" s="7">
        <f t="shared" si="25"/>
        <v>1630.5100000000002</v>
      </c>
      <c r="M70" s="2"/>
      <c r="N70" s="6">
        <f t="shared" si="26"/>
        <v>0.1286194457525868</v>
      </c>
      <c r="O70" s="11"/>
      <c r="P70" s="7">
        <v>47442.92</v>
      </c>
      <c r="Q70" s="2"/>
      <c r="R70" s="6">
        <f t="shared" si="27"/>
        <v>4.5452491752662458E-2</v>
      </c>
      <c r="S70" s="2"/>
      <c r="T70" s="7">
        <v>44579.24</v>
      </c>
      <c r="U70" s="2"/>
      <c r="V70" s="6">
        <f t="shared" si="28"/>
        <v>2.3101879902700354E-2</v>
      </c>
      <c r="W70" s="2"/>
      <c r="X70" s="7">
        <f t="shared" si="29"/>
        <v>2863.6800000000003</v>
      </c>
      <c r="Y70" s="2"/>
      <c r="Z70" s="6">
        <f t="shared" si="30"/>
        <v>6.4237972652741504E-2</v>
      </c>
    </row>
    <row r="71" spans="1:26" s="24" customFormat="1" hidden="1" outlineLevel="2" x14ac:dyDescent="0.25">
      <c r="A71" s="28"/>
      <c r="B71" s="11" t="str">
        <f>CONCATENATE("          ", "6004", " - ", "STAFF HOURLY")</f>
        <v xml:space="preserve">          6004 - STAFF HOURLY</v>
      </c>
      <c r="C71" s="11"/>
      <c r="D71" s="7">
        <v>6404.63</v>
      </c>
      <c r="E71" s="2"/>
      <c r="F71" s="6">
        <f t="shared" si="23"/>
        <v>3.3888591578613854E-2</v>
      </c>
      <c r="G71" s="2"/>
      <c r="H71" s="7">
        <v>2912.97</v>
      </c>
      <c r="I71" s="2"/>
      <c r="J71" s="6">
        <f t="shared" si="24"/>
        <v>7.3834069337064372E-3</v>
      </c>
      <c r="K71" s="2"/>
      <c r="L71" s="7">
        <f t="shared" si="25"/>
        <v>3491.6600000000003</v>
      </c>
      <c r="M71" s="2"/>
      <c r="N71" s="6">
        <f t="shared" si="26"/>
        <v>1.1986597870901521</v>
      </c>
      <c r="O71" s="11"/>
      <c r="P71" s="7">
        <v>18577.73</v>
      </c>
      <c r="Q71" s="2"/>
      <c r="R71" s="6">
        <f t="shared" si="27"/>
        <v>1.7798316790117258E-2</v>
      </c>
      <c r="S71" s="2"/>
      <c r="T71" s="7">
        <v>7749.22</v>
      </c>
      <c r="U71" s="2"/>
      <c r="V71" s="6">
        <f t="shared" si="28"/>
        <v>4.0158053340434612E-3</v>
      </c>
      <c r="W71" s="2"/>
      <c r="X71" s="7">
        <f t="shared" si="29"/>
        <v>10828.509999999998</v>
      </c>
      <c r="Y71" s="2"/>
      <c r="Z71" s="6">
        <f t="shared" si="30"/>
        <v>1.3973677350752718</v>
      </c>
    </row>
    <row r="72" spans="1:26" s="24" customFormat="1" hidden="1" outlineLevel="2" x14ac:dyDescent="0.25">
      <c r="A72" s="28"/>
      <c r="B72" s="11" t="str">
        <f>CONCATENATE("          ", "6005", " - ", "TEMPORARY WAGES-HOURLY")</f>
        <v xml:space="preserve">          6005 - TEMPORARY WAGES-HOURLY</v>
      </c>
      <c r="C72" s="11"/>
      <c r="D72" s="7">
        <v>5645.28</v>
      </c>
      <c r="E72" s="2"/>
      <c r="F72" s="6">
        <f t="shared" si="23"/>
        <v>2.9870669853983321E-2</v>
      </c>
      <c r="G72" s="2"/>
      <c r="H72" s="7">
        <v>1592.13</v>
      </c>
      <c r="I72" s="2"/>
      <c r="J72" s="6">
        <f t="shared" si="24"/>
        <v>4.0355182790629603E-3</v>
      </c>
      <c r="K72" s="2"/>
      <c r="L72" s="7">
        <f t="shared" si="25"/>
        <v>4053.1499999999996</v>
      </c>
      <c r="M72" s="2"/>
      <c r="N72" s="6">
        <f t="shared" si="26"/>
        <v>2.5457406116334718</v>
      </c>
      <c r="O72" s="11"/>
      <c r="P72" s="7">
        <v>11339.33</v>
      </c>
      <c r="Q72" s="2"/>
      <c r="R72" s="6">
        <f t="shared" si="27"/>
        <v>1.0863597841484419E-2</v>
      </c>
      <c r="S72" s="2"/>
      <c r="T72" s="7">
        <v>4261.4799999999996</v>
      </c>
      <c r="U72" s="2"/>
      <c r="V72" s="6">
        <f t="shared" si="28"/>
        <v>2.2083866653572269E-3</v>
      </c>
      <c r="W72" s="2"/>
      <c r="X72" s="7">
        <f t="shared" si="29"/>
        <v>7077.85</v>
      </c>
      <c r="Y72" s="2"/>
      <c r="Z72" s="6">
        <f t="shared" si="30"/>
        <v>1.6608901132939733</v>
      </c>
    </row>
    <row r="73" spans="1:26" s="24" customFormat="1" hidden="1" outlineLevel="2" x14ac:dyDescent="0.25">
      <c r="A73" s="28"/>
      <c r="B73" s="11" t="str">
        <f>CONCATENATE("          ", "6006", " - ", "TEMPORARY PART TIME")</f>
        <v xml:space="preserve">          6006 - TEMPORARY PART TIME</v>
      </c>
      <c r="C73" s="11"/>
      <c r="D73" s="7"/>
      <c r="E73" s="2"/>
      <c r="F73" s="6">
        <f t="shared" si="23"/>
        <v>0</v>
      </c>
      <c r="G73" s="2"/>
      <c r="H73" s="7"/>
      <c r="I73" s="2"/>
      <c r="J73" s="6">
        <f t="shared" si="24"/>
        <v>0</v>
      </c>
      <c r="K73" s="2"/>
      <c r="L73" s="7">
        <f t="shared" si="25"/>
        <v>0</v>
      </c>
      <c r="M73" s="2"/>
      <c r="N73" s="6">
        <f t="shared" si="26"/>
        <v>0</v>
      </c>
      <c r="O73" s="11"/>
      <c r="P73" s="7">
        <v>502.29</v>
      </c>
      <c r="Q73" s="2"/>
      <c r="R73" s="6">
        <f t="shared" si="27"/>
        <v>4.8121684083620543E-4</v>
      </c>
      <c r="S73" s="2"/>
      <c r="T73" s="7"/>
      <c r="U73" s="2"/>
      <c r="V73" s="6">
        <f t="shared" si="28"/>
        <v>0</v>
      </c>
      <c r="W73" s="2"/>
      <c r="X73" s="7">
        <f t="shared" si="29"/>
        <v>502.29</v>
      </c>
      <c r="Y73" s="2"/>
      <c r="Z73" s="6">
        <f t="shared" si="30"/>
        <v>0</v>
      </c>
    </row>
    <row r="74" spans="1:26" s="24" customFormat="1" hidden="1" outlineLevel="2" x14ac:dyDescent="0.25">
      <c r="A74" s="28"/>
      <c r="B74" s="11" t="str">
        <f>CONCATENATE("          ", "6007", " - ", "STUDENT HOURLY")</f>
        <v xml:space="preserve">          6007 - STUDENT HOURLY</v>
      </c>
      <c r="C74" s="11"/>
      <c r="D74" s="7">
        <v>-1240.4000000000001</v>
      </c>
      <c r="E74" s="2"/>
      <c r="F74" s="6">
        <f t="shared" si="23"/>
        <v>-6.5632845291785204E-3</v>
      </c>
      <c r="G74" s="2"/>
      <c r="H74" s="7">
        <v>2336.52</v>
      </c>
      <c r="I74" s="2"/>
      <c r="J74" s="6">
        <f t="shared" si="24"/>
        <v>5.9222985368005045E-3</v>
      </c>
      <c r="K74" s="2"/>
      <c r="L74" s="7">
        <f t="shared" si="25"/>
        <v>-3576.92</v>
      </c>
      <c r="M74" s="2"/>
      <c r="N74" s="6">
        <f t="shared" si="26"/>
        <v>-1.5308749764607195</v>
      </c>
      <c r="O74" s="11"/>
      <c r="P74" s="7">
        <v>12123.37</v>
      </c>
      <c r="Q74" s="2"/>
      <c r="R74" s="6">
        <f t="shared" si="27"/>
        <v>1.1614744095419833E-2</v>
      </c>
      <c r="S74" s="2"/>
      <c r="T74" s="7">
        <v>13471.84</v>
      </c>
      <c r="U74" s="2"/>
      <c r="V74" s="6">
        <f t="shared" si="28"/>
        <v>6.9813848272961753E-3</v>
      </c>
      <c r="W74" s="2"/>
      <c r="X74" s="7">
        <f t="shared" si="29"/>
        <v>-1348.4699999999993</v>
      </c>
      <c r="Y74" s="2"/>
      <c r="Z74" s="6">
        <f t="shared" si="30"/>
        <v>-0.10009545837836549</v>
      </c>
    </row>
    <row r="75" spans="1:26" s="27" customFormat="1" outlineLevel="1" collapsed="1" x14ac:dyDescent="0.25">
      <c r="A75" s="29"/>
      <c r="B75" s="14" t="str">
        <f>CONCATENATE("     ","Advertising/Promo                                 ")</f>
        <v xml:space="preserve">     Advertising/Promo                                 </v>
      </c>
      <c r="C75" s="14"/>
      <c r="D75" s="1">
        <f>SUM(OSRRefD22_2x_0)</f>
        <v>0</v>
      </c>
      <c r="E75" s="1"/>
      <c r="F75" s="5">
        <f t="shared" ref="F75:F79" si="31">IF(D$12=0,0,D75/D$12)</f>
        <v>0</v>
      </c>
      <c r="G75" s="1"/>
      <c r="H75" s="1">
        <f>SUM(OSRRefH22_2x_0)</f>
        <v>58.83</v>
      </c>
      <c r="I75" s="1"/>
      <c r="J75" s="5">
        <f t="shared" ref="J75:J79" si="32">IF(H$12=0,0,H75/H$12)</f>
        <v>1.4911441927309573E-4</v>
      </c>
      <c r="K75" s="1"/>
      <c r="L75" s="1">
        <f t="shared" ref="L75:L79" si="33">+D75-H75</f>
        <v>-58.83</v>
      </c>
      <c r="M75" s="1"/>
      <c r="N75" s="5">
        <f t="shared" ref="N75:N79" si="34">IF(H75=0,0,L75/H75)</f>
        <v>-1</v>
      </c>
      <c r="O75" s="14"/>
      <c r="P75" s="1">
        <f>SUM(OSRRefP22_2x_0)</f>
        <v>1359.88</v>
      </c>
      <c r="Q75" s="1"/>
      <c r="R75" s="5">
        <f t="shared" ref="R75:R79" si="35">IF(P$12=0,0,P75/P$12)</f>
        <v>1.3028273656977823E-3</v>
      </c>
      <c r="S75" s="1"/>
      <c r="T75" s="1">
        <f>SUM(OSRRefT22_2x_0)</f>
        <v>3055.02</v>
      </c>
      <c r="U75" s="1"/>
      <c r="V75" s="5">
        <f t="shared" ref="V75:V79" si="36">IF(T$12=0,0,T75/T$12)</f>
        <v>1.5831742564554182E-3</v>
      </c>
      <c r="W75" s="1"/>
      <c r="X75" s="1">
        <f t="shared" ref="X75:X79" si="37">+P75-T75</f>
        <v>-1695.1399999999999</v>
      </c>
      <c r="Y75" s="1"/>
      <c r="Z75" s="5">
        <f t="shared" ref="Z75:Z79" si="38">IF(T75=0,0,X75/T75)</f>
        <v>-0.55487034454766249</v>
      </c>
    </row>
    <row r="76" spans="1:26" s="24" customFormat="1" hidden="1" outlineLevel="2" x14ac:dyDescent="0.25">
      <c r="A76" s="28"/>
      <c r="B76" s="11" t="str">
        <f>CONCATENATE("          ", "6362", " - ", "ADVERTISING EXPENSE")</f>
        <v xml:space="preserve">          6362 - ADVERTISING EXPENSE</v>
      </c>
      <c r="C76" s="11"/>
      <c r="D76" s="7"/>
      <c r="E76" s="2"/>
      <c r="F76" s="6">
        <f t="shared" si="31"/>
        <v>0</v>
      </c>
      <c r="G76" s="2"/>
      <c r="H76" s="7">
        <v>58.83</v>
      </c>
      <c r="I76" s="2"/>
      <c r="J76" s="6">
        <f t="shared" si="32"/>
        <v>1.4911441927309573E-4</v>
      </c>
      <c r="K76" s="2"/>
      <c r="L76" s="7">
        <f t="shared" si="33"/>
        <v>-58.83</v>
      </c>
      <c r="M76" s="2"/>
      <c r="N76" s="6">
        <f t="shared" si="34"/>
        <v>-1</v>
      </c>
      <c r="O76" s="11"/>
      <c r="P76" s="7">
        <v>1359.88</v>
      </c>
      <c r="Q76" s="2"/>
      <c r="R76" s="6">
        <f t="shared" si="35"/>
        <v>1.3028273656977823E-3</v>
      </c>
      <c r="S76" s="2"/>
      <c r="T76" s="7">
        <v>3055.02</v>
      </c>
      <c r="U76" s="2"/>
      <c r="V76" s="6">
        <f t="shared" si="36"/>
        <v>1.5831742564554182E-3</v>
      </c>
      <c r="W76" s="2"/>
      <c r="X76" s="7">
        <f t="shared" si="37"/>
        <v>-1695.1399999999999</v>
      </c>
      <c r="Y76" s="2"/>
      <c r="Z76" s="6">
        <f t="shared" si="38"/>
        <v>-0.55487034454766249</v>
      </c>
    </row>
    <row r="77" spans="1:26" s="27" customFormat="1" outlineLevel="1" collapsed="1" x14ac:dyDescent="0.25">
      <c r="A77" s="29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SUM(OSRRefD22_3x_0)</f>
        <v>0</v>
      </c>
      <c r="E77" s="1"/>
      <c r="F77" s="5">
        <f t="shared" si="31"/>
        <v>0</v>
      </c>
      <c r="G77" s="1"/>
      <c r="H77" s="1">
        <f>SUM(OSRRefH22_3x_0)</f>
        <v>-9830.91</v>
      </c>
      <c r="I77" s="1"/>
      <c r="J77" s="5">
        <f t="shared" si="32"/>
        <v>-2.491807641638738E-2</v>
      </c>
      <c r="K77" s="1"/>
      <c r="L77" s="1">
        <f t="shared" si="33"/>
        <v>9830.91</v>
      </c>
      <c r="M77" s="1"/>
      <c r="N77" s="5">
        <f t="shared" si="34"/>
        <v>-1</v>
      </c>
      <c r="O77" s="14"/>
      <c r="P77" s="1">
        <f>SUM(OSRRefP22_3x_0)</f>
        <v>0</v>
      </c>
      <c r="Q77" s="1"/>
      <c r="R77" s="5">
        <f t="shared" si="35"/>
        <v>0</v>
      </c>
      <c r="S77" s="1"/>
      <c r="T77" s="1">
        <f>SUM(OSRRefT22_3x_0)</f>
        <v>-3197.4300000000003</v>
      </c>
      <c r="U77" s="1"/>
      <c r="V77" s="5">
        <f t="shared" si="36"/>
        <v>-1.6569740501922239E-3</v>
      </c>
      <c r="W77" s="1"/>
      <c r="X77" s="1">
        <f t="shared" si="37"/>
        <v>3197.4300000000003</v>
      </c>
      <c r="Y77" s="1"/>
      <c r="Z77" s="5">
        <f t="shared" si="38"/>
        <v>-1</v>
      </c>
    </row>
    <row r="78" spans="1:26" s="24" customFormat="1" hidden="1" outlineLevel="2" x14ac:dyDescent="0.25">
      <c r="A78" s="28"/>
      <c r="B78" s="11" t="str">
        <f>CONCATENATE("          ", "6382", " - ", "DISCOUNTS/MARK DOWNS")</f>
        <v xml:space="preserve">          6382 - DISCOUNTS/MARK DOWNS</v>
      </c>
      <c r="C78" s="11"/>
      <c r="D78" s="7"/>
      <c r="E78" s="2"/>
      <c r="F78" s="6">
        <f t="shared" si="31"/>
        <v>0</v>
      </c>
      <c r="G78" s="2"/>
      <c r="H78" s="7">
        <v>-9813.15</v>
      </c>
      <c r="I78" s="2"/>
      <c r="J78" s="6">
        <f t="shared" si="32"/>
        <v>-2.4873060742644559E-2</v>
      </c>
      <c r="K78" s="2"/>
      <c r="L78" s="7">
        <f t="shared" si="33"/>
        <v>9813.15</v>
      </c>
      <c r="M78" s="2"/>
      <c r="N78" s="6">
        <f t="shared" si="34"/>
        <v>-1</v>
      </c>
      <c r="O78" s="11"/>
      <c r="P78" s="7"/>
      <c r="Q78" s="2"/>
      <c r="R78" s="6">
        <f t="shared" si="35"/>
        <v>0</v>
      </c>
      <c r="S78" s="2"/>
      <c r="T78" s="7">
        <v>-2756.94</v>
      </c>
      <c r="U78" s="2"/>
      <c r="V78" s="6">
        <f t="shared" si="36"/>
        <v>-1.4287030640035747E-3</v>
      </c>
      <c r="W78" s="2"/>
      <c r="X78" s="7">
        <f t="shared" si="37"/>
        <v>2756.94</v>
      </c>
      <c r="Y78" s="2"/>
      <c r="Z78" s="6">
        <f t="shared" si="38"/>
        <v>-1</v>
      </c>
    </row>
    <row r="79" spans="1:26" s="24" customFormat="1" hidden="1" outlineLevel="2" x14ac:dyDescent="0.25">
      <c r="A79" s="28"/>
      <c r="B79" s="11" t="str">
        <f>CONCATENATE("          ", "9175", " - ", "EARNED DISCOUNTS")</f>
        <v xml:space="preserve">          9175 - EARNED DISCOUNTS</v>
      </c>
      <c r="C79" s="11"/>
      <c r="D79" s="7"/>
      <c r="E79" s="2"/>
      <c r="F79" s="6">
        <f t="shared" si="31"/>
        <v>0</v>
      </c>
      <c r="G79" s="2"/>
      <c r="H79" s="7">
        <v>-17.760000000000002</v>
      </c>
      <c r="I79" s="2"/>
      <c r="J79" s="6">
        <f t="shared" si="32"/>
        <v>-4.5015673742821362E-5</v>
      </c>
      <c r="K79" s="2"/>
      <c r="L79" s="7">
        <f t="shared" si="33"/>
        <v>17.760000000000002</v>
      </c>
      <c r="M79" s="2"/>
      <c r="N79" s="6">
        <f t="shared" si="34"/>
        <v>-1</v>
      </c>
      <c r="O79" s="11"/>
      <c r="P79" s="7"/>
      <c r="Q79" s="2"/>
      <c r="R79" s="6">
        <f t="shared" si="35"/>
        <v>0</v>
      </c>
      <c r="S79" s="2"/>
      <c r="T79" s="7">
        <v>-440.49</v>
      </c>
      <c r="U79" s="2"/>
      <c r="V79" s="6">
        <f t="shared" si="36"/>
        <v>-2.2827098618864923E-4</v>
      </c>
      <c r="W79" s="2"/>
      <c r="X79" s="7">
        <f t="shared" si="37"/>
        <v>440.49</v>
      </c>
      <c r="Y79" s="2"/>
      <c r="Z79" s="6">
        <f t="shared" si="38"/>
        <v>-1</v>
      </c>
    </row>
    <row r="80" spans="1:26" s="27" customFormat="1" outlineLevel="1" collapsed="1" x14ac:dyDescent="0.25">
      <c r="A80" s="29"/>
      <c r="B80" s="14" t="str">
        <f>CONCATENATE("     ","Employees' Appreciation                           ")</f>
        <v xml:space="preserve">     Employees' Appreciation                           </v>
      </c>
      <c r="C80" s="14"/>
      <c r="D80" s="1">
        <f>SUM(OSRRefD22_4x_0)</f>
        <v>0</v>
      </c>
      <c r="E80" s="1"/>
      <c r="F80" s="5">
        <f t="shared" ref="F80:F86" si="39">IF(D$12=0,0,D80/D$12)</f>
        <v>0</v>
      </c>
      <c r="G80" s="1"/>
      <c r="H80" s="1">
        <f>SUM(OSRRefH22_4x_0)</f>
        <v>0</v>
      </c>
      <c r="I80" s="1"/>
      <c r="J80" s="5">
        <f t="shared" ref="J80:J86" si="40">IF(H$12=0,0,H80/H$12)</f>
        <v>0</v>
      </c>
      <c r="K80" s="1"/>
      <c r="L80" s="1">
        <f t="shared" ref="L80:L86" si="41">+D80-H80</f>
        <v>0</v>
      </c>
      <c r="M80" s="1"/>
      <c r="N80" s="5">
        <f t="shared" ref="N80:N86" si="42">IF(H80=0,0,L80/H80)</f>
        <v>0</v>
      </c>
      <c r="O80" s="14"/>
      <c r="P80" s="1">
        <f>SUM(OSRRefP22_4x_0)</f>
        <v>107.7</v>
      </c>
      <c r="Q80" s="1"/>
      <c r="R80" s="5">
        <f t="shared" ref="R80:R86" si="43">IF(P$12=0,0,P80/P$12)</f>
        <v>1.0318153608086827E-4</v>
      </c>
      <c r="S80" s="1"/>
      <c r="T80" s="1">
        <f>SUM(OSRRefT22_4x_0)</f>
        <v>0</v>
      </c>
      <c r="U80" s="1"/>
      <c r="V80" s="5">
        <f t="shared" ref="V80:V86" si="44">IF(T$12=0,0,T80/T$12)</f>
        <v>0</v>
      </c>
      <c r="W80" s="1"/>
      <c r="X80" s="1">
        <f t="shared" ref="X80:X86" si="45">+P80-T80</f>
        <v>107.7</v>
      </c>
      <c r="Y80" s="1"/>
      <c r="Z80" s="5">
        <f t="shared" ref="Z80:Z86" si="46">IF(T80=0,0,X80/T80)</f>
        <v>0</v>
      </c>
    </row>
    <row r="81" spans="1:26" s="24" customFormat="1" hidden="1" outlineLevel="2" x14ac:dyDescent="0.25">
      <c r="A81" s="28"/>
      <c r="B81" s="11" t="str">
        <f>CONCATENATE("          ", "6277", " - ", "EMPLOYEE APPRECIATION")</f>
        <v xml:space="preserve">          6277 - EMPLOYEE APPRECIATION</v>
      </c>
      <c r="C81" s="11"/>
      <c r="D81" s="7"/>
      <c r="E81" s="2"/>
      <c r="F81" s="6">
        <f t="shared" si="39"/>
        <v>0</v>
      </c>
      <c r="G81" s="2"/>
      <c r="H81" s="7"/>
      <c r="I81" s="2"/>
      <c r="J81" s="6">
        <f t="shared" si="40"/>
        <v>0</v>
      </c>
      <c r="K81" s="2"/>
      <c r="L81" s="7">
        <f t="shared" si="41"/>
        <v>0</v>
      </c>
      <c r="M81" s="2"/>
      <c r="N81" s="6">
        <f t="shared" si="42"/>
        <v>0</v>
      </c>
      <c r="O81" s="11"/>
      <c r="P81" s="7">
        <v>107.7</v>
      </c>
      <c r="Q81" s="2"/>
      <c r="R81" s="6">
        <f t="shared" si="43"/>
        <v>1.0318153608086827E-4</v>
      </c>
      <c r="S81" s="2"/>
      <c r="T81" s="7"/>
      <c r="U81" s="2"/>
      <c r="V81" s="6">
        <f t="shared" si="44"/>
        <v>0</v>
      </c>
      <c r="W81" s="2"/>
      <c r="X81" s="7">
        <f t="shared" si="45"/>
        <v>107.7</v>
      </c>
      <c r="Y81" s="2"/>
      <c r="Z81" s="6">
        <f t="shared" si="46"/>
        <v>0</v>
      </c>
    </row>
    <row r="82" spans="1:26" s="27" customFormat="1" outlineLevel="1" collapsed="1" x14ac:dyDescent="0.25">
      <c r="A82" s="29"/>
      <c r="B82" s="14" t="str">
        <f>CONCATENATE("     ","Equipment Rental                                  ")</f>
        <v xml:space="preserve">     Equipment Rental                                  </v>
      </c>
      <c r="C82" s="14"/>
      <c r="D82" s="1">
        <f>SUM(OSRRefD22_5x_0)</f>
        <v>91.26</v>
      </c>
      <c r="E82" s="1"/>
      <c r="F82" s="5">
        <f t="shared" si="39"/>
        <v>4.8288080146148966E-4</v>
      </c>
      <c r="G82" s="1"/>
      <c r="H82" s="1">
        <f>SUM(OSRRefH22_5x_0)</f>
        <v>91.26</v>
      </c>
      <c r="I82" s="1"/>
      <c r="J82" s="5">
        <f t="shared" si="40"/>
        <v>2.31313647847403E-4</v>
      </c>
      <c r="K82" s="1"/>
      <c r="L82" s="1">
        <f t="shared" si="41"/>
        <v>0</v>
      </c>
      <c r="M82" s="1"/>
      <c r="N82" s="5">
        <f t="shared" si="42"/>
        <v>0</v>
      </c>
      <c r="O82" s="14"/>
      <c r="P82" s="1">
        <f>SUM(OSRRefP22_5x_0)</f>
        <v>273.77999999999997</v>
      </c>
      <c r="Q82" s="1"/>
      <c r="R82" s="5">
        <f t="shared" si="43"/>
        <v>2.6229378782005673E-4</v>
      </c>
      <c r="S82" s="1"/>
      <c r="T82" s="1">
        <f>SUM(OSRRefT22_5x_0)</f>
        <v>273.77999999999997</v>
      </c>
      <c r="U82" s="1"/>
      <c r="V82" s="5">
        <f t="shared" si="44"/>
        <v>1.4187843219761714E-4</v>
      </c>
      <c r="W82" s="1"/>
      <c r="X82" s="1">
        <f t="shared" si="45"/>
        <v>0</v>
      </c>
      <c r="Y82" s="1"/>
      <c r="Z82" s="5">
        <f t="shared" si="46"/>
        <v>0</v>
      </c>
    </row>
    <row r="83" spans="1:26" s="24" customFormat="1" hidden="1" outlineLevel="2" x14ac:dyDescent="0.25">
      <c r="A83" s="28"/>
      <c r="B83" s="11" t="str">
        <f>CONCATENATE("          ", "6351", " - ", "EQUIPMENT RENTAL")</f>
        <v xml:space="preserve">          6351 - EQUIPMENT RENTAL</v>
      </c>
      <c r="C83" s="11"/>
      <c r="D83" s="7">
        <v>91.26</v>
      </c>
      <c r="E83" s="2"/>
      <c r="F83" s="6">
        <f t="shared" si="39"/>
        <v>4.8288080146148966E-4</v>
      </c>
      <c r="G83" s="2"/>
      <c r="H83" s="7">
        <v>91.26</v>
      </c>
      <c r="I83" s="2"/>
      <c r="J83" s="6">
        <f t="shared" si="40"/>
        <v>2.31313647847403E-4</v>
      </c>
      <c r="K83" s="2"/>
      <c r="L83" s="7">
        <f t="shared" si="41"/>
        <v>0</v>
      </c>
      <c r="M83" s="2"/>
      <c r="N83" s="6">
        <f t="shared" si="42"/>
        <v>0</v>
      </c>
      <c r="O83" s="11"/>
      <c r="P83" s="7">
        <v>273.77999999999997</v>
      </c>
      <c r="Q83" s="2"/>
      <c r="R83" s="6">
        <f t="shared" si="43"/>
        <v>2.6229378782005673E-4</v>
      </c>
      <c r="S83" s="2"/>
      <c r="T83" s="7">
        <v>273.77999999999997</v>
      </c>
      <c r="U83" s="2"/>
      <c r="V83" s="6">
        <f t="shared" si="44"/>
        <v>1.4187843219761714E-4</v>
      </c>
      <c r="W83" s="2"/>
      <c r="X83" s="7">
        <f t="shared" si="45"/>
        <v>0</v>
      </c>
      <c r="Y83" s="2"/>
      <c r="Z83" s="6">
        <f t="shared" si="46"/>
        <v>0</v>
      </c>
    </row>
    <row r="84" spans="1:26" s="27" customFormat="1" outlineLevel="1" collapsed="1" x14ac:dyDescent="0.25">
      <c r="A84" s="29"/>
      <c r="B84" s="14" t="str">
        <f>CONCATENATE("     ","Freight out/Postage                               ")</f>
        <v xml:space="preserve">     Freight out/Postage                               </v>
      </c>
      <c r="C84" s="14"/>
      <c r="D84" s="1">
        <f>SUM(OSRRefD22_6x_0)</f>
        <v>35.35</v>
      </c>
      <c r="E84" s="1"/>
      <c r="F84" s="5">
        <f t="shared" si="39"/>
        <v>1.8704620131123888E-4</v>
      </c>
      <c r="G84" s="1"/>
      <c r="H84" s="1">
        <f>SUM(OSRRefH22_6x_0)</f>
        <v>2138.08</v>
      </c>
      <c r="I84" s="1"/>
      <c r="J84" s="5">
        <f t="shared" si="40"/>
        <v>5.4193193533812771E-3</v>
      </c>
      <c r="K84" s="1"/>
      <c r="L84" s="1">
        <f t="shared" si="41"/>
        <v>-2102.73</v>
      </c>
      <c r="M84" s="1"/>
      <c r="N84" s="5">
        <f t="shared" si="42"/>
        <v>-0.98346647459402836</v>
      </c>
      <c r="O84" s="14"/>
      <c r="P84" s="1">
        <f>SUM(OSRRefP22_6x_0)</f>
        <v>536.16</v>
      </c>
      <c r="Q84" s="1"/>
      <c r="R84" s="5">
        <f t="shared" si="43"/>
        <v>5.1366585315801598E-4</v>
      </c>
      <c r="S84" s="1"/>
      <c r="T84" s="1">
        <f>SUM(OSRRefT22_6x_0)</f>
        <v>2802.41</v>
      </c>
      <c r="U84" s="1"/>
      <c r="V84" s="5">
        <f t="shared" si="44"/>
        <v>1.4522665540759891E-3</v>
      </c>
      <c r="W84" s="1"/>
      <c r="X84" s="1">
        <f t="shared" si="45"/>
        <v>-2266.25</v>
      </c>
      <c r="Y84" s="1"/>
      <c r="Z84" s="5">
        <f t="shared" si="46"/>
        <v>-0.80867895846789017</v>
      </c>
    </row>
    <row r="85" spans="1:26" s="24" customFormat="1" hidden="1" outlineLevel="2" x14ac:dyDescent="0.25">
      <c r="A85" s="28"/>
      <c r="B85" s="11" t="str">
        <f>CONCATENATE("          ", "6305", " - ", "FREIGHT OUT")</f>
        <v xml:space="preserve">          6305 - FREIGHT OUT</v>
      </c>
      <c r="C85" s="11"/>
      <c r="D85" s="7">
        <v>35.35</v>
      </c>
      <c r="E85" s="2"/>
      <c r="F85" s="6">
        <f t="shared" si="39"/>
        <v>1.8704620131123888E-4</v>
      </c>
      <c r="G85" s="2"/>
      <c r="H85" s="7">
        <v>2137.58</v>
      </c>
      <c r="I85" s="2"/>
      <c r="J85" s="6">
        <f t="shared" si="40"/>
        <v>5.4180520202241032E-3</v>
      </c>
      <c r="K85" s="2"/>
      <c r="L85" s="7">
        <f t="shared" si="41"/>
        <v>-2102.23</v>
      </c>
      <c r="M85" s="2"/>
      <c r="N85" s="6">
        <f t="shared" si="42"/>
        <v>-0.98346260724744805</v>
      </c>
      <c r="O85" s="11"/>
      <c r="P85" s="7">
        <v>536.16</v>
      </c>
      <c r="Q85" s="2"/>
      <c r="R85" s="6">
        <f t="shared" si="43"/>
        <v>5.1366585315801598E-4</v>
      </c>
      <c r="S85" s="2"/>
      <c r="T85" s="7">
        <v>2801.91</v>
      </c>
      <c r="U85" s="2"/>
      <c r="V85" s="6">
        <f t="shared" si="44"/>
        <v>1.4520074437826922E-3</v>
      </c>
      <c r="W85" s="2"/>
      <c r="X85" s="7">
        <f t="shared" si="45"/>
        <v>-2265.75</v>
      </c>
      <c r="Y85" s="2"/>
      <c r="Z85" s="6">
        <f t="shared" si="46"/>
        <v>-0.80864481728535187</v>
      </c>
    </row>
    <row r="86" spans="1:26" s="24" customFormat="1" hidden="1" outlineLevel="2" x14ac:dyDescent="0.25">
      <c r="A86" s="28"/>
      <c r="B86" s="11" t="str">
        <f>CONCATENATE("          ", "6307", " - ", "POSTAGE")</f>
        <v xml:space="preserve">          6307 - POSTAGE</v>
      </c>
      <c r="C86" s="11"/>
      <c r="D86" s="7"/>
      <c r="E86" s="2"/>
      <c r="F86" s="6">
        <f t="shared" si="39"/>
        <v>0</v>
      </c>
      <c r="G86" s="2"/>
      <c r="H86" s="7">
        <v>0.5</v>
      </c>
      <c r="I86" s="2"/>
      <c r="J86" s="6">
        <f t="shared" si="40"/>
        <v>1.2673331571740246E-6</v>
      </c>
      <c r="K86" s="2"/>
      <c r="L86" s="7">
        <f t="shared" si="41"/>
        <v>-0.5</v>
      </c>
      <c r="M86" s="2"/>
      <c r="N86" s="6">
        <f t="shared" si="42"/>
        <v>-1</v>
      </c>
      <c r="O86" s="11"/>
      <c r="P86" s="7"/>
      <c r="Q86" s="2"/>
      <c r="R86" s="6">
        <f t="shared" si="43"/>
        <v>0</v>
      </c>
      <c r="S86" s="2"/>
      <c r="T86" s="7">
        <v>0.5</v>
      </c>
      <c r="U86" s="2"/>
      <c r="V86" s="6">
        <f t="shared" si="44"/>
        <v>2.5911029329683899E-7</v>
      </c>
      <c r="W86" s="2"/>
      <c r="X86" s="7">
        <f t="shared" si="45"/>
        <v>-0.5</v>
      </c>
      <c r="Y86" s="2"/>
      <c r="Z86" s="6">
        <f t="shared" si="46"/>
        <v>-1</v>
      </c>
    </row>
    <row r="87" spans="1:26" s="27" customFormat="1" outlineLevel="1" collapsed="1" x14ac:dyDescent="0.25">
      <c r="A87" s="29"/>
      <c r="B87" s="14" t="str">
        <f>CONCATENATE("     ","General                                           ")</f>
        <v xml:space="preserve">     General                                           </v>
      </c>
      <c r="C87" s="14"/>
      <c r="D87" s="1">
        <f>SUM(OSRRefD22_7x_0)</f>
        <v>0</v>
      </c>
      <c r="E87" s="1"/>
      <c r="F87" s="5">
        <f t="shared" ref="F87:F93" si="47">IF(D$12=0,0,D87/D$12)</f>
        <v>0</v>
      </c>
      <c r="G87" s="1"/>
      <c r="H87" s="1">
        <f>SUM(OSRRefH22_7x_0)</f>
        <v>-1500</v>
      </c>
      <c r="I87" s="1"/>
      <c r="J87" s="5">
        <f t="shared" ref="J87:J93" si="48">IF(H$12=0,0,H87/H$12)</f>
        <v>-3.8019994715220739E-3</v>
      </c>
      <c r="K87" s="1"/>
      <c r="L87" s="1">
        <f t="shared" ref="L87:L93" si="49">+D87-H87</f>
        <v>1500</v>
      </c>
      <c r="M87" s="1"/>
      <c r="N87" s="5">
        <f t="shared" ref="N87:N93" si="50">IF(H87=0,0,L87/H87)</f>
        <v>-1</v>
      </c>
      <c r="O87" s="14"/>
      <c r="P87" s="1">
        <f>SUM(OSRRefP22_7x_0)</f>
        <v>-4794.1899999999996</v>
      </c>
      <c r="Q87" s="1"/>
      <c r="R87" s="5">
        <f t="shared" ref="R87:R93" si="51">IF(P$12=0,0,P87/P$12)</f>
        <v>-4.5930537461795519E-3</v>
      </c>
      <c r="S87" s="1"/>
      <c r="T87" s="1">
        <f>SUM(OSRRefT22_7x_0)</f>
        <v>-1492.16</v>
      </c>
      <c r="U87" s="1"/>
      <c r="V87" s="5">
        <f t="shared" ref="V87:V93" si="52">IF(T$12=0,0,T87/T$12)</f>
        <v>-7.732680304916226E-4</v>
      </c>
      <c r="W87" s="1"/>
      <c r="X87" s="1">
        <f t="shared" ref="X87:X93" si="53">+P87-T87</f>
        <v>-3302.0299999999997</v>
      </c>
      <c r="Y87" s="1"/>
      <c r="Z87" s="5">
        <f t="shared" ref="Z87:Z93" si="54">IF(T87=0,0,X87/T87)</f>
        <v>2.2129195260561869</v>
      </c>
    </row>
    <row r="88" spans="1:26" s="24" customFormat="1" hidden="1" outlineLevel="2" x14ac:dyDescent="0.25">
      <c r="A88" s="28"/>
      <c r="B88" s="11" t="str">
        <f>CONCATENATE("          ", "6279", " - ", "GENERAL EXPENSE")</f>
        <v xml:space="preserve">          6279 - GENERAL EXPENSE</v>
      </c>
      <c r="C88" s="11"/>
      <c r="D88" s="7"/>
      <c r="E88" s="2"/>
      <c r="F88" s="6">
        <f t="shared" si="47"/>
        <v>0</v>
      </c>
      <c r="G88" s="2"/>
      <c r="H88" s="7">
        <v>-1500</v>
      </c>
      <c r="I88" s="2"/>
      <c r="J88" s="6">
        <f t="shared" si="48"/>
        <v>-3.8019994715220739E-3</v>
      </c>
      <c r="K88" s="2"/>
      <c r="L88" s="7">
        <f t="shared" si="49"/>
        <v>1500</v>
      </c>
      <c r="M88" s="2"/>
      <c r="N88" s="6">
        <f t="shared" si="50"/>
        <v>-1</v>
      </c>
      <c r="O88" s="11"/>
      <c r="P88" s="7">
        <v>-4794.1899999999996</v>
      </c>
      <c r="Q88" s="2"/>
      <c r="R88" s="6">
        <f t="shared" si="51"/>
        <v>-4.5930537461795519E-3</v>
      </c>
      <c r="S88" s="2"/>
      <c r="T88" s="7">
        <v>-1492.16</v>
      </c>
      <c r="U88" s="2"/>
      <c r="V88" s="6">
        <f t="shared" si="52"/>
        <v>-7.732680304916226E-4</v>
      </c>
      <c r="W88" s="2"/>
      <c r="X88" s="7">
        <f t="shared" si="53"/>
        <v>-3302.0299999999997</v>
      </c>
      <c r="Y88" s="2"/>
      <c r="Z88" s="6">
        <f t="shared" si="54"/>
        <v>2.2129195260561869</v>
      </c>
    </row>
    <row r="89" spans="1:26" s="27" customFormat="1" outlineLevel="1" collapsed="1" x14ac:dyDescent="0.25">
      <c r="A89" s="29"/>
      <c r="B89" s="14" t="str">
        <f>CONCATENATE("     ","Inventory Adjustment                              ")</f>
        <v xml:space="preserve">     Inventory Adjustment                              </v>
      </c>
      <c r="C89" s="14"/>
      <c r="D89" s="1">
        <f>SUM(OSRRefD22_8x_0)</f>
        <v>1000</v>
      </c>
      <c r="E89" s="1"/>
      <c r="F89" s="5">
        <f t="shared" si="47"/>
        <v>5.2912645349713966E-3</v>
      </c>
      <c r="G89" s="1"/>
      <c r="H89" s="1">
        <f>SUM(OSRRefH22_8x_0)</f>
        <v>1000</v>
      </c>
      <c r="I89" s="1"/>
      <c r="J89" s="5">
        <f t="shared" si="48"/>
        <v>2.5346663143480494E-3</v>
      </c>
      <c r="K89" s="1"/>
      <c r="L89" s="1">
        <f t="shared" si="49"/>
        <v>0</v>
      </c>
      <c r="M89" s="1"/>
      <c r="N89" s="5">
        <f t="shared" si="50"/>
        <v>0</v>
      </c>
      <c r="O89" s="14"/>
      <c r="P89" s="1">
        <f>SUM(OSRRefP22_8x_0)</f>
        <v>3000</v>
      </c>
      <c r="Q89" s="1"/>
      <c r="R89" s="5">
        <f t="shared" si="51"/>
        <v>2.8741374952888097E-3</v>
      </c>
      <c r="S89" s="1"/>
      <c r="T89" s="1">
        <f>SUM(OSRRefT22_8x_0)</f>
        <v>3000</v>
      </c>
      <c r="U89" s="1"/>
      <c r="V89" s="5">
        <f t="shared" si="52"/>
        <v>1.554661759781034E-3</v>
      </c>
      <c r="W89" s="1"/>
      <c r="X89" s="1">
        <f t="shared" si="53"/>
        <v>0</v>
      </c>
      <c r="Y89" s="1"/>
      <c r="Z89" s="5">
        <f t="shared" si="54"/>
        <v>0</v>
      </c>
    </row>
    <row r="90" spans="1:26" s="24" customFormat="1" hidden="1" outlineLevel="2" x14ac:dyDescent="0.25">
      <c r="A90" s="28"/>
      <c r="B90" s="11" t="str">
        <f>CONCATENATE("          ", "6408", " - ", "INVENTORY ADJUSTMENT")</f>
        <v xml:space="preserve">          6408 - INVENTORY ADJUSTMENT</v>
      </c>
      <c r="C90" s="11"/>
      <c r="D90" s="7">
        <v>1000</v>
      </c>
      <c r="E90" s="2"/>
      <c r="F90" s="6">
        <f t="shared" si="47"/>
        <v>5.2912645349713966E-3</v>
      </c>
      <c r="G90" s="2"/>
      <c r="H90" s="7">
        <v>1000</v>
      </c>
      <c r="I90" s="2"/>
      <c r="J90" s="6">
        <f t="shared" si="48"/>
        <v>2.5346663143480494E-3</v>
      </c>
      <c r="K90" s="2"/>
      <c r="L90" s="7">
        <f t="shared" si="49"/>
        <v>0</v>
      </c>
      <c r="M90" s="2"/>
      <c r="N90" s="6">
        <f t="shared" si="50"/>
        <v>0</v>
      </c>
      <c r="O90" s="11"/>
      <c r="P90" s="7">
        <v>3000</v>
      </c>
      <c r="Q90" s="2"/>
      <c r="R90" s="6">
        <f t="shared" si="51"/>
        <v>2.8741374952888097E-3</v>
      </c>
      <c r="S90" s="2"/>
      <c r="T90" s="7">
        <v>3000</v>
      </c>
      <c r="U90" s="2"/>
      <c r="V90" s="6">
        <f t="shared" si="52"/>
        <v>1.554661759781034E-3</v>
      </c>
      <c r="W90" s="2"/>
      <c r="X90" s="7">
        <f t="shared" si="53"/>
        <v>0</v>
      </c>
      <c r="Y90" s="2"/>
      <c r="Z90" s="6">
        <f t="shared" si="54"/>
        <v>0</v>
      </c>
    </row>
    <row r="91" spans="1:26" s="27" customFormat="1" outlineLevel="1" collapsed="1" x14ac:dyDescent="0.25">
      <c r="A91" s="29"/>
      <c r="B91" s="14" t="str">
        <f>CONCATENATE("     ","Repair and Maintenance                            ")</f>
        <v xml:space="preserve">     Repair and Maintenance                            </v>
      </c>
      <c r="C91" s="14"/>
      <c r="D91" s="1">
        <f>SUM(OSRRefD22_9x_0)</f>
        <v>68.94</v>
      </c>
      <c r="E91" s="1"/>
      <c r="F91" s="5">
        <f t="shared" si="47"/>
        <v>3.6477977704092805E-4</v>
      </c>
      <c r="G91" s="1"/>
      <c r="H91" s="1">
        <f>SUM(OSRRefH22_9x_0)</f>
        <v>20.78</v>
      </c>
      <c r="I91" s="1"/>
      <c r="J91" s="5">
        <f t="shared" si="48"/>
        <v>5.2670366012152466E-5</v>
      </c>
      <c r="K91" s="1"/>
      <c r="L91" s="1">
        <f t="shared" si="49"/>
        <v>48.16</v>
      </c>
      <c r="M91" s="1"/>
      <c r="N91" s="5">
        <f t="shared" si="50"/>
        <v>2.3176130895091429</v>
      </c>
      <c r="O91" s="14"/>
      <c r="P91" s="1">
        <f>SUM(OSRRefP22_9x_0)</f>
        <v>91.8</v>
      </c>
      <c r="Q91" s="1"/>
      <c r="R91" s="5">
        <f t="shared" si="51"/>
        <v>8.7948607355837571E-5</v>
      </c>
      <c r="S91" s="1"/>
      <c r="T91" s="1">
        <f>SUM(OSRRefT22_9x_0)</f>
        <v>70.2</v>
      </c>
      <c r="U91" s="1"/>
      <c r="V91" s="5">
        <f t="shared" si="52"/>
        <v>3.6379085178876199E-5</v>
      </c>
      <c r="W91" s="1"/>
      <c r="X91" s="1">
        <f t="shared" si="53"/>
        <v>21.599999999999994</v>
      </c>
      <c r="Y91" s="1"/>
      <c r="Z91" s="5">
        <f t="shared" si="54"/>
        <v>0.3076923076923076</v>
      </c>
    </row>
    <row r="92" spans="1:26" s="24" customFormat="1" hidden="1" outlineLevel="2" x14ac:dyDescent="0.25">
      <c r="A92" s="28"/>
      <c r="B92" s="11" t="str">
        <f>CONCATENATE("          ", "6373", " - ", "MAINTENANCE CONTRACTS")</f>
        <v xml:space="preserve">          6373 - MAINTENANCE CONTRACTS</v>
      </c>
      <c r="C92" s="11"/>
      <c r="D92" s="7">
        <v>43.83</v>
      </c>
      <c r="E92" s="2"/>
      <c r="F92" s="6">
        <f t="shared" si="47"/>
        <v>2.319161245677963E-4</v>
      </c>
      <c r="G92" s="2"/>
      <c r="H92" s="7">
        <v>20.78</v>
      </c>
      <c r="I92" s="2"/>
      <c r="J92" s="6">
        <f t="shared" si="48"/>
        <v>5.2670366012152466E-5</v>
      </c>
      <c r="K92" s="2"/>
      <c r="L92" s="7">
        <f t="shared" si="49"/>
        <v>23.049999999999997</v>
      </c>
      <c r="M92" s="2"/>
      <c r="N92" s="6">
        <f t="shared" si="50"/>
        <v>1.1092396535129931</v>
      </c>
      <c r="O92" s="11"/>
      <c r="P92" s="7">
        <v>66.69</v>
      </c>
      <c r="Q92" s="2"/>
      <c r="R92" s="6">
        <f t="shared" si="51"/>
        <v>6.3892076520270241E-5</v>
      </c>
      <c r="S92" s="2"/>
      <c r="T92" s="7">
        <v>70.2</v>
      </c>
      <c r="U92" s="2"/>
      <c r="V92" s="6">
        <f t="shared" si="52"/>
        <v>3.6379085178876199E-5</v>
      </c>
      <c r="W92" s="2"/>
      <c r="X92" s="7">
        <f t="shared" si="53"/>
        <v>-3.5100000000000051</v>
      </c>
      <c r="Y92" s="2"/>
      <c r="Z92" s="6">
        <f t="shared" si="54"/>
        <v>-5.0000000000000072E-2</v>
      </c>
    </row>
    <row r="93" spans="1:26" s="24" customFormat="1" hidden="1" outlineLevel="2" x14ac:dyDescent="0.25">
      <c r="A93" s="28"/>
      <c r="B93" s="11" t="str">
        <f>CONCATENATE("          ", "6375", " - ", "OUTSIDE REPAIRS &amp; MAINTENANCE")</f>
        <v xml:space="preserve">          6375 - OUTSIDE REPAIRS &amp; MAINTENANCE</v>
      </c>
      <c r="C93" s="11"/>
      <c r="D93" s="7">
        <v>25.11</v>
      </c>
      <c r="E93" s="2"/>
      <c r="F93" s="6">
        <f t="shared" si="47"/>
        <v>1.3286365247313175E-4</v>
      </c>
      <c r="G93" s="2"/>
      <c r="H93" s="7"/>
      <c r="I93" s="2"/>
      <c r="J93" s="6">
        <f t="shared" si="48"/>
        <v>0</v>
      </c>
      <c r="K93" s="2"/>
      <c r="L93" s="7">
        <f t="shared" si="49"/>
        <v>25.11</v>
      </c>
      <c r="M93" s="2"/>
      <c r="N93" s="6">
        <f t="shared" si="50"/>
        <v>0</v>
      </c>
      <c r="O93" s="11"/>
      <c r="P93" s="7">
        <v>25.11</v>
      </c>
      <c r="Q93" s="2"/>
      <c r="R93" s="6">
        <f t="shared" si="51"/>
        <v>2.4056530835567334E-5</v>
      </c>
      <c r="S93" s="2"/>
      <c r="T93" s="7"/>
      <c r="U93" s="2"/>
      <c r="V93" s="6">
        <f t="shared" si="52"/>
        <v>0</v>
      </c>
      <c r="W93" s="2"/>
      <c r="X93" s="7">
        <f t="shared" si="53"/>
        <v>25.11</v>
      </c>
      <c r="Y93" s="2"/>
      <c r="Z93" s="6">
        <f t="shared" si="54"/>
        <v>0</v>
      </c>
    </row>
    <row r="94" spans="1:26" s="27" customFormat="1" outlineLevel="1" collapsed="1" x14ac:dyDescent="0.25">
      <c r="A94" s="29"/>
      <c r="B94" s="14" t="str">
        <f>CONCATENATE("     ","Subscriptions &amp; Dues                              ")</f>
        <v xml:space="preserve">     Subscriptions &amp; Dues                              </v>
      </c>
      <c r="C94" s="14"/>
      <c r="D94" s="1">
        <f>SUM(OSRRefD22_10x_0)</f>
        <v>73.040000000000006</v>
      </c>
      <c r="E94" s="1"/>
      <c r="F94" s="5">
        <f t="shared" ref="F94:F99" si="55">IF(D$12=0,0,D94/D$12)</f>
        <v>3.8647396163431083E-4</v>
      </c>
      <c r="G94" s="1"/>
      <c r="H94" s="1">
        <f>SUM(OSRRefH22_10x_0)</f>
        <v>250</v>
      </c>
      <c r="I94" s="1"/>
      <c r="J94" s="5">
        <f t="shared" ref="J94:J99" si="56">IF(H$12=0,0,H94/H$12)</f>
        <v>6.3366657858701235E-4</v>
      </c>
      <c r="K94" s="1"/>
      <c r="L94" s="1">
        <f t="shared" ref="L94:L99" si="57">+D94-H94</f>
        <v>-176.95999999999998</v>
      </c>
      <c r="M94" s="1"/>
      <c r="N94" s="5">
        <f t="shared" ref="N94:N99" si="58">IF(H94=0,0,L94/H94)</f>
        <v>-0.70783999999999991</v>
      </c>
      <c r="O94" s="14"/>
      <c r="P94" s="1">
        <f>SUM(OSRRefP22_10x_0)</f>
        <v>633.04</v>
      </c>
      <c r="Q94" s="1"/>
      <c r="R94" s="5">
        <f t="shared" ref="R94:R99" si="59">IF(P$12=0,0,P94/P$12)</f>
        <v>6.0648133333920929E-4</v>
      </c>
      <c r="S94" s="1"/>
      <c r="T94" s="1">
        <f>SUM(OSRRefT22_10x_0)</f>
        <v>788.85</v>
      </c>
      <c r="U94" s="1"/>
      <c r="V94" s="5">
        <f t="shared" ref="V94:V99" si="60">IF(T$12=0,0,T94/T$12)</f>
        <v>4.0879830973442288E-4</v>
      </c>
      <c r="W94" s="1"/>
      <c r="X94" s="1">
        <f t="shared" ref="X94:X99" si="61">+P94-T94</f>
        <v>-155.81000000000006</v>
      </c>
      <c r="Y94" s="1"/>
      <c r="Z94" s="5">
        <f t="shared" ref="Z94:Z99" si="62">IF(T94=0,0,X94/T94)</f>
        <v>-0.19751537047600945</v>
      </c>
    </row>
    <row r="95" spans="1:26" s="24" customFormat="1" hidden="1" outlineLevel="2" x14ac:dyDescent="0.25">
      <c r="A95" s="28"/>
      <c r="B95" s="11" t="str">
        <f>CONCATENATE("          ", "6258", " - ", "MEMBERSHIP DUES")</f>
        <v xml:space="preserve">          6258 - MEMBERSHIP DUES</v>
      </c>
      <c r="C95" s="11"/>
      <c r="D95" s="7">
        <v>73.040000000000006</v>
      </c>
      <c r="E95" s="2"/>
      <c r="F95" s="6">
        <f t="shared" si="55"/>
        <v>3.8647396163431083E-4</v>
      </c>
      <c r="G95" s="2"/>
      <c r="H95" s="7">
        <v>250</v>
      </c>
      <c r="I95" s="2"/>
      <c r="J95" s="6">
        <f t="shared" si="56"/>
        <v>6.3366657858701235E-4</v>
      </c>
      <c r="K95" s="2"/>
      <c r="L95" s="7">
        <f t="shared" si="57"/>
        <v>-176.95999999999998</v>
      </c>
      <c r="M95" s="2"/>
      <c r="N95" s="6">
        <f t="shared" si="58"/>
        <v>-0.70783999999999991</v>
      </c>
      <c r="O95" s="11"/>
      <c r="P95" s="7">
        <v>633.04</v>
      </c>
      <c r="Q95" s="2"/>
      <c r="R95" s="6">
        <f t="shared" si="59"/>
        <v>6.0648133333920929E-4</v>
      </c>
      <c r="S95" s="2"/>
      <c r="T95" s="7">
        <v>788.85</v>
      </c>
      <c r="U95" s="2"/>
      <c r="V95" s="6">
        <f t="shared" si="60"/>
        <v>4.0879830973442288E-4</v>
      </c>
      <c r="W95" s="2"/>
      <c r="X95" s="7">
        <f t="shared" si="61"/>
        <v>-155.81000000000006</v>
      </c>
      <c r="Y95" s="2"/>
      <c r="Z95" s="6">
        <f t="shared" si="62"/>
        <v>-0.19751537047600945</v>
      </c>
    </row>
    <row r="96" spans="1:26" s="27" customFormat="1" outlineLevel="1" collapsed="1" x14ac:dyDescent="0.25">
      <c r="A96" s="29"/>
      <c r="B96" s="14" t="str">
        <f>CONCATENATE("     ","Supplies                                          ")</f>
        <v xml:space="preserve">     Supplies                                          </v>
      </c>
      <c r="C96" s="14"/>
      <c r="D96" s="1">
        <f>SUM(OSRRefD22_11x_0)</f>
        <v>98.81</v>
      </c>
      <c r="E96" s="1"/>
      <c r="F96" s="5">
        <f t="shared" si="55"/>
        <v>5.2282984870052364E-4</v>
      </c>
      <c r="G96" s="1"/>
      <c r="H96" s="1">
        <f>SUM(OSRRefH22_11x_0)</f>
        <v>149.59</v>
      </c>
      <c r="I96" s="1"/>
      <c r="J96" s="5">
        <f t="shared" si="56"/>
        <v>3.7916073396332471E-4</v>
      </c>
      <c r="K96" s="1"/>
      <c r="L96" s="1">
        <f t="shared" si="57"/>
        <v>-50.78</v>
      </c>
      <c r="M96" s="1"/>
      <c r="N96" s="5">
        <f t="shared" si="58"/>
        <v>-0.33946119393007557</v>
      </c>
      <c r="O96" s="14"/>
      <c r="P96" s="1">
        <f>SUM(OSRRefP22_11x_0)</f>
        <v>1088.97</v>
      </c>
      <c r="Q96" s="1"/>
      <c r="R96" s="5">
        <f t="shared" si="59"/>
        <v>1.043283169414885E-3</v>
      </c>
      <c r="S96" s="1"/>
      <c r="T96" s="1">
        <f>SUM(OSRRefT22_11x_0)</f>
        <v>7349.1399999999994</v>
      </c>
      <c r="U96" s="1"/>
      <c r="V96" s="5">
        <f t="shared" si="60"/>
        <v>3.8084756417590625E-3</v>
      </c>
      <c r="W96" s="1"/>
      <c r="X96" s="1">
        <f t="shared" si="61"/>
        <v>-6260.1699999999992</v>
      </c>
      <c r="Y96" s="1"/>
      <c r="Z96" s="5">
        <f t="shared" si="62"/>
        <v>-0.85182347866553088</v>
      </c>
    </row>
    <row r="97" spans="1:26" s="24" customFormat="1" hidden="1" outlineLevel="2" x14ac:dyDescent="0.25">
      <c r="A97" s="28"/>
      <c r="B97" s="11" t="str">
        <f>CONCATENATE("          ", "6241", " - ", "OFFICE EXPENSE")</f>
        <v xml:space="preserve">          6241 - OFFICE EXPENSE</v>
      </c>
      <c r="C97" s="11"/>
      <c r="D97" s="7">
        <v>98.81</v>
      </c>
      <c r="E97" s="2"/>
      <c r="F97" s="6">
        <f t="shared" si="55"/>
        <v>5.2282984870052364E-4</v>
      </c>
      <c r="G97" s="2"/>
      <c r="H97" s="7">
        <v>132.74</v>
      </c>
      <c r="I97" s="2"/>
      <c r="J97" s="6">
        <f t="shared" si="56"/>
        <v>3.3645160656656009E-4</v>
      </c>
      <c r="K97" s="2"/>
      <c r="L97" s="7">
        <f t="shared" si="57"/>
        <v>-33.930000000000007</v>
      </c>
      <c r="M97" s="2"/>
      <c r="N97" s="6">
        <f t="shared" si="58"/>
        <v>-0.25561247551604643</v>
      </c>
      <c r="O97" s="11"/>
      <c r="P97" s="7">
        <v>455.87</v>
      </c>
      <c r="Q97" s="2"/>
      <c r="R97" s="6">
        <f t="shared" si="59"/>
        <v>4.3674435332576988E-4</v>
      </c>
      <c r="S97" s="2"/>
      <c r="T97" s="7">
        <v>2337.8200000000002</v>
      </c>
      <c r="U97" s="2"/>
      <c r="V97" s="6">
        <f t="shared" si="60"/>
        <v>1.2115064517504324E-3</v>
      </c>
      <c r="W97" s="2"/>
      <c r="X97" s="7">
        <f t="shared" si="61"/>
        <v>-1881.9500000000003</v>
      </c>
      <c r="Y97" s="2"/>
      <c r="Z97" s="6">
        <f t="shared" si="62"/>
        <v>-0.8050020959697497</v>
      </c>
    </row>
    <row r="98" spans="1:26" s="24" customFormat="1" hidden="1" outlineLevel="2" x14ac:dyDescent="0.25">
      <c r="A98" s="28"/>
      <c r="B98" s="11" t="str">
        <f>CONCATENATE("          ", "6245", " - ", "PRINTING")</f>
        <v xml:space="preserve">          6245 - PRINTING</v>
      </c>
      <c r="C98" s="11"/>
      <c r="D98" s="7"/>
      <c r="E98" s="2"/>
      <c r="F98" s="6">
        <f t="shared" si="55"/>
        <v>0</v>
      </c>
      <c r="G98" s="2"/>
      <c r="H98" s="7"/>
      <c r="I98" s="2"/>
      <c r="J98" s="6">
        <f t="shared" si="56"/>
        <v>0</v>
      </c>
      <c r="K98" s="2"/>
      <c r="L98" s="7">
        <f t="shared" si="57"/>
        <v>0</v>
      </c>
      <c r="M98" s="2"/>
      <c r="N98" s="6">
        <f t="shared" si="58"/>
        <v>0</v>
      </c>
      <c r="O98" s="11"/>
      <c r="P98" s="7"/>
      <c r="Q98" s="2"/>
      <c r="R98" s="6">
        <f t="shared" si="59"/>
        <v>0</v>
      </c>
      <c r="S98" s="2"/>
      <c r="T98" s="7">
        <v>4978.08</v>
      </c>
      <c r="U98" s="2"/>
      <c r="V98" s="6">
        <f t="shared" si="60"/>
        <v>2.5797435377102568E-3</v>
      </c>
      <c r="W98" s="2"/>
      <c r="X98" s="7">
        <f t="shared" si="61"/>
        <v>-4978.08</v>
      </c>
      <c r="Y98" s="2"/>
      <c r="Z98" s="6">
        <f t="shared" si="62"/>
        <v>-1</v>
      </c>
    </row>
    <row r="99" spans="1:26" s="24" customFormat="1" hidden="1" outlineLevel="2" x14ac:dyDescent="0.25">
      <c r="A99" s="28"/>
      <c r="B99" s="11" t="str">
        <f>CONCATENATE("          ", "6247", " - ", "STORE SUPPLIES")</f>
        <v xml:space="preserve">          6247 - STORE SUPPLIES</v>
      </c>
      <c r="C99" s="11"/>
      <c r="D99" s="7"/>
      <c r="E99" s="2"/>
      <c r="F99" s="6">
        <f t="shared" si="55"/>
        <v>0</v>
      </c>
      <c r="G99" s="2"/>
      <c r="H99" s="7">
        <v>16.850000000000001</v>
      </c>
      <c r="I99" s="2"/>
      <c r="J99" s="6">
        <f t="shared" si="56"/>
        <v>4.2709127396764633E-5</v>
      </c>
      <c r="K99" s="2"/>
      <c r="L99" s="7">
        <f t="shared" si="57"/>
        <v>-16.850000000000001</v>
      </c>
      <c r="M99" s="2"/>
      <c r="N99" s="6">
        <f t="shared" si="58"/>
        <v>-1</v>
      </c>
      <c r="O99" s="11"/>
      <c r="P99" s="7">
        <v>633.1</v>
      </c>
      <c r="Q99" s="2"/>
      <c r="R99" s="6">
        <f t="shared" si="59"/>
        <v>6.0653881608911512E-4</v>
      </c>
      <c r="S99" s="2"/>
      <c r="T99" s="7">
        <v>33.24</v>
      </c>
      <c r="U99" s="2"/>
      <c r="V99" s="6">
        <f t="shared" si="60"/>
        <v>1.722565229837386E-5</v>
      </c>
      <c r="W99" s="2"/>
      <c r="X99" s="7">
        <f t="shared" si="61"/>
        <v>599.86</v>
      </c>
      <c r="Y99" s="2"/>
      <c r="Z99" s="6">
        <f t="shared" si="62"/>
        <v>18.046329723225028</v>
      </c>
    </row>
    <row r="100" spans="1:26" s="27" customFormat="1" outlineLevel="1" collapsed="1" x14ac:dyDescent="0.25">
      <c r="A100" s="29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SUM(OSRRefD22_12x_0)</f>
        <v>2635</v>
      </c>
      <c r="E100" s="1"/>
      <c r="F100" s="5">
        <f t="shared" ref="F100:F102" si="63">IF(D$12=0,0,D100/D$12)</f>
        <v>1.3942482049649629E-2</v>
      </c>
      <c r="G100" s="1"/>
      <c r="H100" s="1">
        <f>SUM(OSRRefH22_12x_0)</f>
        <v>2045</v>
      </c>
      <c r="I100" s="1"/>
      <c r="J100" s="5">
        <f t="shared" ref="J100:J102" si="64">IF(H$12=0,0,H100/H$12)</f>
        <v>5.1833926128417611E-3</v>
      </c>
      <c r="K100" s="1"/>
      <c r="L100" s="1">
        <f t="shared" ref="L100:L102" si="65">+D100-H100</f>
        <v>590</v>
      </c>
      <c r="M100" s="1"/>
      <c r="N100" s="5">
        <f t="shared" ref="N100:N102" si="66">IF(H100=0,0,L100/H100)</f>
        <v>0.28850855745721271</v>
      </c>
      <c r="O100" s="14"/>
      <c r="P100" s="1">
        <f>SUM(OSRRefP22_12x_0)</f>
        <v>3868.3</v>
      </c>
      <c r="Q100" s="1"/>
      <c r="R100" s="5">
        <f t="shared" ref="R100:R102" si="67">IF(P$12=0,0,P100/P$12)</f>
        <v>3.7060086910085674E-3</v>
      </c>
      <c r="S100" s="1"/>
      <c r="T100" s="1">
        <f>SUM(OSRRefT22_12x_0)</f>
        <v>3399.5</v>
      </c>
      <c r="U100" s="1"/>
      <c r="V100" s="5">
        <f t="shared" ref="V100:V102" si="68">IF(T$12=0,0,T100/T$12)</f>
        <v>1.7616908841252084E-3</v>
      </c>
      <c r="W100" s="1"/>
      <c r="X100" s="1">
        <f t="shared" ref="X100:X102" si="69">+P100-T100</f>
        <v>468.80000000000018</v>
      </c>
      <c r="Y100" s="1"/>
      <c r="Z100" s="5">
        <f t="shared" ref="Z100:Z102" si="70">IF(T100=0,0,X100/T100)</f>
        <v>0.13790263274010889</v>
      </c>
    </row>
    <row r="101" spans="1:26" s="24" customFormat="1" hidden="1" outlineLevel="2" x14ac:dyDescent="0.25">
      <c r="A101" s="28"/>
      <c r="B101" s="11" t="str">
        <f>CONCATENATE("          ", "6303", " - ", "DATA PHONE LINES")</f>
        <v xml:space="preserve">          6303 - DATA PHONE LINES</v>
      </c>
      <c r="C101" s="11"/>
      <c r="D101" s="7">
        <v>885</v>
      </c>
      <c r="E101" s="2"/>
      <c r="F101" s="6">
        <f t="shared" si="63"/>
        <v>4.6827691134496852E-3</v>
      </c>
      <c r="G101" s="2"/>
      <c r="H101" s="7">
        <v>295</v>
      </c>
      <c r="I101" s="2"/>
      <c r="J101" s="6">
        <f t="shared" si="64"/>
        <v>7.4772656273267458E-4</v>
      </c>
      <c r="K101" s="2"/>
      <c r="L101" s="7">
        <f t="shared" si="65"/>
        <v>590</v>
      </c>
      <c r="M101" s="2"/>
      <c r="N101" s="6">
        <f t="shared" si="66"/>
        <v>2</v>
      </c>
      <c r="O101" s="11"/>
      <c r="P101" s="7">
        <v>1180</v>
      </c>
      <c r="Q101" s="2"/>
      <c r="R101" s="6">
        <f t="shared" si="67"/>
        <v>1.1304940814802651E-3</v>
      </c>
      <c r="S101" s="2"/>
      <c r="T101" s="7">
        <v>885</v>
      </c>
      <c r="U101" s="2"/>
      <c r="V101" s="6">
        <f t="shared" si="68"/>
        <v>4.5862521913540502E-4</v>
      </c>
      <c r="W101" s="2"/>
      <c r="X101" s="7">
        <f t="shared" si="69"/>
        <v>295</v>
      </c>
      <c r="Y101" s="2"/>
      <c r="Z101" s="6">
        <f t="shared" si="70"/>
        <v>0.33333333333333331</v>
      </c>
    </row>
    <row r="102" spans="1:26" s="24" customFormat="1" hidden="1" outlineLevel="2" x14ac:dyDescent="0.25">
      <c r="A102" s="28"/>
      <c r="B102" s="11" t="str">
        <f>CONCATENATE("          ", "6309", " - ", "TELEPHONE")</f>
        <v xml:space="preserve">          6309 - TELEPHONE</v>
      </c>
      <c r="C102" s="11"/>
      <c r="D102" s="7">
        <v>1750</v>
      </c>
      <c r="E102" s="2"/>
      <c r="F102" s="6">
        <f t="shared" si="63"/>
        <v>9.2597129361999438E-3</v>
      </c>
      <c r="G102" s="2"/>
      <c r="H102" s="7">
        <v>1750</v>
      </c>
      <c r="I102" s="2"/>
      <c r="J102" s="6">
        <f t="shared" si="64"/>
        <v>4.4356660501090866E-3</v>
      </c>
      <c r="K102" s="2"/>
      <c r="L102" s="7">
        <f t="shared" si="65"/>
        <v>0</v>
      </c>
      <c r="M102" s="2"/>
      <c r="N102" s="6">
        <f t="shared" si="66"/>
        <v>0</v>
      </c>
      <c r="O102" s="11"/>
      <c r="P102" s="7">
        <v>2688.3</v>
      </c>
      <c r="Q102" s="2"/>
      <c r="R102" s="6">
        <f t="shared" si="67"/>
        <v>2.5755146095283025E-3</v>
      </c>
      <c r="S102" s="2"/>
      <c r="T102" s="7">
        <v>2514.5</v>
      </c>
      <c r="U102" s="2"/>
      <c r="V102" s="6">
        <f t="shared" si="68"/>
        <v>1.3030656649898034E-3</v>
      </c>
      <c r="W102" s="2"/>
      <c r="X102" s="7">
        <f t="shared" si="69"/>
        <v>173.80000000000018</v>
      </c>
      <c r="Y102" s="2"/>
      <c r="Z102" s="6">
        <f t="shared" si="70"/>
        <v>6.9119109166832449E-2</v>
      </c>
    </row>
    <row r="103" spans="1:26" s="27" customFormat="1" outlineLevel="1" collapsed="1" x14ac:dyDescent="0.25">
      <c r="A103" s="29"/>
      <c r="B103" s="14" t="str">
        <f>CONCATENATE("     ","Training                                          ")</f>
        <v xml:space="preserve">     Training                                          </v>
      </c>
      <c r="C103" s="14"/>
      <c r="D103" s="1">
        <f>SUM(OSRRefD22_13x_0)</f>
        <v>0</v>
      </c>
      <c r="E103" s="1"/>
      <c r="F103" s="5">
        <f t="shared" ref="F103:F106" si="71">IF(D$12=0,0,D103/D$12)</f>
        <v>0</v>
      </c>
      <c r="G103" s="1"/>
      <c r="H103" s="1">
        <f>SUM(OSRRefH22_13x_0)</f>
        <v>0</v>
      </c>
      <c r="I103" s="1"/>
      <c r="J103" s="5">
        <f t="shared" ref="J103:J106" si="72">IF(H$12=0,0,H103/H$12)</f>
        <v>0</v>
      </c>
      <c r="K103" s="1"/>
      <c r="L103" s="1">
        <f t="shared" ref="L103:L106" si="73">+D103-H103</f>
        <v>0</v>
      </c>
      <c r="M103" s="1"/>
      <c r="N103" s="5">
        <f t="shared" ref="N103:N106" si="74">IF(H103=0,0,L103/H103)</f>
        <v>0</v>
      </c>
      <c r="O103" s="14"/>
      <c r="P103" s="1">
        <f>SUM(OSRRefP22_13x_0)</f>
        <v>0</v>
      </c>
      <c r="Q103" s="1"/>
      <c r="R103" s="5">
        <f t="shared" ref="R103:R106" si="75">IF(P$12=0,0,P103/P$12)</f>
        <v>0</v>
      </c>
      <c r="S103" s="1"/>
      <c r="T103" s="1">
        <f>SUM(OSRRefT22_13x_0)</f>
        <v>547.47</v>
      </c>
      <c r="U103" s="1"/>
      <c r="V103" s="5">
        <f t="shared" ref="V103:V106" si="76">IF(T$12=0,0,T103/T$12)</f>
        <v>2.8371022454244091E-4</v>
      </c>
      <c r="W103" s="1"/>
      <c r="X103" s="1">
        <f t="shared" ref="X103:X106" si="77">+P103-T103</f>
        <v>-547.47</v>
      </c>
      <c r="Y103" s="1"/>
      <c r="Z103" s="5">
        <f t="shared" ref="Z103:Z106" si="78">IF(T103=0,0,X103/T103)</f>
        <v>-1</v>
      </c>
    </row>
    <row r="104" spans="1:26" s="24" customFormat="1" hidden="1" outlineLevel="2" x14ac:dyDescent="0.25">
      <c r="A104" s="28"/>
      <c r="B104" s="11" t="str">
        <f>CONCATENATE("          ", "6376", " - ", "TRAINING")</f>
        <v xml:space="preserve">          6376 - TRAINING</v>
      </c>
      <c r="C104" s="11"/>
      <c r="D104" s="7"/>
      <c r="E104" s="2"/>
      <c r="F104" s="6">
        <f t="shared" si="71"/>
        <v>0</v>
      </c>
      <c r="G104" s="2"/>
      <c r="H104" s="7"/>
      <c r="I104" s="2"/>
      <c r="J104" s="6">
        <f t="shared" si="72"/>
        <v>0</v>
      </c>
      <c r="K104" s="2"/>
      <c r="L104" s="7">
        <f t="shared" si="73"/>
        <v>0</v>
      </c>
      <c r="M104" s="2"/>
      <c r="N104" s="6">
        <f t="shared" si="74"/>
        <v>0</v>
      </c>
      <c r="O104" s="11"/>
      <c r="P104" s="7"/>
      <c r="Q104" s="2"/>
      <c r="R104" s="6">
        <f t="shared" si="75"/>
        <v>0</v>
      </c>
      <c r="S104" s="2"/>
      <c r="T104" s="7">
        <v>547.47</v>
      </c>
      <c r="U104" s="2"/>
      <c r="V104" s="6">
        <f t="shared" si="76"/>
        <v>2.8371022454244091E-4</v>
      </c>
      <c r="W104" s="2"/>
      <c r="X104" s="7">
        <f t="shared" si="77"/>
        <v>-547.47</v>
      </c>
      <c r="Y104" s="2"/>
      <c r="Z104" s="6">
        <f t="shared" si="78"/>
        <v>-1</v>
      </c>
    </row>
    <row r="105" spans="1:26" s="27" customFormat="1" outlineLevel="1" collapsed="1" x14ac:dyDescent="0.25">
      <c r="A105" s="29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SUM(OSRRefD22_14x_0)</f>
        <v>0</v>
      </c>
      <c r="E105" s="1"/>
      <c r="F105" s="5">
        <f t="shared" si="71"/>
        <v>0</v>
      </c>
      <c r="G105" s="1"/>
      <c r="H105" s="1">
        <f>SUM(OSRRefH22_14x_0)</f>
        <v>0</v>
      </c>
      <c r="I105" s="1"/>
      <c r="J105" s="5">
        <f t="shared" si="72"/>
        <v>0</v>
      </c>
      <c r="K105" s="1"/>
      <c r="L105" s="1">
        <f t="shared" si="73"/>
        <v>0</v>
      </c>
      <c r="M105" s="1"/>
      <c r="N105" s="5">
        <f t="shared" si="74"/>
        <v>0</v>
      </c>
      <c r="O105" s="14"/>
      <c r="P105" s="1">
        <f>SUM(OSRRefP22_14x_0)</f>
        <v>0.16</v>
      </c>
      <c r="Q105" s="1"/>
      <c r="R105" s="5">
        <f t="shared" si="75"/>
        <v>1.5328733308206985E-7</v>
      </c>
      <c r="S105" s="1"/>
      <c r="T105" s="1">
        <f>SUM(OSRRefT22_14x_0)</f>
        <v>0</v>
      </c>
      <c r="U105" s="1"/>
      <c r="V105" s="5">
        <f t="shared" si="76"/>
        <v>0</v>
      </c>
      <c r="W105" s="1"/>
      <c r="X105" s="1">
        <f t="shared" si="77"/>
        <v>0.16</v>
      </c>
      <c r="Y105" s="1"/>
      <c r="Z105" s="5">
        <f t="shared" si="78"/>
        <v>0</v>
      </c>
    </row>
    <row r="106" spans="1:26" s="24" customFormat="1" hidden="1" outlineLevel="2" x14ac:dyDescent="0.25">
      <c r="A106" s="28"/>
      <c r="B106" s="11" t="str">
        <f>CONCATENATE("          ", "6292", " - ", "TRAVEL/CONFERENCE")</f>
        <v xml:space="preserve">          6292 - TRAVEL/CONFERENCE</v>
      </c>
      <c r="C106" s="11"/>
      <c r="D106" s="7"/>
      <c r="E106" s="2"/>
      <c r="F106" s="6">
        <f t="shared" si="71"/>
        <v>0</v>
      </c>
      <c r="G106" s="2"/>
      <c r="H106" s="7"/>
      <c r="I106" s="2"/>
      <c r="J106" s="6">
        <f t="shared" si="72"/>
        <v>0</v>
      </c>
      <c r="K106" s="2"/>
      <c r="L106" s="7">
        <f t="shared" si="73"/>
        <v>0</v>
      </c>
      <c r="M106" s="2"/>
      <c r="N106" s="6">
        <f t="shared" si="74"/>
        <v>0</v>
      </c>
      <c r="O106" s="11"/>
      <c r="P106" s="7">
        <v>0.16</v>
      </c>
      <c r="Q106" s="2"/>
      <c r="R106" s="6">
        <f t="shared" si="75"/>
        <v>1.5328733308206985E-7</v>
      </c>
      <c r="S106" s="2"/>
      <c r="T106" s="7"/>
      <c r="U106" s="2"/>
      <c r="V106" s="6">
        <f t="shared" si="76"/>
        <v>0</v>
      </c>
      <c r="W106" s="2"/>
      <c r="X106" s="7">
        <f t="shared" si="77"/>
        <v>0.16</v>
      </c>
      <c r="Y106" s="2"/>
      <c r="Z106" s="6">
        <f t="shared" si="78"/>
        <v>0</v>
      </c>
    </row>
    <row r="107" spans="1:26" s="60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6" t="s">
        <v>0</v>
      </c>
      <c r="C108" s="10"/>
      <c r="D108" s="4">
        <f>SUM(OSRRefD25x_0)</f>
        <v>156953.37</v>
      </c>
      <c r="E108" s="4"/>
      <c r="F108" s="12">
        <f t="shared" ref="F108:F111" si="79">IF(D$12=0,0,D108/D$12)</f>
        <v>0.83048180032524344</v>
      </c>
      <c r="G108" s="4"/>
      <c r="H108" s="4">
        <f>SUM(OSRRefH25x_0)</f>
        <v>95057.069999999992</v>
      </c>
      <c r="I108" s="4"/>
      <c r="J108" s="12">
        <f t="shared" ref="J108:J111" si="80">IF(H$12=0,0,H108/H$12)</f>
        <v>0.2409379532696245</v>
      </c>
      <c r="K108" s="4"/>
      <c r="L108" s="4">
        <f t="shared" ref="L108:L111" si="81">+D108-H108</f>
        <v>61896.3</v>
      </c>
      <c r="M108" s="4"/>
      <c r="N108" s="12">
        <f t="shared" ref="N108:N111" si="82">IF(H108=0,0,L108/H108)</f>
        <v>0.65114883090758013</v>
      </c>
      <c r="O108" s="10"/>
      <c r="P108" s="4">
        <f>SUM(OSRRefP25x_0)</f>
        <v>160900.78000000003</v>
      </c>
      <c r="Q108" s="4"/>
      <c r="R108" s="12">
        <f t="shared" ref="R108:R111" si="83">IF(P$12=0,0,P108/P$12)</f>
        <v>0.15415032160640529</v>
      </c>
      <c r="S108" s="4"/>
      <c r="T108" s="4">
        <f>SUM(OSRRefT25x_0)</f>
        <v>97383.17</v>
      </c>
      <c r="U108" s="4"/>
      <c r="V108" s="12">
        <f t="shared" ref="V108:V111" si="84">IF(T$12=0,0,T108/T$12)</f>
        <v>5.0465963481751863E-2</v>
      </c>
      <c r="W108" s="4"/>
      <c r="X108" s="4">
        <f t="shared" ref="X108:X111" si="85">+P108-T108</f>
        <v>63517.61000000003</v>
      </c>
      <c r="Y108" s="4"/>
      <c r="Z108" s="12">
        <f t="shared" ref="Z108:Z111" si="86">IF(T108=0,0,X108/T108)</f>
        <v>0.65224422248731506</v>
      </c>
    </row>
    <row r="109" spans="1:26" s="24" customFormat="1" hidden="1" outlineLevel="1" x14ac:dyDescent="0.25">
      <c r="A109" s="44"/>
      <c r="B109" s="11" t="str">
        <f>CONCATENATE("          ", "9150", " - ", "MISC. INCOME")</f>
        <v xml:space="preserve">          9150 - MISC. INCOME</v>
      </c>
      <c r="C109" s="11"/>
      <c r="D109" s="2">
        <f>--9125.43</f>
        <v>9125.43</v>
      </c>
      <c r="E109" s="2"/>
      <c r="F109" s="19">
        <f t="shared" si="79"/>
        <v>4.8285064125364027E-2</v>
      </c>
      <c r="G109" s="2"/>
      <c r="H109" s="2">
        <f>--6747.28</f>
        <v>6747.28</v>
      </c>
      <c r="I109" s="2"/>
      <c r="J109" s="19">
        <f t="shared" si="80"/>
        <v>1.7102103329474306E-2</v>
      </c>
      <c r="K109" s="2"/>
      <c r="L109" s="2">
        <f t="shared" si="81"/>
        <v>2378.1500000000005</v>
      </c>
      <c r="M109" s="2"/>
      <c r="N109" s="19">
        <f t="shared" si="82"/>
        <v>0.35246054706489144</v>
      </c>
      <c r="O109" s="11"/>
      <c r="P109" s="2">
        <f>--11526.45</f>
        <v>11526.45</v>
      </c>
      <c r="Q109" s="2"/>
      <c r="R109" s="19">
        <f t="shared" si="83"/>
        <v>1.1042867377523901E-2</v>
      </c>
      <c r="S109" s="2"/>
      <c r="T109" s="2">
        <f>--9065.95</f>
        <v>9065.9500000000007</v>
      </c>
      <c r="U109" s="2"/>
      <c r="V109" s="19">
        <f t="shared" si="84"/>
        <v>4.6981619270289555E-3</v>
      </c>
      <c r="W109" s="2"/>
      <c r="X109" s="2">
        <f t="shared" si="85"/>
        <v>2460.5</v>
      </c>
      <c r="Y109" s="2"/>
      <c r="Z109" s="19">
        <f t="shared" si="86"/>
        <v>0.2714001290543186</v>
      </c>
    </row>
    <row r="110" spans="1:26" s="24" customFormat="1" hidden="1" outlineLevel="1" x14ac:dyDescent="0.25">
      <c r="A110" s="44"/>
      <c r="B110" s="11" t="str">
        <f>CONCATENATE("          ", "9151", " - ", "MISC. INCOME")</f>
        <v xml:space="preserve">          9151 - MISC. INCOME</v>
      </c>
      <c r="C110" s="11"/>
      <c r="D110" s="2">
        <f>--147285.39</f>
        <v>147285.39000000001</v>
      </c>
      <c r="E110" s="2"/>
      <c r="F110" s="19">
        <f t="shared" si="79"/>
        <v>0.77932596062643078</v>
      </c>
      <c r="G110" s="2"/>
      <c r="H110" s="2">
        <f>--87676.2</f>
        <v>87676.2</v>
      </c>
      <c r="I110" s="2"/>
      <c r="J110" s="19">
        <f t="shared" si="80"/>
        <v>0.22222991071004244</v>
      </c>
      <c r="K110" s="2"/>
      <c r="L110" s="2">
        <f t="shared" si="81"/>
        <v>59609.190000000017</v>
      </c>
      <c r="M110" s="2"/>
      <c r="N110" s="19">
        <f t="shared" si="82"/>
        <v>0.67987880405400802</v>
      </c>
      <c r="O110" s="11"/>
      <c r="P110" s="2">
        <f>--147285.39</f>
        <v>147285.39000000001</v>
      </c>
      <c r="Q110" s="2"/>
      <c r="R110" s="19">
        <f t="shared" si="83"/>
        <v>0.1411061539690785</v>
      </c>
      <c r="S110" s="2"/>
      <c r="T110" s="2">
        <f>--87676.2</f>
        <v>87676.2</v>
      </c>
      <c r="U110" s="2"/>
      <c r="V110" s="19">
        <f t="shared" si="84"/>
        <v>4.543561179430463E-2</v>
      </c>
      <c r="W110" s="2"/>
      <c r="X110" s="2">
        <f t="shared" si="85"/>
        <v>59609.190000000017</v>
      </c>
      <c r="Y110" s="2"/>
      <c r="Z110" s="19">
        <f t="shared" si="86"/>
        <v>0.67987880405400802</v>
      </c>
    </row>
    <row r="111" spans="1:26" s="24" customFormat="1" hidden="1" outlineLevel="1" x14ac:dyDescent="0.25">
      <c r="A111" s="44"/>
      <c r="B111" s="11" t="str">
        <f>CONCATENATE("          ", "9152", " - ", "MISC. INCOME")</f>
        <v xml:space="preserve">          9152 - MISC. INCOME</v>
      </c>
      <c r="C111" s="11"/>
      <c r="D111" s="2">
        <f>--542.55</f>
        <v>542.54999999999995</v>
      </c>
      <c r="E111" s="2"/>
      <c r="F111" s="19">
        <f t="shared" si="79"/>
        <v>2.8707755734487307E-3</v>
      </c>
      <c r="G111" s="2"/>
      <c r="H111" s="2">
        <f>--633.59</f>
        <v>633.59</v>
      </c>
      <c r="I111" s="2"/>
      <c r="J111" s="19">
        <f t="shared" si="80"/>
        <v>1.6059392301077807E-3</v>
      </c>
      <c r="K111" s="2"/>
      <c r="L111" s="2">
        <f t="shared" si="81"/>
        <v>-91.040000000000077</v>
      </c>
      <c r="M111" s="2"/>
      <c r="N111" s="19">
        <f t="shared" si="82"/>
        <v>-0.14368913650783641</v>
      </c>
      <c r="O111" s="11"/>
      <c r="P111" s="2">
        <f>--2088.94</f>
        <v>2088.94</v>
      </c>
      <c r="Q111" s="2"/>
      <c r="R111" s="19">
        <f t="shared" si="83"/>
        <v>2.0013002598028686E-3</v>
      </c>
      <c r="S111" s="2"/>
      <c r="T111" s="2">
        <f>--641.02</f>
        <v>641.02</v>
      </c>
      <c r="U111" s="2"/>
      <c r="V111" s="19">
        <f t="shared" si="84"/>
        <v>3.3218976041827949E-4</v>
      </c>
      <c r="W111" s="2"/>
      <c r="X111" s="2">
        <f t="shared" si="85"/>
        <v>1447.92</v>
      </c>
      <c r="Y111" s="2"/>
      <c r="Z111" s="19">
        <f t="shared" si="86"/>
        <v>2.2587750772206796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10"/>
      <c r="B113" s="25" t="s">
        <v>3</v>
      </c>
      <c r="C113" s="25"/>
      <c r="D113" s="22">
        <f>+D55-D57+D108</f>
        <v>175534.75000000006</v>
      </c>
      <c r="E113" s="13"/>
      <c r="F113" s="21">
        <f>IF(D$12=0,0,D113/D$12)</f>
        <v>0.92880079733007059</v>
      </c>
      <c r="G113" s="13"/>
      <c r="H113" s="22">
        <f>+H55-H57+H108</f>
        <v>175272.12</v>
      </c>
      <c r="I113" s="13"/>
      <c r="J113" s="21">
        <f>IF(H$12=0,0,H113/H$12)</f>
        <v>0.44425633840836903</v>
      </c>
      <c r="K113" s="15"/>
      <c r="L113" s="22">
        <f>+D113-H113</f>
        <v>262.63000000006286</v>
      </c>
      <c r="M113" s="15"/>
      <c r="N113" s="21">
        <f>IF(H113=0,0,L113/H113)</f>
        <v>1.4984128679453577E-3</v>
      </c>
      <c r="O113" s="26"/>
      <c r="P113" s="22">
        <f>+P55-P57+P108</f>
        <v>338292.17000000051</v>
      </c>
      <c r="Q113" s="13"/>
      <c r="R113" s="21">
        <f>IF(P$12=0,0,P113/P$12)</f>
        <v>0.3240994033865392</v>
      </c>
      <c r="S113" s="13"/>
      <c r="T113" s="22">
        <f>+T55-T57+T108</f>
        <v>516190.68999999977</v>
      </c>
      <c r="U113" s="13"/>
      <c r="V113" s="21">
        <f>IF(T$12=0,0,T113/T$12)</f>
        <v>0.26750064216599528</v>
      </c>
      <c r="W113" s="15"/>
      <c r="X113" s="22">
        <f>+P113-T113</f>
        <v>-177898.51999999926</v>
      </c>
      <c r="Y113" s="15"/>
      <c r="Z113" s="21">
        <f>IF(T113=0,0,X113/T113)</f>
        <v>-0.34463721149251908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51"/>
      <c r="B115" s="10" t="s">
        <v>13</v>
      </c>
      <c r="C115" s="10"/>
      <c r="D115" s="4">
        <v>49045.84</v>
      </c>
      <c r="E115" s="4"/>
      <c r="F115" s="12">
        <f>IF(D$12=0,0,D115/D$12)</f>
        <v>0.25951451377988149</v>
      </c>
      <c r="G115" s="4"/>
      <c r="H115" s="4">
        <v>15867.9</v>
      </c>
      <c r="I115" s="4"/>
      <c r="J115" s="12">
        <f>IF(H$12=0,0,H115/H$12)</f>
        <v>4.021983160944341E-2</v>
      </c>
      <c r="K115" s="4"/>
      <c r="L115" s="4">
        <f>+D115-H115</f>
        <v>33177.939999999995</v>
      </c>
      <c r="M115" s="4"/>
      <c r="N115" s="12">
        <f>IF(H115=0,0,L115/H115)</f>
        <v>2.0908841119492809</v>
      </c>
      <c r="O115" s="10"/>
      <c r="P115" s="4">
        <v>193367.57</v>
      </c>
      <c r="Q115" s="4"/>
      <c r="R115" s="12">
        <f>IF(P$12=0,0,P115/P$12)</f>
        <v>0.18525499443662785</v>
      </c>
      <c r="S115" s="4"/>
      <c r="T115" s="4">
        <v>207273.22</v>
      </c>
      <c r="U115" s="4"/>
      <c r="V115" s="12">
        <f>IF(T$12=0,0,T115/T$12)</f>
        <v>0.10741324965356047</v>
      </c>
      <c r="W115" s="4"/>
      <c r="X115" s="4">
        <f>+P115-T115</f>
        <v>-13905.649999999994</v>
      </c>
      <c r="Y115" s="4"/>
      <c r="Z115" s="12">
        <f>IF(T115=0,0,X115/T115)</f>
        <v>-6.7088502798383673E-2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5" t="s">
        <v>4</v>
      </c>
      <c r="C117" s="25"/>
      <c r="D117" s="33">
        <f>+D113-D115</f>
        <v>126488.91000000006</v>
      </c>
      <c r="E117" s="13"/>
      <c r="F117" s="32">
        <f>IF(D$12=0,0,D117/D$12)</f>
        <v>0.66928628355018915</v>
      </c>
      <c r="G117" s="13"/>
      <c r="H117" s="33">
        <f>+H113-H115</f>
        <v>159404.22</v>
      </c>
      <c r="I117" s="13"/>
      <c r="J117" s="32">
        <f>IF(H$12=0,0,H117/H$12)</f>
        <v>0.40403650679892561</v>
      </c>
      <c r="K117" s="15"/>
      <c r="L117" s="33">
        <f>D117-H117</f>
        <v>-32915.309999999939</v>
      </c>
      <c r="M117" s="15"/>
      <c r="N117" s="32">
        <f>IF(H117=0,0,L117/H117)</f>
        <v>-0.20648957725209496</v>
      </c>
      <c r="O117" s="26"/>
      <c r="P117" s="33">
        <f>+P113-P115</f>
        <v>144924.6000000005</v>
      </c>
      <c r="Q117" s="13"/>
      <c r="R117" s="32">
        <f>IF(P$12=0,0,P117/P$12)</f>
        <v>0.13884440894991135</v>
      </c>
      <c r="S117" s="13"/>
      <c r="T117" s="33">
        <f>+T113-T115</f>
        <v>308917.46999999974</v>
      </c>
      <c r="U117" s="13"/>
      <c r="V117" s="32">
        <f>IF(T$12=0,0,T117/T$12)</f>
        <v>0.16008739251243478</v>
      </c>
      <c r="W117" s="15"/>
      <c r="X117" s="33">
        <f>P117-T117</f>
        <v>-163992.86999999924</v>
      </c>
      <c r="Y117" s="15"/>
      <c r="Z117" s="32">
        <f>IF(T117=0,0,X117/T117)</f>
        <v>-0.53086304895608327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5" t="s">
        <v>5</v>
      </c>
      <c r="C120" s="25"/>
      <c r="D120" s="34">
        <f>SUM(D117:D119)</f>
        <v>126488.91000000006</v>
      </c>
      <c r="E120" s="13"/>
      <c r="F120" s="31">
        <f>IF(D$12=0,0,D120/D$12)</f>
        <v>0.66928628355018915</v>
      </c>
      <c r="G120" s="13"/>
      <c r="H120" s="34">
        <f>SUM(H117:H119)</f>
        <v>159404.22</v>
      </c>
      <c r="I120" s="13"/>
      <c r="J120" s="31">
        <f>IF(H$12=0,0,H120/H$12)</f>
        <v>0.40403650679892561</v>
      </c>
      <c r="K120" s="15"/>
      <c r="L120" s="34">
        <f>+D120-H120</f>
        <v>-32915.309999999939</v>
      </c>
      <c r="M120" s="15"/>
      <c r="N120" s="31">
        <f>IF(H120=0,0,L120/H120)</f>
        <v>-0.20648957725209496</v>
      </c>
      <c r="O120" s="26"/>
      <c r="P120" s="34">
        <f>SUM(P117:P119)</f>
        <v>144924.6000000005</v>
      </c>
      <c r="Q120" s="13"/>
      <c r="R120" s="31">
        <f>IF(P$12=0,0,P120/P$12)</f>
        <v>0.13884440894991135</v>
      </c>
      <c r="S120" s="13"/>
      <c r="T120" s="34">
        <f>SUM(T117:T119)</f>
        <v>308917.46999999974</v>
      </c>
      <c r="U120" s="13"/>
      <c r="V120" s="31">
        <f>IF(T$12=0,0,T120/T$12)</f>
        <v>0.16008739251243478</v>
      </c>
      <c r="W120" s="15"/>
      <c r="X120" s="34">
        <f>+P120-T120</f>
        <v>-163992.86999999924</v>
      </c>
      <c r="Y120" s="15"/>
      <c r="Z120" s="31">
        <f>IF(T120=0,0,X120/T120)</f>
        <v>-0.53086304895608327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A122" s="9"/>
      <c r="B122" s="54">
        <v>44123.565221331017</v>
      </c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  <row r="123" spans="1:26" x14ac:dyDescent="0.25">
      <c r="A123" s="9"/>
      <c r="B123" s="59" t="s">
        <v>313</v>
      </c>
      <c r="D123" s="18"/>
      <c r="E123" s="18"/>
      <c r="G123" s="18"/>
      <c r="H123" s="18"/>
      <c r="I123" s="18"/>
      <c r="J123" s="42"/>
      <c r="K123" s="18"/>
      <c r="L123" s="18"/>
      <c r="M123" s="18"/>
      <c r="P123" s="18"/>
      <c r="Q123" s="18"/>
      <c r="R123" s="42"/>
      <c r="S123" s="18"/>
      <c r="T123" s="18"/>
      <c r="U123" s="18"/>
      <c r="V123" s="42"/>
      <c r="W123" s="18"/>
      <c r="X123" s="18"/>
    </row>
    <row r="124" spans="1:26" x14ac:dyDescent="0.25">
      <c r="A124" s="9"/>
      <c r="B124" s="58"/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48384.93</v>
      </c>
      <c r="E12" s="4"/>
      <c r="F12" s="12"/>
      <c r="G12" s="4"/>
      <c r="H12" s="4">
        <f>SUM(OSRRefH13x_0)</f>
        <v>183381.88</v>
      </c>
      <c r="I12" s="4"/>
      <c r="J12" s="12"/>
      <c r="K12" s="4"/>
      <c r="L12" s="4">
        <f t="shared" ref="L12:L15" si="0">+D12-H12</f>
        <v>-134996.95000000001</v>
      </c>
      <c r="M12" s="4"/>
      <c r="N12" s="12">
        <f t="shared" ref="N12:N15" si="1">IF(H12=0,0,L12/H12)</f>
        <v>-0.73615206693267632</v>
      </c>
      <c r="O12" s="10"/>
      <c r="P12" s="4">
        <f>SUM(OSRRefP13x_0)</f>
        <v>467731.39</v>
      </c>
      <c r="Q12" s="4"/>
      <c r="R12" s="12"/>
      <c r="S12" s="4"/>
      <c r="T12" s="4">
        <f>SUM(OSRRefT13x_0)</f>
        <v>890046.51</v>
      </c>
      <c r="U12" s="4"/>
      <c r="V12" s="12"/>
      <c r="W12" s="4"/>
      <c r="X12" s="4">
        <f t="shared" ref="X12:X15" si="2">+P12-T12</f>
        <v>-422315.12</v>
      </c>
      <c r="Y12" s="4"/>
      <c r="Z12" s="12">
        <f t="shared" ref="Z12:Z15" si="3">IF(T12=0,0,X12/T12)</f>
        <v>-0.4744865748644978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--23703.39</f>
        <v>23703.39</v>
      </c>
      <c r="E13" s="2"/>
      <c r="F13" s="19"/>
      <c r="G13" s="2"/>
      <c r="H13" s="2">
        <f>--69591.88</f>
        <v>69591.88</v>
      </c>
      <c r="I13" s="2"/>
      <c r="J13" s="19"/>
      <c r="K13" s="2"/>
      <c r="L13" s="2">
        <f t="shared" si="0"/>
        <v>-45888.490000000005</v>
      </c>
      <c r="M13" s="2"/>
      <c r="N13" s="19">
        <f t="shared" si="1"/>
        <v>-0.65939431439415064</v>
      </c>
      <c r="O13" s="11"/>
      <c r="P13" s="2">
        <f>--170954.66</f>
        <v>170954.66</v>
      </c>
      <c r="Q13" s="2"/>
      <c r="R13" s="19"/>
      <c r="S13" s="2"/>
      <c r="T13" s="2">
        <f>--251705.61</f>
        <v>251705.61</v>
      </c>
      <c r="U13" s="2"/>
      <c r="V13" s="19"/>
      <c r="W13" s="2"/>
      <c r="X13" s="2">
        <f t="shared" si="2"/>
        <v>-80750.949999999983</v>
      </c>
      <c r="Y13" s="2"/>
      <c r="Z13" s="19">
        <f t="shared" si="3"/>
        <v>-0.32081505851220393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--13735.85</f>
        <v>13735.85</v>
      </c>
      <c r="E14" s="2"/>
      <c r="F14" s="19"/>
      <c r="G14" s="2"/>
      <c r="H14" s="2">
        <f>--47636.66</f>
        <v>47636.66</v>
      </c>
      <c r="I14" s="2"/>
      <c r="J14" s="19"/>
      <c r="K14" s="2"/>
      <c r="L14" s="2">
        <f t="shared" si="0"/>
        <v>-33900.810000000005</v>
      </c>
      <c r="M14" s="2"/>
      <c r="N14" s="19">
        <f t="shared" si="1"/>
        <v>-0.71165379772637294</v>
      </c>
      <c r="O14" s="11"/>
      <c r="P14" s="2">
        <f>--132432.71</f>
        <v>132432.71</v>
      </c>
      <c r="Q14" s="2"/>
      <c r="R14" s="19"/>
      <c r="S14" s="2"/>
      <c r="T14" s="2">
        <f>--306673.13</f>
        <v>306673.13</v>
      </c>
      <c r="U14" s="2"/>
      <c r="V14" s="19"/>
      <c r="W14" s="2"/>
      <c r="X14" s="2">
        <f t="shared" si="2"/>
        <v>-174240.42</v>
      </c>
      <c r="Y14" s="2"/>
      <c r="Z14" s="19">
        <f t="shared" si="3"/>
        <v>-0.56816330794941183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--10945.69</f>
        <v>10945.69</v>
      </c>
      <c r="E15" s="2"/>
      <c r="F15" s="19"/>
      <c r="G15" s="2"/>
      <c r="H15" s="2">
        <f>--66153.34</f>
        <v>66153.34</v>
      </c>
      <c r="I15" s="2"/>
      <c r="J15" s="19"/>
      <c r="K15" s="2"/>
      <c r="L15" s="2">
        <f t="shared" si="0"/>
        <v>-55207.649999999994</v>
      </c>
      <c r="M15" s="2"/>
      <c r="N15" s="19">
        <f t="shared" si="1"/>
        <v>-0.83454062939225737</v>
      </c>
      <c r="O15" s="11"/>
      <c r="P15" s="2">
        <f>--164344.02</f>
        <v>164344.01999999999</v>
      </c>
      <c r="Q15" s="2"/>
      <c r="R15" s="19"/>
      <c r="S15" s="2"/>
      <c r="T15" s="2">
        <f>--331667.77</f>
        <v>331667.77</v>
      </c>
      <c r="U15" s="2"/>
      <c r="V15" s="19"/>
      <c r="W15" s="2"/>
      <c r="X15" s="2">
        <f t="shared" si="2"/>
        <v>-167323.75000000003</v>
      </c>
      <c r="Y15" s="2"/>
      <c r="Z15" s="19">
        <f t="shared" si="3"/>
        <v>-0.50449204033301165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26803.5</v>
      </c>
      <c r="E17" s="4"/>
      <c r="F17" s="12">
        <f t="shared" ref="F17:F19" si="4">IF(D$12=0,0,D17/D$12)</f>
        <v>0.55396380649925503</v>
      </c>
      <c r="G17" s="4"/>
      <c r="H17" s="4">
        <f>SUM(OSRRefH16x_0)</f>
        <v>139639.65000000002</v>
      </c>
      <c r="I17" s="4"/>
      <c r="J17" s="12">
        <f t="shared" ref="J17:J19" si="5">IF(H$12=0,0,H17/H$12)</f>
        <v>0.76146918114265172</v>
      </c>
      <c r="K17" s="4"/>
      <c r="L17" s="4">
        <f t="shared" ref="L17:L19" si="6">+D17-H17</f>
        <v>-112836.15000000002</v>
      </c>
      <c r="M17" s="4"/>
      <c r="N17" s="12">
        <f t="shared" ref="N17:N19" si="7">IF(H17=0,0,L17/H17)</f>
        <v>-0.80805236907998557</v>
      </c>
      <c r="O17" s="10"/>
      <c r="P17" s="4">
        <f>SUM(OSRRefP16x_0)</f>
        <v>342526.83999999997</v>
      </c>
      <c r="Q17" s="4"/>
      <c r="R17" s="12">
        <f t="shared" ref="R17:R19" si="8">IF(P$12=0,0,P17/P$12)</f>
        <v>0.73231527180589684</v>
      </c>
      <c r="S17" s="4"/>
      <c r="T17" s="4">
        <f>SUM(OSRRefT16x_0)</f>
        <v>674360.63</v>
      </c>
      <c r="U17" s="4"/>
      <c r="V17" s="12">
        <f t="shared" ref="V17:V19" si="9">IF(T$12=0,0,T17/T$12)</f>
        <v>0.75766897844473313</v>
      </c>
      <c r="W17" s="4"/>
      <c r="X17" s="4">
        <f t="shared" ref="X17:X19" si="10">+P17-T17</f>
        <v>-331833.79000000004</v>
      </c>
      <c r="Y17" s="4"/>
      <c r="Z17" s="12">
        <f t="shared" ref="Z17:Z19" si="11">IF(T17=0,0,X17/T17)</f>
        <v>-0.49207171243078057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26803.5</v>
      </c>
      <c r="E18" s="2"/>
      <c r="F18" s="19">
        <f t="shared" si="4"/>
        <v>0.55396380649925503</v>
      </c>
      <c r="G18" s="2"/>
      <c r="H18" s="2">
        <v>84729.400000000009</v>
      </c>
      <c r="I18" s="2"/>
      <c r="J18" s="19">
        <f t="shared" si="5"/>
        <v>0.46203801596973487</v>
      </c>
      <c r="K18" s="2"/>
      <c r="L18" s="2">
        <f t="shared" si="6"/>
        <v>-57925.900000000009</v>
      </c>
      <c r="M18" s="2"/>
      <c r="N18" s="19">
        <f t="shared" si="7"/>
        <v>-0.68365762061338808</v>
      </c>
      <c r="O18" s="11"/>
      <c r="P18" s="2">
        <v>203192.36</v>
      </c>
      <c r="Q18" s="2"/>
      <c r="R18" s="19">
        <f t="shared" si="8"/>
        <v>0.43442104666099057</v>
      </c>
      <c r="S18" s="2"/>
      <c r="T18" s="2">
        <v>302957.5</v>
      </c>
      <c r="U18" s="2"/>
      <c r="V18" s="19">
        <f t="shared" si="9"/>
        <v>0.34038389746621217</v>
      </c>
      <c r="W18" s="2"/>
      <c r="X18" s="2">
        <f t="shared" si="10"/>
        <v>-99765.140000000014</v>
      </c>
      <c r="Y18" s="2"/>
      <c r="Z18" s="19">
        <f t="shared" si="11"/>
        <v>-0.32930407730457245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/>
      <c r="E19" s="2"/>
      <c r="F19" s="19">
        <f t="shared" si="4"/>
        <v>0</v>
      </c>
      <c r="G19" s="2"/>
      <c r="H19" s="2">
        <v>54910.25</v>
      </c>
      <c r="I19" s="2"/>
      <c r="J19" s="19">
        <f t="shared" si="5"/>
        <v>0.29943116517291674</v>
      </c>
      <c r="K19" s="2"/>
      <c r="L19" s="2">
        <f t="shared" si="6"/>
        <v>-54910.25</v>
      </c>
      <c r="M19" s="2"/>
      <c r="N19" s="19">
        <f t="shared" si="7"/>
        <v>-1</v>
      </c>
      <c r="O19" s="11"/>
      <c r="P19" s="2">
        <v>139334.47999999998</v>
      </c>
      <c r="Q19" s="2"/>
      <c r="R19" s="19">
        <f t="shared" si="8"/>
        <v>0.29789422514490632</v>
      </c>
      <c r="S19" s="2"/>
      <c r="T19" s="2">
        <v>371403.13</v>
      </c>
      <c r="U19" s="2"/>
      <c r="V19" s="19">
        <f t="shared" si="9"/>
        <v>0.41728508097852102</v>
      </c>
      <c r="W19" s="2"/>
      <c r="X19" s="2">
        <f t="shared" si="10"/>
        <v>-232068.65000000002</v>
      </c>
      <c r="Y19" s="2"/>
      <c r="Z19" s="19">
        <f t="shared" si="11"/>
        <v>-0.62484301088146466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2">
        <f>D12-D17</f>
        <v>21581.43</v>
      </c>
      <c r="E21" s="13"/>
      <c r="F21" s="21">
        <f>IF(D$12=0,0,D21/D$12)</f>
        <v>0.44603619350074497</v>
      </c>
      <c r="G21" s="13"/>
      <c r="H21" s="22">
        <f>H12-H17</f>
        <v>43742.229999999981</v>
      </c>
      <c r="I21" s="13"/>
      <c r="J21" s="21">
        <f>IF(H$12=0,0,H21/H$12)</f>
        <v>0.23853081885734828</v>
      </c>
      <c r="K21" s="15"/>
      <c r="L21" s="22">
        <f>+D21-H21</f>
        <v>-22160.799999999981</v>
      </c>
      <c r="M21" s="15"/>
      <c r="N21" s="21">
        <f>IF(H21=0,0,L21/H21)</f>
        <v>-0.50662254759302372</v>
      </c>
      <c r="O21" s="26"/>
      <c r="P21" s="22">
        <f>P12-P17</f>
        <v>125204.55000000005</v>
      </c>
      <c r="Q21" s="13"/>
      <c r="R21" s="21">
        <f>IF(P$12=0,0,P21/P$12)</f>
        <v>0.26768472819410311</v>
      </c>
      <c r="S21" s="13"/>
      <c r="T21" s="22">
        <f>T12-T17</f>
        <v>215685.88</v>
      </c>
      <c r="U21" s="13"/>
      <c r="V21" s="21">
        <f>IF(T$12=0,0,T21/T$12)</f>
        <v>0.24233102155526681</v>
      </c>
      <c r="W21" s="15"/>
      <c r="X21" s="22">
        <f>+P21-T21</f>
        <v>-90481.329999999958</v>
      </c>
      <c r="Y21" s="15"/>
      <c r="Z21" s="21">
        <f>IF(T21=0,0,X21/T21)</f>
        <v>-0.41950511549481106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SUM(0)</f>
        <v>0</v>
      </c>
      <c r="E23" s="20"/>
      <c r="F23" s="36">
        <f>IF(D$12=0,0,D23/D$12)</f>
        <v>0</v>
      </c>
      <c r="G23" s="20"/>
      <c r="H23" s="20">
        <f>SUM(0)</f>
        <v>0</v>
      </c>
      <c r="I23" s="20"/>
      <c r="J23" s="36">
        <f>IF(H$12=0,0,H23/H$12)</f>
        <v>0</v>
      </c>
      <c r="K23" s="4"/>
      <c r="L23" s="20">
        <f>+D23-H23</f>
        <v>0</v>
      </c>
      <c r="M23" s="4"/>
      <c r="N23" s="36">
        <f>IF(H23=0,0,L23/H23)</f>
        <v>0</v>
      </c>
      <c r="O23" s="10"/>
      <c r="P23" s="20">
        <f>SUM(0)</f>
        <v>0</v>
      </c>
      <c r="Q23" s="20"/>
      <c r="R23" s="36">
        <f>IF(P$12=0,0,P23/P$12)</f>
        <v>0</v>
      </c>
      <c r="S23" s="20"/>
      <c r="T23" s="20">
        <f>SUM(0)</f>
        <v>0</v>
      </c>
      <c r="U23" s="20"/>
      <c r="V23" s="36">
        <f>IF(T$12=0,0,T23/T$12)</f>
        <v>0</v>
      </c>
      <c r="W23" s="4"/>
      <c r="X23" s="20">
        <f>+P23-T23</f>
        <v>0</v>
      </c>
      <c r="Y23" s="4"/>
      <c r="Z23" s="36">
        <f>IF(T23=0,0,X23/T23)</f>
        <v>0</v>
      </c>
    </row>
    <row r="24" spans="1:26" s="60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>
        <f>+D21-D23+D25</f>
        <v>21581.43</v>
      </c>
      <c r="E27" s="13"/>
      <c r="F27" s="21">
        <f>IF(D$12=0,0,D27/D$12)</f>
        <v>0.44603619350074497</v>
      </c>
      <c r="G27" s="13"/>
      <c r="H27" s="22">
        <f>+H21-H23+H25</f>
        <v>43742.229999999981</v>
      </c>
      <c r="I27" s="13"/>
      <c r="J27" s="21">
        <f>IF(H$12=0,0,H27/H$12)</f>
        <v>0.23853081885734828</v>
      </c>
      <c r="K27" s="15"/>
      <c r="L27" s="22">
        <f>+D27-H27</f>
        <v>-22160.799999999981</v>
      </c>
      <c r="M27" s="15"/>
      <c r="N27" s="21">
        <f>IF(H27=0,0,L27/H27)</f>
        <v>-0.50662254759302372</v>
      </c>
      <c r="O27" s="26"/>
      <c r="P27" s="22">
        <f>+P21-P23+P25</f>
        <v>125204.55000000005</v>
      </c>
      <c r="Q27" s="13"/>
      <c r="R27" s="21">
        <f>IF(P$12=0,0,P27/P$12)</f>
        <v>0.26768472819410311</v>
      </c>
      <c r="S27" s="13"/>
      <c r="T27" s="22">
        <f>+T21-T23+T25</f>
        <v>215685.88</v>
      </c>
      <c r="U27" s="13"/>
      <c r="V27" s="21">
        <f>IF(T$12=0,0,T27/T$12)</f>
        <v>0.24233102155526681</v>
      </c>
      <c r="W27" s="15"/>
      <c r="X27" s="22">
        <f>+P27-T27</f>
        <v>-90481.329999999958</v>
      </c>
      <c r="Y27" s="15"/>
      <c r="Z27" s="21">
        <f>IF(T27=0,0,X27/T27)</f>
        <v>-0.41950511549481106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15848.489999999998</v>
      </c>
      <c r="E29" s="4"/>
      <c r="F29" s="12">
        <f>IF(D$12=0,0,D29/D$12)</f>
        <v>0.32755012769471814</v>
      </c>
      <c r="G29" s="4"/>
      <c r="H29" s="4">
        <v>7494.6</v>
      </c>
      <c r="I29" s="4"/>
      <c r="J29" s="12">
        <f>IF(H$12=0,0,H29/H$12)</f>
        <v>4.0868814301609296E-2</v>
      </c>
      <c r="K29" s="4"/>
      <c r="L29" s="4">
        <f>+D29-H29</f>
        <v>8353.8899999999976</v>
      </c>
      <c r="M29" s="4"/>
      <c r="N29" s="12">
        <f>IF(H29=0,0,L29/H29)</f>
        <v>1.114654551276919</v>
      </c>
      <c r="O29" s="10"/>
      <c r="P29" s="4">
        <v>86649.57</v>
      </c>
      <c r="Q29" s="4"/>
      <c r="R29" s="12">
        <f>IF(P$12=0,0,P29/P$12)</f>
        <v>0.18525498149696562</v>
      </c>
      <c r="S29" s="4"/>
      <c r="T29" s="4">
        <v>95602.790000000008</v>
      </c>
      <c r="U29" s="4"/>
      <c r="V29" s="12">
        <f>IF(T$12=0,0,T29/T$12)</f>
        <v>0.10741325192095862</v>
      </c>
      <c r="W29" s="4"/>
      <c r="X29" s="4">
        <f>+P29-T29</f>
        <v>-8953.2200000000012</v>
      </c>
      <c r="Y29" s="4"/>
      <c r="Z29" s="12">
        <f>IF(T29=0,0,X29/T29)</f>
        <v>-9.3650195773575237E-2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>
        <f>+D27-D29</f>
        <v>5732.9400000000023</v>
      </c>
      <c r="E31" s="13"/>
      <c r="F31" s="32">
        <f>IF(D$12=0,0,D31/D$12)</f>
        <v>0.11848606580602684</v>
      </c>
      <c r="G31" s="13"/>
      <c r="H31" s="33">
        <f>+H27-H29</f>
        <v>36247.629999999983</v>
      </c>
      <c r="I31" s="13"/>
      <c r="J31" s="32">
        <f>IF(H$12=0,0,H31/H$12)</f>
        <v>0.19766200455573898</v>
      </c>
      <c r="K31" s="15"/>
      <c r="L31" s="33">
        <f>D31-H31</f>
        <v>-30514.689999999981</v>
      </c>
      <c r="M31" s="15"/>
      <c r="N31" s="32">
        <f>IF(H31=0,0,L31/H31)</f>
        <v>-0.84183959061599323</v>
      </c>
      <c r="O31" s="26"/>
      <c r="P31" s="33">
        <f>+P27-P29</f>
        <v>38554.98000000004</v>
      </c>
      <c r="Q31" s="13"/>
      <c r="R31" s="32">
        <f>IF(P$12=0,0,P31/P$12)</f>
        <v>8.2429746697137513E-2</v>
      </c>
      <c r="S31" s="13"/>
      <c r="T31" s="33">
        <f>+T27-T29</f>
        <v>120083.09</v>
      </c>
      <c r="U31" s="13"/>
      <c r="V31" s="32">
        <f>IF(T$12=0,0,T31/T$12)</f>
        <v>0.13491776963430821</v>
      </c>
      <c r="W31" s="15"/>
      <c r="X31" s="33">
        <f>P31-T31</f>
        <v>-81528.109999999957</v>
      </c>
      <c r="Y31" s="15"/>
      <c r="Z31" s="32">
        <f>IF(T31=0,0,X31/T31)</f>
        <v>-0.67893081365577745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5</v>
      </c>
      <c r="C34" s="25"/>
      <c r="D34" s="34">
        <f>SUM(D31:D33)</f>
        <v>5732.9400000000023</v>
      </c>
      <c r="E34" s="13"/>
      <c r="F34" s="31">
        <f>IF(D$12=0,0,D34/D$12)</f>
        <v>0.11848606580602684</v>
      </c>
      <c r="G34" s="13"/>
      <c r="H34" s="34">
        <f>SUM(H31:H33)</f>
        <v>36247.629999999983</v>
      </c>
      <c r="I34" s="13"/>
      <c r="J34" s="31">
        <f>IF(H$12=0,0,H34/H$12)</f>
        <v>0.19766200455573898</v>
      </c>
      <c r="K34" s="15"/>
      <c r="L34" s="34">
        <f>+D34-H34</f>
        <v>-30514.689999999981</v>
      </c>
      <c r="M34" s="15"/>
      <c r="N34" s="31">
        <f>IF(H34=0,0,L34/H34)</f>
        <v>-0.84183959061599323</v>
      </c>
      <c r="O34" s="26"/>
      <c r="P34" s="34">
        <f>SUM(P31:P33)</f>
        <v>38554.98000000004</v>
      </c>
      <c r="Q34" s="13"/>
      <c r="R34" s="31">
        <f>IF(P$12=0,0,P34/P$12)</f>
        <v>8.2429746697137513E-2</v>
      </c>
      <c r="S34" s="13"/>
      <c r="T34" s="34">
        <f>SUM(T31:T33)</f>
        <v>120083.09</v>
      </c>
      <c r="U34" s="13"/>
      <c r="V34" s="31">
        <f>IF(T$12=0,0,T34/T$12)</f>
        <v>0.13491776963430821</v>
      </c>
      <c r="W34" s="15"/>
      <c r="X34" s="34">
        <f>+P34-T34</f>
        <v>-81528.109999999957</v>
      </c>
      <c r="Y34" s="15"/>
      <c r="Z34" s="31">
        <f>IF(T34=0,0,X34/T34)</f>
        <v>-0.67893081365577745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54">
        <v>44123.565431099538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9" t="s">
        <v>313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60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6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2">
        <f>IF(D$12=0,0,D26/D$12)</f>
        <v>0</v>
      </c>
      <c r="G26" s="13"/>
      <c r="H26" s="33">
        <f>+H22-H24</f>
        <v>0</v>
      </c>
      <c r="I26" s="13"/>
      <c r="J26" s="32">
        <f>IF(H$12=0,0,H26/H$12)</f>
        <v>0</v>
      </c>
      <c r="K26" s="15"/>
      <c r="L26" s="33">
        <f>D26-H26</f>
        <v>0</v>
      </c>
      <c r="M26" s="15"/>
      <c r="N26" s="32">
        <f>IF(H26=0,0,L26/H26)</f>
        <v>0</v>
      </c>
      <c r="O26" s="26"/>
      <c r="P26" s="33">
        <f>+P22-P24</f>
        <v>0</v>
      </c>
      <c r="Q26" s="13"/>
      <c r="R26" s="32">
        <f>IF(P$12=0,0,P26/P$12)</f>
        <v>0</v>
      </c>
      <c r="S26" s="13"/>
      <c r="T26" s="33">
        <f>+T22-T24</f>
        <v>0</v>
      </c>
      <c r="U26" s="13"/>
      <c r="V26" s="32">
        <f>IF(T$12=0,0,T26/T$12)</f>
        <v>0</v>
      </c>
      <c r="W26" s="15"/>
      <c r="X26" s="33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-231583.65</f>
        <v>-231583.65</v>
      </c>
      <c r="E28" s="4"/>
      <c r="F28" s="12">
        <f t="shared" ref="F28:F29" si="0">IF(D$12=0,0,D28/D$12)</f>
        <v>0</v>
      </c>
      <c r="G28" s="4"/>
      <c r="H28" s="4">
        <f>--83075.9</f>
        <v>83075.899999999994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-314659.55</v>
      </c>
      <c r="M28" s="4"/>
      <c r="N28" s="12">
        <f t="shared" ref="N28:N29" si="3">IF(H28=0,0,L28/H28)</f>
        <v>-3.7876153011884313</v>
      </c>
      <c r="O28" s="10"/>
      <c r="P28" s="4">
        <f>--719759.06</f>
        <v>719759.06</v>
      </c>
      <c r="Q28" s="4"/>
      <c r="R28" s="12">
        <f t="shared" ref="R28:R29" si="4">IF(P$12=0,0,P28/P$12)</f>
        <v>0</v>
      </c>
      <c r="S28" s="4"/>
      <c r="T28" s="4">
        <f>-97529.91</f>
        <v>-97529.91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817288.97000000009</v>
      </c>
      <c r="Y28" s="4"/>
      <c r="Z28" s="12">
        <f t="shared" ref="Z28:Z29" si="7">IF(T28=0,0,X28/T28)</f>
        <v>-8.379880284930028</v>
      </c>
    </row>
    <row r="29" spans="1:26" s="23" customFormat="1" x14ac:dyDescent="0.25">
      <c r="A29" s="51"/>
      <c r="B29" s="10" t="s">
        <v>1</v>
      </c>
      <c r="C29" s="10"/>
      <c r="D29" s="4">
        <f>--23302.32</f>
        <v>23302.32</v>
      </c>
      <c r="E29" s="4"/>
      <c r="F29" s="12">
        <f t="shared" si="0"/>
        <v>0</v>
      </c>
      <c r="G29" s="4"/>
      <c r="H29" s="4">
        <f>--19950.21</f>
        <v>19950.21</v>
      </c>
      <c r="I29" s="4"/>
      <c r="J29" s="12">
        <f t="shared" si="1"/>
        <v>0</v>
      </c>
      <c r="K29" s="4"/>
      <c r="L29" s="4">
        <f t="shared" si="2"/>
        <v>3352.1100000000006</v>
      </c>
      <c r="M29" s="4"/>
      <c r="N29" s="12">
        <f t="shared" si="3"/>
        <v>0.16802379523824565</v>
      </c>
      <c r="O29" s="10"/>
      <c r="P29" s="4">
        <f>-33260.96</f>
        <v>-33260.959999999999</v>
      </c>
      <c r="Q29" s="4"/>
      <c r="R29" s="12">
        <f t="shared" si="4"/>
        <v>0</v>
      </c>
      <c r="S29" s="4"/>
      <c r="T29" s="4">
        <f>--51771.16</f>
        <v>51771.16</v>
      </c>
      <c r="U29" s="4"/>
      <c r="V29" s="12">
        <f t="shared" si="5"/>
        <v>0</v>
      </c>
      <c r="W29" s="4"/>
      <c r="X29" s="4">
        <f t="shared" si="6"/>
        <v>-85032.12</v>
      </c>
      <c r="Y29" s="4"/>
      <c r="Z29" s="12">
        <f t="shared" si="7"/>
        <v>-1.642461169500548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5</v>
      </c>
      <c r="C31" s="25"/>
      <c r="D31" s="34">
        <f>SUM(D26:D30)</f>
        <v>-208281.33</v>
      </c>
      <c r="E31" s="13"/>
      <c r="F31" s="31">
        <f>IF(D$12=0,0,D31/D$12)</f>
        <v>0</v>
      </c>
      <c r="G31" s="13"/>
      <c r="H31" s="34">
        <f>SUM(H26:H30)</f>
        <v>103026.10999999999</v>
      </c>
      <c r="I31" s="13"/>
      <c r="J31" s="31">
        <f>IF(H$12=0,0,H31/H$12)</f>
        <v>0</v>
      </c>
      <c r="K31" s="15"/>
      <c r="L31" s="34">
        <f>+D31-H31</f>
        <v>-311307.43999999994</v>
      </c>
      <c r="M31" s="15"/>
      <c r="N31" s="31">
        <f>IF(H31=0,0,L31/H31)</f>
        <v>-3.0216363599479781</v>
      </c>
      <c r="O31" s="26"/>
      <c r="P31" s="34">
        <f>SUM(P26:P30)</f>
        <v>686498.10000000009</v>
      </c>
      <c r="Q31" s="13"/>
      <c r="R31" s="31">
        <f>IF(P$12=0,0,P31/P$12)</f>
        <v>0</v>
      </c>
      <c r="S31" s="13"/>
      <c r="T31" s="34">
        <f>SUM(T26:T30)</f>
        <v>-45758.75</v>
      </c>
      <c r="U31" s="13"/>
      <c r="V31" s="31">
        <f>IF(T$12=0,0,T31/T$12)</f>
        <v>0</v>
      </c>
      <c r="W31" s="15"/>
      <c r="X31" s="34">
        <f>+P31-T31</f>
        <v>732256.85000000009</v>
      </c>
      <c r="Y31" s="15"/>
      <c r="Z31" s="31">
        <f>IF(T31=0,0,X31/T31)</f>
        <v>-16.002553609965311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4">
        <v>44123.564571909723</v>
      </c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A34" s="9"/>
      <c r="B34" s="59" t="s">
        <v>313</v>
      </c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4" x14ac:dyDescent="0.25"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113768.15999999999</v>
      </c>
      <c r="E12" s="4"/>
      <c r="F12" s="12"/>
      <c r="G12" s="4"/>
      <c r="H12" s="4">
        <f>SUM(OSRRefH13x_0)</f>
        <v>304831.60000000015</v>
      </c>
      <c r="I12" s="4"/>
      <c r="J12" s="12"/>
      <c r="K12" s="4"/>
      <c r="L12" s="4">
        <f t="shared" ref="L12:L51" si="0">+D12-H12</f>
        <v>-191063.44000000018</v>
      </c>
      <c r="M12" s="4"/>
      <c r="N12" s="12">
        <f t="shared" ref="N12:N51" si="1">IF(H12=0,0,L12/H12)</f>
        <v>-0.62678357493120818</v>
      </c>
      <c r="O12" s="10"/>
      <c r="P12" s="4">
        <f>SUM(OSRRefP13x_0)</f>
        <v>599607.32000000007</v>
      </c>
      <c r="Q12" s="4"/>
      <c r="R12" s="12"/>
      <c r="S12" s="4"/>
      <c r="T12" s="4">
        <f>SUM(OSRRefT13x_0)</f>
        <v>859583.44000000018</v>
      </c>
      <c r="U12" s="4"/>
      <c r="V12" s="12"/>
      <c r="W12" s="4"/>
      <c r="X12" s="4">
        <f t="shared" ref="X12:X51" si="2">+P12-T12</f>
        <v>-259976.12000000011</v>
      </c>
      <c r="Y12" s="4"/>
      <c r="Z12" s="12">
        <f t="shared" ref="Z12:Z51" si="3">IF(T12=0,0,X12/T12)</f>
        <v>-0.30244430953672169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-7132.78</f>
        <v>-7132.78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-7132.78</v>
      </c>
      <c r="M13" s="2"/>
      <c r="N13" s="19">
        <f t="shared" si="1"/>
        <v>0</v>
      </c>
      <c r="O13" s="11"/>
      <c r="P13" s="2">
        <f>-29981.54</f>
        <v>-29981.54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-29981.54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--3.96</f>
        <v>3.96</v>
      </c>
      <c r="E14" s="2"/>
      <c r="F14" s="19"/>
      <c r="G14" s="2"/>
      <c r="H14" s="2">
        <f>--19.16</f>
        <v>19.16</v>
      </c>
      <c r="I14" s="2"/>
      <c r="J14" s="19"/>
      <c r="K14" s="2"/>
      <c r="L14" s="2">
        <f t="shared" si="0"/>
        <v>-15.2</v>
      </c>
      <c r="M14" s="2"/>
      <c r="N14" s="19">
        <f t="shared" si="1"/>
        <v>-0.79331941544885176</v>
      </c>
      <c r="O14" s="11"/>
      <c r="P14" s="2">
        <f>--240.52</f>
        <v>240.52</v>
      </c>
      <c r="Q14" s="2"/>
      <c r="R14" s="19"/>
      <c r="S14" s="2"/>
      <c r="T14" s="2">
        <f>--83.72</f>
        <v>83.72</v>
      </c>
      <c r="U14" s="2"/>
      <c r="V14" s="19"/>
      <c r="W14" s="2"/>
      <c r="X14" s="2">
        <f t="shared" si="2"/>
        <v>156.80000000000001</v>
      </c>
      <c r="Y14" s="2"/>
      <c r="Z14" s="19">
        <f t="shared" si="3"/>
        <v>1.8729096989966556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--6172.1</f>
        <v>6172.1</v>
      </c>
      <c r="E15" s="2"/>
      <c r="F15" s="19"/>
      <c r="G15" s="2"/>
      <c r="H15" s="2">
        <f>--7.48</f>
        <v>7.48</v>
      </c>
      <c r="I15" s="2"/>
      <c r="J15" s="19"/>
      <c r="K15" s="2"/>
      <c r="L15" s="2">
        <f t="shared" si="0"/>
        <v>6164.6200000000008</v>
      </c>
      <c r="M15" s="2"/>
      <c r="N15" s="19">
        <f t="shared" si="1"/>
        <v>824.14705882352951</v>
      </c>
      <c r="O15" s="11"/>
      <c r="P15" s="2">
        <f>--24684.29</f>
        <v>24684.29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24636.38</v>
      </c>
      <c r="Y15" s="2"/>
      <c r="Z15" s="19">
        <f t="shared" si="3"/>
        <v>514.22208307242749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--19.85</f>
        <v>19.850000000000001</v>
      </c>
      <c r="Q16" s="2"/>
      <c r="R16" s="19"/>
      <c r="S16" s="2"/>
      <c r="T16" s="2">
        <f t="shared" ref="T16:T18" si="5">0</f>
        <v>0</v>
      </c>
      <c r="U16" s="2"/>
      <c r="V16" s="19"/>
      <c r="W16" s="2"/>
      <c r="X16" s="2">
        <f t="shared" si="2"/>
        <v>19.850000000000001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--441.57</f>
        <v>441.57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441.57</v>
      </c>
      <c r="M17" s="2"/>
      <c r="N17" s="19">
        <f t="shared" si="1"/>
        <v>0</v>
      </c>
      <c r="O17" s="11"/>
      <c r="P17" s="2">
        <f>--868.79</f>
        <v>868.79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868.79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--78841.84</f>
        <v>78841.84</v>
      </c>
      <c r="E19" s="2"/>
      <c r="F19" s="19"/>
      <c r="G19" s="2"/>
      <c r="H19" s="2">
        <f>--243145.84</f>
        <v>243145.84</v>
      </c>
      <c r="I19" s="2"/>
      <c r="J19" s="19"/>
      <c r="K19" s="2"/>
      <c r="L19" s="2">
        <f t="shared" si="0"/>
        <v>-164304</v>
      </c>
      <c r="M19" s="2"/>
      <c r="N19" s="19">
        <f t="shared" si="1"/>
        <v>-0.67574259135998382</v>
      </c>
      <c r="O19" s="11"/>
      <c r="P19" s="2">
        <f>--328420.19</f>
        <v>328420.19</v>
      </c>
      <c r="Q19" s="2"/>
      <c r="R19" s="19"/>
      <c r="S19" s="2"/>
      <c r="T19" s="2">
        <f>--632899.52</f>
        <v>632899.52</v>
      </c>
      <c r="U19" s="2"/>
      <c r="V19" s="19"/>
      <c r="W19" s="2"/>
      <c r="X19" s="2">
        <f t="shared" si="2"/>
        <v>-304479.33</v>
      </c>
      <c r="Y19" s="2"/>
      <c r="Z19" s="19">
        <f t="shared" si="3"/>
        <v>-0.48108636581048442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--18938.34</f>
        <v>18938.34</v>
      </c>
      <c r="E20" s="2"/>
      <c r="F20" s="19"/>
      <c r="G20" s="2"/>
      <c r="H20" s="2">
        <f>--29013.8</f>
        <v>29013.8</v>
      </c>
      <c r="I20" s="2"/>
      <c r="J20" s="19"/>
      <c r="K20" s="2"/>
      <c r="L20" s="2">
        <f t="shared" si="0"/>
        <v>-10075.459999999999</v>
      </c>
      <c r="M20" s="2"/>
      <c r="N20" s="19">
        <f t="shared" si="1"/>
        <v>-0.34726440521407054</v>
      </c>
      <c r="O20" s="11"/>
      <c r="P20" s="2">
        <f>--78811.85</f>
        <v>78811.850000000006</v>
      </c>
      <c r="Q20" s="2"/>
      <c r="R20" s="19"/>
      <c r="S20" s="2"/>
      <c r="T20" s="2">
        <f>--106338.41</f>
        <v>106338.41</v>
      </c>
      <c r="U20" s="2"/>
      <c r="V20" s="19"/>
      <c r="W20" s="2"/>
      <c r="X20" s="2">
        <f t="shared" si="2"/>
        <v>-27526.559999999998</v>
      </c>
      <c r="Y20" s="2"/>
      <c r="Z20" s="19">
        <f t="shared" si="3"/>
        <v>-0.25885811157040994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--7527.61</f>
        <v>7527.61</v>
      </c>
      <c r="E21" s="2"/>
      <c r="F21" s="19"/>
      <c r="G21" s="2"/>
      <c r="H21" s="2">
        <f>--27398.4</f>
        <v>27398.400000000001</v>
      </c>
      <c r="I21" s="2"/>
      <c r="J21" s="19"/>
      <c r="K21" s="2"/>
      <c r="L21" s="2">
        <f t="shared" si="0"/>
        <v>-19870.79</v>
      </c>
      <c r="M21" s="2"/>
      <c r="N21" s="19">
        <f t="shared" si="1"/>
        <v>-0.72525366444755901</v>
      </c>
      <c r="O21" s="11"/>
      <c r="P21" s="2">
        <f>--38495.78</f>
        <v>38495.78</v>
      </c>
      <c r="Q21" s="2"/>
      <c r="R21" s="19"/>
      <c r="S21" s="2"/>
      <c r="T21" s="2">
        <f>--75360.38</f>
        <v>75360.38</v>
      </c>
      <c r="U21" s="2"/>
      <c r="V21" s="19"/>
      <c r="W21" s="2"/>
      <c r="X21" s="2">
        <f t="shared" si="2"/>
        <v>-36864.600000000006</v>
      </c>
      <c r="Y21" s="2"/>
      <c r="Z21" s="19">
        <f t="shared" si="3"/>
        <v>-0.4891774696465172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--2802.54</f>
        <v>2802.54</v>
      </c>
      <c r="E22" s="2"/>
      <c r="F22" s="19"/>
      <c r="G22" s="2"/>
      <c r="H22" s="2">
        <f>--253.89</f>
        <v>253.89</v>
      </c>
      <c r="I22" s="2"/>
      <c r="J22" s="19"/>
      <c r="K22" s="2"/>
      <c r="L22" s="2">
        <f t="shared" si="0"/>
        <v>2548.65</v>
      </c>
      <c r="M22" s="2"/>
      <c r="N22" s="19">
        <f t="shared" si="1"/>
        <v>10.038402457757297</v>
      </c>
      <c r="O22" s="11"/>
      <c r="P22" s="2">
        <f>--9783.18</f>
        <v>9783.18</v>
      </c>
      <c r="Q22" s="2"/>
      <c r="R22" s="19"/>
      <c r="S22" s="2"/>
      <c r="T22" s="2">
        <f>--362.08</f>
        <v>362.08</v>
      </c>
      <c r="U22" s="2"/>
      <c r="V22" s="19"/>
      <c r="W22" s="2"/>
      <c r="X22" s="2">
        <f t="shared" si="2"/>
        <v>9421.1</v>
      </c>
      <c r="Y22" s="2"/>
      <c r="Z22" s="19">
        <f t="shared" si="3"/>
        <v>26.019387980556786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--2962.32</f>
        <v>2962.32</v>
      </c>
      <c r="E23" s="2"/>
      <c r="F23" s="19"/>
      <c r="G23" s="2"/>
      <c r="H23" s="2">
        <f>--6451.34</f>
        <v>6451.34</v>
      </c>
      <c r="I23" s="2"/>
      <c r="J23" s="19"/>
      <c r="K23" s="2"/>
      <c r="L23" s="2">
        <f t="shared" si="0"/>
        <v>-3489.02</v>
      </c>
      <c r="M23" s="2"/>
      <c r="N23" s="19">
        <f t="shared" si="1"/>
        <v>-0.54082097672731555</v>
      </c>
      <c r="O23" s="11"/>
      <c r="P23" s="2">
        <f>--11331.52</f>
        <v>11331.52</v>
      </c>
      <c r="Q23" s="2"/>
      <c r="R23" s="19"/>
      <c r="S23" s="2"/>
      <c r="T23" s="2">
        <f>--28228.41</f>
        <v>28228.41</v>
      </c>
      <c r="U23" s="2"/>
      <c r="V23" s="19"/>
      <c r="W23" s="2"/>
      <c r="X23" s="2">
        <f t="shared" si="2"/>
        <v>-16896.89</v>
      </c>
      <c r="Y23" s="2"/>
      <c r="Z23" s="19">
        <f t="shared" si="3"/>
        <v>-0.59857746150066549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--2575.36</f>
        <v>2575.36</v>
      </c>
      <c r="E24" s="2"/>
      <c r="F24" s="19"/>
      <c r="G24" s="2"/>
      <c r="H24" s="2">
        <f>--5803.07</f>
        <v>5803.07</v>
      </c>
      <c r="I24" s="2"/>
      <c r="J24" s="19"/>
      <c r="K24" s="2"/>
      <c r="L24" s="2">
        <f t="shared" si="0"/>
        <v>-3227.7099999999996</v>
      </c>
      <c r="M24" s="2"/>
      <c r="N24" s="19">
        <f t="shared" si="1"/>
        <v>-0.55620731785072375</v>
      </c>
      <c r="O24" s="11"/>
      <c r="P24" s="2">
        <f>--92006.44</f>
        <v>92006.44</v>
      </c>
      <c r="Q24" s="2"/>
      <c r="R24" s="19"/>
      <c r="S24" s="2"/>
      <c r="T24" s="2">
        <f>--31327.11</f>
        <v>31327.11</v>
      </c>
      <c r="U24" s="2"/>
      <c r="V24" s="19"/>
      <c r="W24" s="2"/>
      <c r="X24" s="2">
        <f t="shared" si="2"/>
        <v>60679.33</v>
      </c>
      <c r="Y24" s="2"/>
      <c r="Z24" s="19">
        <f t="shared" si="3"/>
        <v>1.9369590747438881</v>
      </c>
    </row>
    <row r="25" spans="1:26" s="24" customFormat="1" hidden="1" outlineLevel="1" x14ac:dyDescent="0.25">
      <c r="A25" s="44"/>
      <c r="B25" s="11" t="str">
        <f>CONCATENATE("          ", "4092", " - ", "TAXABLE SALES-GRAD MERCH")</f>
        <v xml:space="preserve">          4092 - TAXABLE SALES-GRAD MERCH</v>
      </c>
      <c r="C25" s="11"/>
      <c r="D25" s="2">
        <f t="shared" ref="D25:D27" si="6"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6" si="7">0</f>
        <v>0</v>
      </c>
      <c r="Q25" s="2"/>
      <c r="R25" s="19"/>
      <c r="S25" s="2"/>
      <c r="T25" s="2">
        <f>-39.95</f>
        <v>-39.950000000000003</v>
      </c>
      <c r="U25" s="2"/>
      <c r="V25" s="19"/>
      <c r="W25" s="2"/>
      <c r="X25" s="2">
        <f t="shared" si="2"/>
        <v>39.950000000000003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"4095", " - ", "TAXABLE SALES-CUSTOMER SERVICE")</f>
        <v xml:space="preserve">          4095 - TAXABLE SALES-CUSTOMER SERVICE</v>
      </c>
      <c r="C26" s="11"/>
      <c r="D26" s="2">
        <f t="shared" si="6"/>
        <v>0</v>
      </c>
      <c r="E26" s="2"/>
      <c r="F26" s="19"/>
      <c r="G26" s="2"/>
      <c r="H26" s="2">
        <f>--6.93</f>
        <v>6.93</v>
      </c>
      <c r="I26" s="2"/>
      <c r="J26" s="19"/>
      <c r="K26" s="2"/>
      <c r="L26" s="2">
        <f t="shared" si="0"/>
        <v>-6.93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--23.76</f>
        <v>23.76</v>
      </c>
      <c r="U26" s="2"/>
      <c r="V26" s="19"/>
      <c r="W26" s="2"/>
      <c r="X26" s="2">
        <f t="shared" si="2"/>
        <v>-23.76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"4126", " - ", "NON-TAXABLE SALES-WRITING INST")</f>
        <v xml:space="preserve">          4126 - NON-TAXABLE SALES-WRITING INST</v>
      </c>
      <c r="C27" s="11"/>
      <c r="D27" s="2">
        <f t="shared" si="6"/>
        <v>0</v>
      </c>
      <c r="E27" s="2"/>
      <c r="F27" s="19"/>
      <c r="G27" s="2"/>
      <c r="H27" s="2">
        <f t="shared" ref="H27:H32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--52.68</f>
        <v>52.68</v>
      </c>
      <c r="Q27" s="2"/>
      <c r="R27" s="19"/>
      <c r="S27" s="2"/>
      <c r="T27" s="2">
        <f t="shared" ref="T27:T32" si="9">0</f>
        <v>0</v>
      </c>
      <c r="U27" s="2"/>
      <c r="V27" s="19"/>
      <c r="W27" s="2"/>
      <c r="X27" s="2">
        <f t="shared" si="2"/>
        <v>52.68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"4127", " - ", "NON-TAXABLE SALES-SCHOOL SUPPL")</f>
        <v xml:space="preserve">          4127 - NON-TAXABLE SALES-SCHOOL SUPPL</v>
      </c>
      <c r="C28" s="11"/>
      <c r="D28" s="2">
        <f>--810.33</f>
        <v>810.33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810.33</v>
      </c>
      <c r="M28" s="2"/>
      <c r="N28" s="19">
        <f t="shared" si="1"/>
        <v>0</v>
      </c>
      <c r="O28" s="11"/>
      <c r="P28" s="2">
        <f>--2670.74</f>
        <v>2670.74</v>
      </c>
      <c r="Q28" s="2"/>
      <c r="R28" s="19"/>
      <c r="S28" s="2"/>
      <c r="T28" s="2">
        <f t="shared" si="9"/>
        <v>0</v>
      </c>
      <c r="U28" s="2"/>
      <c r="V28" s="19"/>
      <c r="W28" s="2"/>
      <c r="X28" s="2">
        <f t="shared" si="2"/>
        <v>2670.74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>--923.18</f>
        <v>923.18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923.18</v>
      </c>
      <c r="M29" s="2"/>
      <c r="N29" s="19">
        <f t="shared" si="1"/>
        <v>0</v>
      </c>
      <c r="O29" s="11"/>
      <c r="P29" s="2">
        <f>--2171.26</f>
        <v>2171.2600000000002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2171.2600000000002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ref="D30:D33" si="10">0</f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--22.49</f>
        <v>22.49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22.49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10"/>
        <v>0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--80.71</f>
        <v>80.709999999999994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80.709999999999994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10"/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--45.53</f>
        <v>45.53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45.53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10"/>
        <v>0</v>
      </c>
      <c r="E33" s="2"/>
      <c r="F33" s="19"/>
      <c r="G33" s="2"/>
      <c r="H33" s="2">
        <f>--19.5</f>
        <v>19.5</v>
      </c>
      <c r="I33" s="2"/>
      <c r="J33" s="19"/>
      <c r="K33" s="2"/>
      <c r="L33" s="2">
        <f t="shared" si="0"/>
        <v>-19.5</v>
      </c>
      <c r="M33" s="2"/>
      <c r="N33" s="19">
        <f t="shared" si="1"/>
        <v>-1</v>
      </c>
      <c r="O33" s="11"/>
      <c r="P33" s="2">
        <f>--68.25</f>
        <v>68.25</v>
      </c>
      <c r="Q33" s="2"/>
      <c r="R33" s="19"/>
      <c r="S33" s="2"/>
      <c r="T33" s="2">
        <f>--73.5</f>
        <v>73.5</v>
      </c>
      <c r="U33" s="2"/>
      <c r="V33" s="19"/>
      <c r="W33" s="2"/>
      <c r="X33" s="2">
        <f t="shared" si="2"/>
        <v>-5.25</v>
      </c>
      <c r="Y33" s="2"/>
      <c r="Z33" s="19">
        <f t="shared" si="3"/>
        <v>-7.1428571428571425E-2</v>
      </c>
    </row>
    <row r="34" spans="1:26" s="24" customFormat="1" hidden="1" outlineLevel="1" x14ac:dyDescent="0.25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>--3339.7</f>
        <v>3339.7</v>
      </c>
      <c r="E34" s="2"/>
      <c r="F34" s="19"/>
      <c r="G34" s="2"/>
      <c r="H34" s="2">
        <f>--3114.74</f>
        <v>3114.74</v>
      </c>
      <c r="I34" s="2"/>
      <c r="J34" s="19"/>
      <c r="K34" s="2"/>
      <c r="L34" s="2">
        <f t="shared" si="0"/>
        <v>224.96000000000004</v>
      </c>
      <c r="M34" s="2"/>
      <c r="N34" s="19">
        <f t="shared" si="1"/>
        <v>7.2224326910111297E-2</v>
      </c>
      <c r="O34" s="11"/>
      <c r="P34" s="2">
        <f>--17452.44</f>
        <v>17452.439999999999</v>
      </c>
      <c r="Q34" s="2"/>
      <c r="R34" s="19"/>
      <c r="S34" s="2"/>
      <c r="T34" s="2">
        <f>--8257.7</f>
        <v>8257.7000000000007</v>
      </c>
      <c r="U34" s="2"/>
      <c r="V34" s="19"/>
      <c r="W34" s="2"/>
      <c r="X34" s="2">
        <f t="shared" si="2"/>
        <v>9194.739999999998</v>
      </c>
      <c r="Y34" s="2"/>
      <c r="Z34" s="19">
        <f t="shared" si="3"/>
        <v>1.1134746963440179</v>
      </c>
    </row>
    <row r="35" spans="1:26" s="24" customFormat="1" hidden="1" outlineLevel="1" x14ac:dyDescent="0.25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>--555.74</f>
        <v>555.74</v>
      </c>
      <c r="E35" s="2"/>
      <c r="F35" s="19"/>
      <c r="G35" s="2"/>
      <c r="H35" s="2">
        <f>--144.99</f>
        <v>144.99</v>
      </c>
      <c r="I35" s="2"/>
      <c r="J35" s="19"/>
      <c r="K35" s="2"/>
      <c r="L35" s="2">
        <f t="shared" si="0"/>
        <v>410.75</v>
      </c>
      <c r="M35" s="2"/>
      <c r="N35" s="19">
        <f t="shared" si="1"/>
        <v>2.8329539968273671</v>
      </c>
      <c r="O35" s="11"/>
      <c r="P35" s="2">
        <f>--2487.49</f>
        <v>2487.4899999999998</v>
      </c>
      <c r="Q35" s="2"/>
      <c r="R35" s="19"/>
      <c r="S35" s="2"/>
      <c r="T35" s="2">
        <f>--661.89</f>
        <v>661.89</v>
      </c>
      <c r="U35" s="2"/>
      <c r="V35" s="19"/>
      <c r="W35" s="2"/>
      <c r="X35" s="2">
        <f t="shared" si="2"/>
        <v>1825.6</v>
      </c>
      <c r="Y35" s="2"/>
      <c r="Z35" s="19">
        <f t="shared" si="3"/>
        <v>2.7581622323951107</v>
      </c>
    </row>
    <row r="36" spans="1:26" s="24" customFormat="1" hidden="1" outlineLevel="1" x14ac:dyDescent="0.25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>--30.16</f>
        <v>30.16</v>
      </c>
      <c r="E36" s="2"/>
      <c r="F36" s="19"/>
      <c r="G36" s="2"/>
      <c r="H36" s="2">
        <f>--526.9</f>
        <v>526.9</v>
      </c>
      <c r="I36" s="2"/>
      <c r="J36" s="19"/>
      <c r="K36" s="2"/>
      <c r="L36" s="2">
        <f t="shared" si="0"/>
        <v>-496.73999999999995</v>
      </c>
      <c r="M36" s="2"/>
      <c r="N36" s="19">
        <f t="shared" si="1"/>
        <v>-0.94275953691402536</v>
      </c>
      <c r="O36" s="11"/>
      <c r="P36" s="2">
        <f>--1003.75</f>
        <v>1003.75</v>
      </c>
      <c r="Q36" s="2"/>
      <c r="R36" s="19"/>
      <c r="S36" s="2"/>
      <c r="T36" s="2">
        <f>--935</f>
        <v>935</v>
      </c>
      <c r="U36" s="2"/>
      <c r="V36" s="19"/>
      <c r="W36" s="2"/>
      <c r="X36" s="2">
        <f t="shared" si="2"/>
        <v>68.75</v>
      </c>
      <c r="Y36" s="2"/>
      <c r="Z36" s="19">
        <f t="shared" si="3"/>
        <v>7.3529411764705885E-2</v>
      </c>
    </row>
    <row r="37" spans="1:26" s="24" customFormat="1" hidden="1" outlineLevel="1" x14ac:dyDescent="0.25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>0</f>
        <v>0</v>
      </c>
      <c r="E37" s="2"/>
      <c r="F37" s="19"/>
      <c r="G37" s="2"/>
      <c r="H37" s="2">
        <f t="shared" ref="H37:H41" si="11"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--19.98</f>
        <v>19.98</v>
      </c>
      <c r="Q37" s="2"/>
      <c r="R37" s="19"/>
      <c r="S37" s="2"/>
      <c r="T37" s="2">
        <f>0</f>
        <v>0</v>
      </c>
      <c r="U37" s="2"/>
      <c r="V37" s="19"/>
      <c r="W37" s="2"/>
      <c r="X37" s="2">
        <f t="shared" si="2"/>
        <v>19.98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>--59.95</f>
        <v>59.95</v>
      </c>
      <c r="E38" s="2"/>
      <c r="F38" s="19"/>
      <c r="G38" s="2"/>
      <c r="H38" s="2">
        <f t="shared" si="11"/>
        <v>0</v>
      </c>
      <c r="I38" s="2"/>
      <c r="J38" s="19"/>
      <c r="K38" s="2"/>
      <c r="L38" s="2">
        <f t="shared" si="0"/>
        <v>59.95</v>
      </c>
      <c r="M38" s="2"/>
      <c r="N38" s="19">
        <f t="shared" si="1"/>
        <v>0</v>
      </c>
      <c r="O38" s="11"/>
      <c r="P38" s="2">
        <f>--215.75</f>
        <v>215.75</v>
      </c>
      <c r="Q38" s="2"/>
      <c r="R38" s="19"/>
      <c r="S38" s="2"/>
      <c r="T38" s="2">
        <f>--139.76</f>
        <v>139.76</v>
      </c>
      <c r="U38" s="2"/>
      <c r="V38" s="19"/>
      <c r="W38" s="2"/>
      <c r="X38" s="2">
        <f t="shared" si="2"/>
        <v>75.990000000000009</v>
      </c>
      <c r="Y38" s="2"/>
      <c r="Z38" s="19">
        <f t="shared" si="3"/>
        <v>0.54371780194619357</v>
      </c>
    </row>
    <row r="39" spans="1:26" s="24" customFormat="1" hidden="1" outlineLevel="1" x14ac:dyDescent="0.25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>0</f>
        <v>0</v>
      </c>
      <c r="E39" s="2"/>
      <c r="F39" s="19"/>
      <c r="G39" s="2"/>
      <c r="H39" s="2">
        <f t="shared" si="11"/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>--35846</f>
        <v>35846</v>
      </c>
      <c r="Q39" s="2"/>
      <c r="R39" s="19"/>
      <c r="S39" s="2"/>
      <c r="T39" s="2">
        <f>--90</f>
        <v>90</v>
      </c>
      <c r="U39" s="2"/>
      <c r="V39" s="19"/>
      <c r="W39" s="2"/>
      <c r="X39" s="2">
        <f t="shared" si="2"/>
        <v>35756</v>
      </c>
      <c r="Y39" s="2"/>
      <c r="Z39" s="19">
        <f t="shared" si="3"/>
        <v>397.28888888888889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>-22.49</f>
        <v>-22.49</v>
      </c>
      <c r="E40" s="2"/>
      <c r="F40" s="19"/>
      <c r="G40" s="2"/>
      <c r="H40" s="2">
        <f t="shared" si="11"/>
        <v>0</v>
      </c>
      <c r="I40" s="2"/>
      <c r="J40" s="19"/>
      <c r="K40" s="2"/>
      <c r="L40" s="2">
        <f t="shared" si="0"/>
        <v>-22.49</v>
      </c>
      <c r="M40" s="2"/>
      <c r="N40" s="19">
        <f t="shared" si="1"/>
        <v>0</v>
      </c>
      <c r="O40" s="11"/>
      <c r="P40" s="2">
        <f>-28.87</f>
        <v>-28.87</v>
      </c>
      <c r="Q40" s="2"/>
      <c r="R40" s="19"/>
      <c r="S40" s="2"/>
      <c r="T40" s="2">
        <f t="shared" ref="T40:T41" si="12">0</f>
        <v>0</v>
      </c>
      <c r="U40" s="2"/>
      <c r="V40" s="19"/>
      <c r="W40" s="2"/>
      <c r="X40" s="2">
        <f t="shared" si="2"/>
        <v>-28.87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>-132.71</f>
        <v>-132.71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-132.71</v>
      </c>
      <c r="M41" s="2"/>
      <c r="N41" s="19">
        <f t="shared" si="1"/>
        <v>0</v>
      </c>
      <c r="O41" s="11"/>
      <c r="P41" s="2">
        <f>-408.7</f>
        <v>-408.7</v>
      </c>
      <c r="Q41" s="2"/>
      <c r="R41" s="19"/>
      <c r="S41" s="2"/>
      <c r="T41" s="2">
        <f t="shared" si="12"/>
        <v>0</v>
      </c>
      <c r="U41" s="2"/>
      <c r="V41" s="19"/>
      <c r="W41" s="2"/>
      <c r="X41" s="2">
        <f t="shared" si="2"/>
        <v>-408.7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-3453.14</f>
        <v>-3453.14</v>
      </c>
      <c r="E42" s="2"/>
      <c r="F42" s="19"/>
      <c r="G42" s="2"/>
      <c r="H42" s="2">
        <f>-9538.49</f>
        <v>-9538.49</v>
      </c>
      <c r="I42" s="2"/>
      <c r="J42" s="19"/>
      <c r="K42" s="2"/>
      <c r="L42" s="2">
        <f t="shared" si="0"/>
        <v>6085.35</v>
      </c>
      <c r="M42" s="2"/>
      <c r="N42" s="19">
        <f t="shared" si="1"/>
        <v>-0.63797833829044226</v>
      </c>
      <c r="O42" s="11"/>
      <c r="P42" s="2">
        <f>-11609.96</f>
        <v>-11609.96</v>
      </c>
      <c r="Q42" s="2"/>
      <c r="R42" s="19"/>
      <c r="S42" s="2"/>
      <c r="T42" s="2">
        <f>-20792.98</f>
        <v>-20792.98</v>
      </c>
      <c r="U42" s="2"/>
      <c r="V42" s="19"/>
      <c r="W42" s="2"/>
      <c r="X42" s="2">
        <f t="shared" si="2"/>
        <v>9183.02</v>
      </c>
      <c r="Y42" s="2"/>
      <c r="Z42" s="19">
        <f t="shared" si="3"/>
        <v>-0.4416403997887749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-754.62</f>
        <v>-754.62</v>
      </c>
      <c r="E43" s="2"/>
      <c r="F43" s="19"/>
      <c r="G43" s="2"/>
      <c r="H43" s="2">
        <f>-550.82</f>
        <v>-550.82000000000005</v>
      </c>
      <c r="I43" s="2"/>
      <c r="J43" s="19"/>
      <c r="K43" s="2"/>
      <c r="L43" s="2">
        <f t="shared" si="0"/>
        <v>-203.79999999999995</v>
      </c>
      <c r="M43" s="2"/>
      <c r="N43" s="19">
        <f t="shared" si="1"/>
        <v>0.36999382738462644</v>
      </c>
      <c r="O43" s="11"/>
      <c r="P43" s="2">
        <f>-1561.36</f>
        <v>-1561.36</v>
      </c>
      <c r="Q43" s="2"/>
      <c r="R43" s="19"/>
      <c r="S43" s="2"/>
      <c r="T43" s="2">
        <f>-1777.13</f>
        <v>-1777.13</v>
      </c>
      <c r="U43" s="2"/>
      <c r="V43" s="19"/>
      <c r="W43" s="2"/>
      <c r="X43" s="2">
        <f t="shared" si="2"/>
        <v>215.77000000000021</v>
      </c>
      <c r="Y43" s="2"/>
      <c r="Z43" s="19">
        <f t="shared" si="3"/>
        <v>-0.12141486554163185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-405.07</f>
        <v>-405.07</v>
      </c>
      <c r="E44" s="2"/>
      <c r="F44" s="19"/>
      <c r="G44" s="2"/>
      <c r="H44" s="2">
        <f>-169.66</f>
        <v>-169.66</v>
      </c>
      <c r="I44" s="2"/>
      <c r="J44" s="19"/>
      <c r="K44" s="2"/>
      <c r="L44" s="2">
        <f t="shared" si="0"/>
        <v>-235.41</v>
      </c>
      <c r="M44" s="2"/>
      <c r="N44" s="19">
        <f t="shared" si="1"/>
        <v>1.3875397854532594</v>
      </c>
      <c r="O44" s="11"/>
      <c r="P44" s="2">
        <f>-1054.56</f>
        <v>-1054.56</v>
      </c>
      <c r="Q44" s="2"/>
      <c r="R44" s="19"/>
      <c r="S44" s="2"/>
      <c r="T44" s="2">
        <f>-978.27</f>
        <v>-978.27</v>
      </c>
      <c r="U44" s="2"/>
      <c r="V44" s="19"/>
      <c r="W44" s="2"/>
      <c r="X44" s="2">
        <f t="shared" si="2"/>
        <v>-76.289999999999964</v>
      </c>
      <c r="Y44" s="2"/>
      <c r="Z44" s="19">
        <f t="shared" si="3"/>
        <v>7.7984605477015509E-2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-59.94</f>
        <v>-59.94</v>
      </c>
      <c r="E45" s="2"/>
      <c r="F45" s="19"/>
      <c r="G45" s="2"/>
      <c r="H45" s="2">
        <f>-4.5</f>
        <v>-4.5</v>
      </c>
      <c r="I45" s="2"/>
      <c r="J45" s="19"/>
      <c r="K45" s="2"/>
      <c r="L45" s="2">
        <f t="shared" si="0"/>
        <v>-55.44</v>
      </c>
      <c r="M45" s="2"/>
      <c r="N45" s="19">
        <f t="shared" si="1"/>
        <v>12.32</v>
      </c>
      <c r="O45" s="11"/>
      <c r="P45" s="2">
        <f>-153.37</f>
        <v>-153.37</v>
      </c>
      <c r="Q45" s="2"/>
      <c r="R45" s="19"/>
      <c r="S45" s="2"/>
      <c r="T45" s="2">
        <f>-4.5</f>
        <v>-4.5</v>
      </c>
      <c r="U45" s="2"/>
      <c r="V45" s="19"/>
      <c r="W45" s="2"/>
      <c r="X45" s="2">
        <f t="shared" si="2"/>
        <v>-148.87</v>
      </c>
      <c r="Y45" s="2"/>
      <c r="Z45" s="19">
        <f t="shared" si="3"/>
        <v>33.082222222222221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-60</f>
        <v>-60</v>
      </c>
      <c r="E46" s="2"/>
      <c r="F46" s="19"/>
      <c r="G46" s="2"/>
      <c r="H46" s="2">
        <f>-704.04</f>
        <v>-704.04</v>
      </c>
      <c r="I46" s="2"/>
      <c r="J46" s="19"/>
      <c r="K46" s="2"/>
      <c r="L46" s="2">
        <f t="shared" si="0"/>
        <v>644.04</v>
      </c>
      <c r="M46" s="2"/>
      <c r="N46" s="19">
        <f t="shared" si="1"/>
        <v>-0.91477756945628086</v>
      </c>
      <c r="O46" s="11"/>
      <c r="P46" s="2">
        <f>-410.99</f>
        <v>-410.99</v>
      </c>
      <c r="Q46" s="2"/>
      <c r="R46" s="19"/>
      <c r="S46" s="2"/>
      <c r="T46" s="2">
        <f>-1254.51</f>
        <v>-1254.51</v>
      </c>
      <c r="U46" s="2"/>
      <c r="V46" s="19"/>
      <c r="W46" s="2"/>
      <c r="X46" s="2">
        <f t="shared" si="2"/>
        <v>843.52</v>
      </c>
      <c r="Y46" s="2"/>
      <c r="Z46" s="19">
        <f t="shared" si="3"/>
        <v>-0.67239001681931587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-3.99</f>
        <v>-3.99</v>
      </c>
      <c r="E47" s="2"/>
      <c r="F47" s="19"/>
      <c r="G47" s="2"/>
      <c r="H47" s="2">
        <f>-71.98</f>
        <v>-71.98</v>
      </c>
      <c r="I47" s="2"/>
      <c r="J47" s="19"/>
      <c r="K47" s="2"/>
      <c r="L47" s="2">
        <f t="shared" si="0"/>
        <v>67.990000000000009</v>
      </c>
      <c r="M47" s="2"/>
      <c r="N47" s="19">
        <f t="shared" si="1"/>
        <v>-0.94456793553764939</v>
      </c>
      <c r="O47" s="11"/>
      <c r="P47" s="2">
        <f>-1182.95</f>
        <v>-1182.95</v>
      </c>
      <c r="Q47" s="2"/>
      <c r="R47" s="19"/>
      <c r="S47" s="2"/>
      <c r="T47" s="2">
        <f>-91.96</f>
        <v>-91.96</v>
      </c>
      <c r="U47" s="2"/>
      <c r="V47" s="19"/>
      <c r="W47" s="2"/>
      <c r="X47" s="2">
        <f t="shared" si="2"/>
        <v>-1090.99</v>
      </c>
      <c r="Y47" s="2"/>
      <c r="Z47" s="19">
        <f t="shared" si="3"/>
        <v>11.863745106568073</v>
      </c>
    </row>
    <row r="48" spans="1:26" s="24" customFormat="1" hidden="1" outlineLevel="1" x14ac:dyDescent="0.25">
      <c r="A48" s="44"/>
      <c r="B48" s="11" t="str">
        <f>CONCATENATE("          ", "4295", " - ", "SALES RETURN TAXABLE-CUSTOMER")</f>
        <v xml:space="preserve">          4295 - SALES RETURN TAXABLE-CUSTOMER</v>
      </c>
      <c r="C48" s="11"/>
      <c r="D48" s="2">
        <f>0</f>
        <v>0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0</f>
        <v>0</v>
      </c>
      <c r="Q48" s="2"/>
      <c r="R48" s="19"/>
      <c r="S48" s="2"/>
      <c r="T48" s="2">
        <f>--0.99</f>
        <v>0.99</v>
      </c>
      <c r="U48" s="2"/>
      <c r="V48" s="19"/>
      <c r="W48" s="2"/>
      <c r="X48" s="2">
        <f t="shared" si="2"/>
        <v>-0.99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-36.9</f>
        <v>-36.9</v>
      </c>
      <c r="E49" s="2"/>
      <c r="F49" s="19"/>
      <c r="G49" s="2"/>
      <c r="H49" s="2">
        <f>-24.95</f>
        <v>-24.95</v>
      </c>
      <c r="I49" s="2"/>
      <c r="J49" s="19"/>
      <c r="K49" s="2"/>
      <c r="L49" s="2">
        <f t="shared" si="0"/>
        <v>-11.95</v>
      </c>
      <c r="M49" s="2"/>
      <c r="N49" s="19">
        <f t="shared" si="1"/>
        <v>0.47895791583166331</v>
      </c>
      <c r="O49" s="11"/>
      <c r="P49" s="2">
        <f>-541.04</f>
        <v>-541.04</v>
      </c>
      <c r="Q49" s="2"/>
      <c r="R49" s="19"/>
      <c r="S49" s="2"/>
      <c r="T49" s="2">
        <f>-293.45</f>
        <v>-293.45</v>
      </c>
      <c r="U49" s="2"/>
      <c r="V49" s="19"/>
      <c r="W49" s="2"/>
      <c r="X49" s="2">
        <f t="shared" si="2"/>
        <v>-247.58999999999997</v>
      </c>
      <c r="Y49" s="2"/>
      <c r="Z49" s="19">
        <f t="shared" si="3"/>
        <v>0.84372124723121478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>-129.95</f>
        <v>-129.94999999999999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-129.94999999999999</v>
      </c>
      <c r="M50" s="2"/>
      <c r="N50" s="19">
        <f t="shared" si="1"/>
        <v>0</v>
      </c>
      <c r="O50" s="11"/>
      <c r="P50" s="2">
        <f>-146.9</f>
        <v>-146.9</v>
      </c>
      <c r="Q50" s="2"/>
      <c r="R50" s="19"/>
      <c r="S50" s="2"/>
      <c r="T50" s="2">
        <f>-3.95</f>
        <v>-3.95</v>
      </c>
      <c r="U50" s="2"/>
      <c r="V50" s="19"/>
      <c r="W50" s="2"/>
      <c r="X50" s="2">
        <f t="shared" si="2"/>
        <v>-142.95000000000002</v>
      </c>
      <c r="Y50" s="2"/>
      <c r="Z50" s="19">
        <f t="shared" si="3"/>
        <v>36.189873417721522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>-24.95</f>
        <v>-24.95</v>
      </c>
      <c r="E51" s="2"/>
      <c r="F51" s="19"/>
      <c r="G51" s="2"/>
      <c r="H51" s="2">
        <f>-10</f>
        <v>-10</v>
      </c>
      <c r="I51" s="2"/>
      <c r="J51" s="19"/>
      <c r="K51" s="2"/>
      <c r="L51" s="2">
        <f t="shared" si="0"/>
        <v>-14.95</v>
      </c>
      <c r="M51" s="2"/>
      <c r="N51" s="19">
        <f t="shared" si="1"/>
        <v>1.4949999999999999</v>
      </c>
      <c r="O51" s="11"/>
      <c r="P51" s="2">
        <f>-118.7</f>
        <v>-118.7</v>
      </c>
      <c r="Q51" s="2"/>
      <c r="R51" s="19"/>
      <c r="S51" s="2"/>
      <c r="T51" s="2">
        <f>-10</f>
        <v>-10</v>
      </c>
      <c r="U51" s="2"/>
      <c r="V51" s="19"/>
      <c r="W51" s="2"/>
      <c r="X51" s="2">
        <f t="shared" si="2"/>
        <v>-108.7</v>
      </c>
      <c r="Y51" s="2"/>
      <c r="Z51" s="19">
        <f t="shared" si="3"/>
        <v>10.870000000000001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6" t="s">
        <v>8</v>
      </c>
      <c r="C53" s="10"/>
      <c r="D53" s="4">
        <f>SUM(OSRRefD16x_0)</f>
        <v>68684.60000000002</v>
      </c>
      <c r="E53" s="4"/>
      <c r="F53" s="12">
        <f t="shared" ref="F53:F75" si="13">IF(D$12=0,0,D53/D$12)</f>
        <v>0.60372427575518517</v>
      </c>
      <c r="G53" s="4"/>
      <c r="H53" s="4">
        <f>SUM(OSRRefH16x_0)</f>
        <v>137400.94</v>
      </c>
      <c r="I53" s="4"/>
      <c r="J53" s="12">
        <f t="shared" ref="J53:J75" si="14">IF(H$12=0,0,H53/H$12)</f>
        <v>0.4507437549125482</v>
      </c>
      <c r="K53" s="4"/>
      <c r="L53" s="4">
        <f t="shared" ref="L53:L75" si="15">+D53-H53</f>
        <v>-68716.339999999982</v>
      </c>
      <c r="M53" s="4"/>
      <c r="N53" s="12">
        <f t="shared" ref="N53:N75" si="16">IF(H53=0,0,L53/H53)</f>
        <v>-0.50011550139322181</v>
      </c>
      <c r="O53" s="10"/>
      <c r="P53" s="4">
        <f>SUM(OSRRefP16x_0)</f>
        <v>359280.54000000004</v>
      </c>
      <c r="Q53" s="4"/>
      <c r="R53" s="12">
        <f t="shared" ref="R53:R75" si="17">IF(P$12=0,0,P53/P$12)</f>
        <v>0.59919305187935334</v>
      </c>
      <c r="S53" s="4"/>
      <c r="T53" s="4">
        <f>SUM(OSRRefT16x_0)</f>
        <v>390017.6100000001</v>
      </c>
      <c r="U53" s="4"/>
      <c r="V53" s="12">
        <f t="shared" ref="V53:V75" si="18">IF(T$12=0,0,T53/T$12)</f>
        <v>0.45372862231966687</v>
      </c>
      <c r="W53" s="4"/>
      <c r="X53" s="4">
        <f t="shared" ref="X53:X75" si="19">+P53-T53</f>
        <v>-30737.070000000065</v>
      </c>
      <c r="Y53" s="4"/>
      <c r="Z53" s="12">
        <f t="shared" ref="Z53:Z75" si="20">IF(T53=0,0,X53/T53)</f>
        <v>-7.8809441450605422E-2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3"/>
        <v>0</v>
      </c>
      <c r="G54" s="2"/>
      <c r="H54" s="2">
        <v>-11.31</v>
      </c>
      <c r="I54" s="2"/>
      <c r="J54" s="19">
        <f t="shared" si="14"/>
        <v>-3.7102452632863507E-5</v>
      </c>
      <c r="K54" s="2"/>
      <c r="L54" s="2">
        <f t="shared" si="15"/>
        <v>11.31</v>
      </c>
      <c r="M54" s="2"/>
      <c r="N54" s="19">
        <f t="shared" si="16"/>
        <v>-1</v>
      </c>
      <c r="O54" s="11"/>
      <c r="P54" s="2"/>
      <c r="Q54" s="2"/>
      <c r="R54" s="19">
        <f t="shared" si="17"/>
        <v>0</v>
      </c>
      <c r="S54" s="2"/>
      <c r="T54" s="2">
        <v>-64.930000000000007</v>
      </c>
      <c r="U54" s="2"/>
      <c r="V54" s="19">
        <f t="shared" si="18"/>
        <v>-7.5536587815139842E-5</v>
      </c>
      <c r="W54" s="2"/>
      <c r="X54" s="2">
        <f t="shared" si="19"/>
        <v>64.930000000000007</v>
      </c>
      <c r="Y54" s="2"/>
      <c r="Z54" s="19">
        <f t="shared" si="20"/>
        <v>-1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3"/>
        <v>0</v>
      </c>
      <c r="G55" s="2"/>
      <c r="H55" s="2">
        <v>-35.06</v>
      </c>
      <c r="I55" s="2"/>
      <c r="J55" s="19">
        <f t="shared" si="14"/>
        <v>-1.1501432266208617E-4</v>
      </c>
      <c r="K55" s="2"/>
      <c r="L55" s="2">
        <f t="shared" si="15"/>
        <v>35.06</v>
      </c>
      <c r="M55" s="2"/>
      <c r="N55" s="19">
        <f t="shared" si="16"/>
        <v>-1</v>
      </c>
      <c r="O55" s="11"/>
      <c r="P55" s="2">
        <v>8503.4</v>
      </c>
      <c r="Q55" s="2"/>
      <c r="R55" s="19">
        <f t="shared" si="17"/>
        <v>1.4181614727451958E-2</v>
      </c>
      <c r="S55" s="2"/>
      <c r="T55" s="2">
        <v>28.46</v>
      </c>
      <c r="U55" s="2"/>
      <c r="V55" s="19">
        <f t="shared" si="18"/>
        <v>3.3109060360678882E-5</v>
      </c>
      <c r="W55" s="2"/>
      <c r="X55" s="2">
        <f t="shared" si="19"/>
        <v>8474.94</v>
      </c>
      <c r="Y55" s="2"/>
      <c r="Z55" s="19">
        <f t="shared" si="20"/>
        <v>297.78425860857345</v>
      </c>
    </row>
    <row r="56" spans="1:26" s="24" customFormat="1" hidden="1" outlineLevel="1" x14ac:dyDescent="0.25">
      <c r="A56" s="44"/>
      <c r="B56" s="11" t="str">
        <f>CONCATENATE("          ", "5028", " - ", "PURCHASES @ COST-ART/TECH")</f>
        <v xml:space="preserve">          5028 - PURCHASES @ COST-ART/TECH</v>
      </c>
      <c r="C56" s="11"/>
      <c r="D56" s="2">
        <v>-83.4</v>
      </c>
      <c r="E56" s="2"/>
      <c r="F56" s="19">
        <f t="shared" si="13"/>
        <v>-7.3306977980482427E-4</v>
      </c>
      <c r="G56" s="2"/>
      <c r="H56" s="2"/>
      <c r="I56" s="2"/>
      <c r="J56" s="19">
        <f t="shared" si="14"/>
        <v>0</v>
      </c>
      <c r="K56" s="2"/>
      <c r="L56" s="2">
        <f t="shared" si="15"/>
        <v>-83.4</v>
      </c>
      <c r="M56" s="2"/>
      <c r="N56" s="19">
        <f t="shared" si="16"/>
        <v>0</v>
      </c>
      <c r="O56" s="11"/>
      <c r="P56" s="2">
        <v>-83.4</v>
      </c>
      <c r="Q56" s="2"/>
      <c r="R56" s="19">
        <f t="shared" si="17"/>
        <v>-1.390910304430573E-4</v>
      </c>
      <c r="S56" s="2"/>
      <c r="T56" s="2"/>
      <c r="U56" s="2"/>
      <c r="V56" s="19">
        <f t="shared" si="18"/>
        <v>0</v>
      </c>
      <c r="W56" s="2"/>
      <c r="X56" s="2">
        <f t="shared" si="19"/>
        <v>-83.4</v>
      </c>
      <c r="Y56" s="2"/>
      <c r="Z56" s="19">
        <f t="shared" si="20"/>
        <v>0</v>
      </c>
    </row>
    <row r="57" spans="1:26" s="24" customFormat="1" hidden="1" outlineLevel="1" x14ac:dyDescent="0.25">
      <c r="A57" s="44"/>
      <c r="B57" s="11" t="str">
        <f>CONCATENATE("          ", "5031", " - ", "PURCHASES @ COST-FOOD")</f>
        <v xml:space="preserve">          5031 - PURCHASES @ COST-FOOD</v>
      </c>
      <c r="C57" s="11"/>
      <c r="D57" s="2">
        <v>1183.51</v>
      </c>
      <c r="E57" s="2"/>
      <c r="F57" s="19">
        <f t="shared" si="13"/>
        <v>1.0402822722983303E-2</v>
      </c>
      <c r="G57" s="2"/>
      <c r="H57" s="2"/>
      <c r="I57" s="2"/>
      <c r="J57" s="19">
        <f t="shared" si="14"/>
        <v>0</v>
      </c>
      <c r="K57" s="2"/>
      <c r="L57" s="2">
        <f t="shared" si="15"/>
        <v>1183.51</v>
      </c>
      <c r="M57" s="2"/>
      <c r="N57" s="19">
        <f t="shared" si="16"/>
        <v>0</v>
      </c>
      <c r="O57" s="11"/>
      <c r="P57" s="2">
        <v>1183.51</v>
      </c>
      <c r="Q57" s="2"/>
      <c r="R57" s="19">
        <f t="shared" si="17"/>
        <v>1.9738084585091452E-3</v>
      </c>
      <c r="S57" s="2"/>
      <c r="T57" s="2"/>
      <c r="U57" s="2"/>
      <c r="V57" s="19">
        <f t="shared" si="18"/>
        <v>0</v>
      </c>
      <c r="W57" s="2"/>
      <c r="X57" s="2">
        <f t="shared" si="19"/>
        <v>1183.51</v>
      </c>
      <c r="Y57" s="2"/>
      <c r="Z57" s="19">
        <f t="shared" si="20"/>
        <v>0</v>
      </c>
    </row>
    <row r="58" spans="1:26" s="24" customFormat="1" hidden="1" outlineLevel="1" x14ac:dyDescent="0.25">
      <c r="A58" s="44"/>
      <c r="B58" s="11" t="str">
        <f>CONCATENATE("          ", "5037", " - ", "PURCHASES @ COST-WATER")</f>
        <v xml:space="preserve">          5037 - PURCHASES @ COST-WATER</v>
      </c>
      <c r="C58" s="11"/>
      <c r="D58" s="2"/>
      <c r="E58" s="2"/>
      <c r="F58" s="19">
        <f t="shared" si="13"/>
        <v>0</v>
      </c>
      <c r="G58" s="2"/>
      <c r="H58" s="2"/>
      <c r="I58" s="2"/>
      <c r="J58" s="19">
        <f t="shared" si="14"/>
        <v>0</v>
      </c>
      <c r="K58" s="2"/>
      <c r="L58" s="2">
        <f t="shared" si="15"/>
        <v>0</v>
      </c>
      <c r="M58" s="2"/>
      <c r="N58" s="19">
        <f t="shared" si="16"/>
        <v>0</v>
      </c>
      <c r="O58" s="11"/>
      <c r="P58" s="2"/>
      <c r="Q58" s="2"/>
      <c r="R58" s="19">
        <f t="shared" si="17"/>
        <v>0</v>
      </c>
      <c r="S58" s="2"/>
      <c r="T58" s="2">
        <v>29.76</v>
      </c>
      <c r="U58" s="2"/>
      <c r="V58" s="19">
        <f t="shared" si="18"/>
        <v>3.4621420812853252E-5</v>
      </c>
      <c r="W58" s="2"/>
      <c r="X58" s="2">
        <f t="shared" si="19"/>
        <v>-29.76</v>
      </c>
      <c r="Y58" s="2"/>
      <c r="Z58" s="19">
        <f t="shared" si="20"/>
        <v>-1</v>
      </c>
    </row>
    <row r="59" spans="1:26" s="24" customFormat="1" hidden="1" outlineLevel="1" x14ac:dyDescent="0.25">
      <c r="A59" s="44"/>
      <c r="B59" s="11" t="str">
        <f>CONCATENATE("          ", "5040", " - ", "PURCHASES @ COST-LOGO CLOTHING")</f>
        <v xml:space="preserve">          5040 - PURCHASES @ COST-LOGO CLOTHING</v>
      </c>
      <c r="C59" s="11"/>
      <c r="D59" s="2">
        <v>4398.1499999999996</v>
      </c>
      <c r="E59" s="2"/>
      <c r="F59" s="19">
        <f t="shared" si="13"/>
        <v>3.8658883118088579E-2</v>
      </c>
      <c r="G59" s="2"/>
      <c r="H59" s="2">
        <v>150282.89000000001</v>
      </c>
      <c r="I59" s="2"/>
      <c r="J59" s="19">
        <f t="shared" si="14"/>
        <v>0.49300298919140911</v>
      </c>
      <c r="K59" s="2"/>
      <c r="L59" s="2">
        <f t="shared" si="15"/>
        <v>-145884.74000000002</v>
      </c>
      <c r="M59" s="2"/>
      <c r="N59" s="19">
        <f t="shared" si="16"/>
        <v>-0.97073419336026878</v>
      </c>
      <c r="O59" s="11"/>
      <c r="P59" s="2">
        <v>13750.05</v>
      </c>
      <c r="Q59" s="2"/>
      <c r="R59" s="19">
        <f t="shared" si="17"/>
        <v>2.2931758071265705E-2</v>
      </c>
      <c r="S59" s="2"/>
      <c r="T59" s="2">
        <v>335851.86000000004</v>
      </c>
      <c r="U59" s="2"/>
      <c r="V59" s="19">
        <f t="shared" si="18"/>
        <v>0.3907146698870792</v>
      </c>
      <c r="W59" s="2"/>
      <c r="X59" s="2">
        <f t="shared" si="19"/>
        <v>-322101.81000000006</v>
      </c>
      <c r="Y59" s="2"/>
      <c r="Z59" s="19">
        <f t="shared" si="20"/>
        <v>-0.95905918162847159</v>
      </c>
    </row>
    <row r="60" spans="1:26" s="24" customFormat="1" hidden="1" outlineLevel="1" x14ac:dyDescent="0.25">
      <c r="A60" s="44"/>
      <c r="B60" s="11" t="str">
        <f>CONCATENATE("          ", "5041", " - ", "PURCHASES @ COST-LOGO GIFTS")</f>
        <v xml:space="preserve">          5041 - PURCHASES @ COST-LOGO GIFTS</v>
      </c>
      <c r="C60" s="11"/>
      <c r="D60" s="2">
        <v>868</v>
      </c>
      <c r="E60" s="2"/>
      <c r="F60" s="19">
        <f t="shared" si="13"/>
        <v>7.6295511854986503E-3</v>
      </c>
      <c r="G60" s="2"/>
      <c r="H60" s="2">
        <v>14167.32</v>
      </c>
      <c r="I60" s="2"/>
      <c r="J60" s="19">
        <f t="shared" si="14"/>
        <v>4.6475890294838174E-2</v>
      </c>
      <c r="K60" s="2"/>
      <c r="L60" s="2">
        <f t="shared" si="15"/>
        <v>-13299.32</v>
      </c>
      <c r="M60" s="2"/>
      <c r="N60" s="19">
        <f t="shared" si="16"/>
        <v>-0.93873223728976263</v>
      </c>
      <c r="O60" s="11"/>
      <c r="P60" s="2">
        <v>1997.54</v>
      </c>
      <c r="Q60" s="2"/>
      <c r="R60" s="19">
        <f t="shared" si="17"/>
        <v>3.3314136325086887E-3</v>
      </c>
      <c r="S60" s="2"/>
      <c r="T60" s="2">
        <v>42696.480000000003</v>
      </c>
      <c r="U60" s="2"/>
      <c r="V60" s="19">
        <f t="shared" si="18"/>
        <v>4.9671129076195322E-2</v>
      </c>
      <c r="W60" s="2"/>
      <c r="X60" s="2">
        <f t="shared" si="19"/>
        <v>-40698.94</v>
      </c>
      <c r="Y60" s="2"/>
      <c r="Z60" s="19">
        <f t="shared" si="20"/>
        <v>-0.95321534702626542</v>
      </c>
    </row>
    <row r="61" spans="1:26" s="24" customFormat="1" hidden="1" outlineLevel="1" x14ac:dyDescent="0.25">
      <c r="A61" s="44"/>
      <c r="B61" s="11" t="str">
        <f>CONCATENATE("          ", "5042", " - ", "PURCHASES @ COST-EVERYDAY GIFT")</f>
        <v xml:space="preserve">          5042 - PURCHASES @ COST-EVERYDAY GIFT</v>
      </c>
      <c r="C61" s="11"/>
      <c r="D61" s="2">
        <v>522</v>
      </c>
      <c r="E61" s="2"/>
      <c r="F61" s="19">
        <f t="shared" si="13"/>
        <v>4.5882784779150863E-3</v>
      </c>
      <c r="G61" s="2"/>
      <c r="H61" s="2">
        <v>11559.46</v>
      </c>
      <c r="I61" s="2"/>
      <c r="J61" s="19">
        <f t="shared" si="14"/>
        <v>3.7920806110652551E-2</v>
      </c>
      <c r="K61" s="2"/>
      <c r="L61" s="2">
        <f t="shared" si="15"/>
        <v>-11037.46</v>
      </c>
      <c r="M61" s="2"/>
      <c r="N61" s="19">
        <f t="shared" si="16"/>
        <v>-0.95484218120915687</v>
      </c>
      <c r="O61" s="11"/>
      <c r="P61" s="2">
        <v>1491.15</v>
      </c>
      <c r="Q61" s="2"/>
      <c r="R61" s="19">
        <f t="shared" si="17"/>
        <v>2.4868775784791953E-3</v>
      </c>
      <c r="S61" s="2"/>
      <c r="T61" s="2">
        <v>35291.68</v>
      </c>
      <c r="U61" s="2"/>
      <c r="V61" s="19">
        <f t="shared" si="18"/>
        <v>4.1056723940610107E-2</v>
      </c>
      <c r="W61" s="2"/>
      <c r="X61" s="2">
        <f t="shared" si="19"/>
        <v>-33800.53</v>
      </c>
      <c r="Y61" s="2"/>
      <c r="Z61" s="19">
        <f t="shared" si="20"/>
        <v>-0.9577478317835818</v>
      </c>
    </row>
    <row r="62" spans="1:26" s="24" customFormat="1" hidden="1" outlineLevel="1" x14ac:dyDescent="0.25">
      <c r="A62" s="44"/>
      <c r="B62" s="11" t="str">
        <f>CONCATENATE("          ", "5043", " - ", "PURCHASES @ COST-CARDS")</f>
        <v xml:space="preserve">          5043 - PURCHASES @ COST-CARDS</v>
      </c>
      <c r="C62" s="11"/>
      <c r="D62" s="2">
        <v>1401</v>
      </c>
      <c r="E62" s="2"/>
      <c r="F62" s="19">
        <f t="shared" si="13"/>
        <v>1.2314517524059456E-2</v>
      </c>
      <c r="G62" s="2"/>
      <c r="H62" s="2">
        <v>495.49</v>
      </c>
      <c r="I62" s="2"/>
      <c r="J62" s="19">
        <f t="shared" si="14"/>
        <v>1.6254548412959803E-3</v>
      </c>
      <c r="K62" s="2"/>
      <c r="L62" s="2">
        <f t="shared" si="15"/>
        <v>905.51</v>
      </c>
      <c r="M62" s="2"/>
      <c r="N62" s="19">
        <f t="shared" si="16"/>
        <v>1.8275040868635088</v>
      </c>
      <c r="O62" s="11"/>
      <c r="P62" s="2">
        <v>3116.25</v>
      </c>
      <c r="Q62" s="2"/>
      <c r="R62" s="19">
        <f t="shared" si="17"/>
        <v>5.1971513623282643E-3</v>
      </c>
      <c r="S62" s="2"/>
      <c r="T62" s="2">
        <v>1008.99</v>
      </c>
      <c r="U62" s="2"/>
      <c r="V62" s="19">
        <f t="shared" si="18"/>
        <v>1.1738127481841667E-3</v>
      </c>
      <c r="W62" s="2"/>
      <c r="X62" s="2">
        <f t="shared" si="19"/>
        <v>2107.2600000000002</v>
      </c>
      <c r="Y62" s="2"/>
      <c r="Z62" s="19">
        <f t="shared" si="20"/>
        <v>2.0884845241280887</v>
      </c>
    </row>
    <row r="63" spans="1:26" s="24" customFormat="1" hidden="1" outlineLevel="1" x14ac:dyDescent="0.25">
      <c r="A63" s="44"/>
      <c r="B63" s="11" t="str">
        <f>CONCATENATE("          ", "5044", " - ", "PURCHASES @ COST-ACCESSORIES")</f>
        <v xml:space="preserve">          5044 - PURCHASES @ COST-ACCESSORIES</v>
      </c>
      <c r="C63" s="11"/>
      <c r="D63" s="2"/>
      <c r="E63" s="2"/>
      <c r="F63" s="19">
        <f t="shared" si="13"/>
        <v>0</v>
      </c>
      <c r="G63" s="2"/>
      <c r="H63" s="2">
        <v>2315.5300000000002</v>
      </c>
      <c r="I63" s="2"/>
      <c r="J63" s="19">
        <f t="shared" si="14"/>
        <v>7.5960956803690924E-3</v>
      </c>
      <c r="K63" s="2"/>
      <c r="L63" s="2">
        <f t="shared" si="15"/>
        <v>-2315.5300000000002</v>
      </c>
      <c r="M63" s="2"/>
      <c r="N63" s="19">
        <f t="shared" si="16"/>
        <v>-1</v>
      </c>
      <c r="O63" s="11"/>
      <c r="P63" s="2"/>
      <c r="Q63" s="2"/>
      <c r="R63" s="19">
        <f t="shared" si="17"/>
        <v>0</v>
      </c>
      <c r="S63" s="2"/>
      <c r="T63" s="2">
        <v>20403.649999999998</v>
      </c>
      <c r="U63" s="2"/>
      <c r="V63" s="19">
        <f t="shared" si="18"/>
        <v>2.3736671800005819E-2</v>
      </c>
      <c r="W63" s="2"/>
      <c r="X63" s="2">
        <f t="shared" si="19"/>
        <v>-20403.649999999998</v>
      </c>
      <c r="Y63" s="2"/>
      <c r="Z63" s="19">
        <f t="shared" si="20"/>
        <v>-1</v>
      </c>
    </row>
    <row r="64" spans="1:26" s="24" customFormat="1" hidden="1" outlineLevel="1" x14ac:dyDescent="0.25">
      <c r="A64" s="44"/>
      <c r="B64" s="11" t="str">
        <f>CONCATENATE("          ", "5045", " - ", "PURCHASES @ COST-SPECIAL ORDER")</f>
        <v xml:space="preserve">          5045 - PURCHASES @ COST-SPECIAL ORDER</v>
      </c>
      <c r="C64" s="11"/>
      <c r="D64" s="2">
        <v>52784.12</v>
      </c>
      <c r="E64" s="2"/>
      <c r="F64" s="19">
        <f t="shared" si="13"/>
        <v>0.46396214898790672</v>
      </c>
      <c r="G64" s="2"/>
      <c r="H64" s="2">
        <v>4318.3999999999996</v>
      </c>
      <c r="I64" s="2"/>
      <c r="J64" s="19">
        <f t="shared" si="14"/>
        <v>1.4166510296176636E-2</v>
      </c>
      <c r="K64" s="2"/>
      <c r="L64" s="2">
        <f t="shared" si="15"/>
        <v>48465.72</v>
      </c>
      <c r="M64" s="2"/>
      <c r="N64" s="19">
        <f t="shared" si="16"/>
        <v>11.223073360503891</v>
      </c>
      <c r="O64" s="11"/>
      <c r="P64" s="2">
        <v>61174.290000000008</v>
      </c>
      <c r="Q64" s="2"/>
      <c r="R64" s="19">
        <f t="shared" si="17"/>
        <v>0.10202392125566447</v>
      </c>
      <c r="S64" s="2"/>
      <c r="T64" s="2">
        <v>24464.030000000002</v>
      </c>
      <c r="U64" s="2"/>
      <c r="V64" s="19">
        <f t="shared" si="18"/>
        <v>2.8460331902159488E-2</v>
      </c>
      <c r="W64" s="2"/>
      <c r="X64" s="2">
        <f t="shared" si="19"/>
        <v>36710.260000000009</v>
      </c>
      <c r="Y64" s="2"/>
      <c r="Z64" s="19">
        <f t="shared" si="20"/>
        <v>1.5005810571684226</v>
      </c>
    </row>
    <row r="65" spans="1:26" s="24" customFormat="1" hidden="1" outlineLevel="1" x14ac:dyDescent="0.25">
      <c r="A65" s="44"/>
      <c r="B65" s="11" t="str">
        <f>CONCATENATE("          ", "5083", " - ", "PURCHASES @ COST-COMPUTER EQUI")</f>
        <v xml:space="preserve">          5083 - PURCHASES @ COST-COMPUTER EQUI</v>
      </c>
      <c r="C65" s="11"/>
      <c r="D65" s="2"/>
      <c r="E65" s="2"/>
      <c r="F65" s="19">
        <f t="shared" si="13"/>
        <v>0</v>
      </c>
      <c r="G65" s="2"/>
      <c r="H65" s="2"/>
      <c r="I65" s="2"/>
      <c r="J65" s="19">
        <f t="shared" si="14"/>
        <v>0</v>
      </c>
      <c r="K65" s="2"/>
      <c r="L65" s="2">
        <f t="shared" si="15"/>
        <v>0</v>
      </c>
      <c r="M65" s="2"/>
      <c r="N65" s="19">
        <f t="shared" si="16"/>
        <v>0</v>
      </c>
      <c r="O65" s="11"/>
      <c r="P65" s="2"/>
      <c r="Q65" s="2"/>
      <c r="R65" s="19">
        <f t="shared" si="17"/>
        <v>0</v>
      </c>
      <c r="S65" s="2"/>
      <c r="T65" s="2">
        <v>39.950000000000003</v>
      </c>
      <c r="U65" s="2"/>
      <c r="V65" s="19">
        <f t="shared" si="18"/>
        <v>4.6476000049512349E-5</v>
      </c>
      <c r="W65" s="2"/>
      <c r="X65" s="2">
        <f t="shared" si="19"/>
        <v>-39.950000000000003</v>
      </c>
      <c r="Y65" s="2"/>
      <c r="Z65" s="19">
        <f t="shared" si="20"/>
        <v>-1</v>
      </c>
    </row>
    <row r="66" spans="1:26" s="24" customFormat="1" hidden="1" outlineLevel="1" x14ac:dyDescent="0.25">
      <c r="A66" s="44"/>
      <c r="B66" s="11" t="str">
        <f>CONCATENATE("          ", "5092", " - ", "PURCHASES @ COST-GRAD MERCH")</f>
        <v xml:space="preserve">          5092 - PURCHASES @ COST-GRAD MERCH</v>
      </c>
      <c r="C66" s="11"/>
      <c r="D66" s="2"/>
      <c r="E66" s="2"/>
      <c r="F66" s="19">
        <f t="shared" si="13"/>
        <v>0</v>
      </c>
      <c r="G66" s="2"/>
      <c r="H66" s="2">
        <v>-12.95</v>
      </c>
      <c r="I66" s="2"/>
      <c r="J66" s="19">
        <f t="shared" si="14"/>
        <v>-4.2482472289618246E-5</v>
      </c>
      <c r="K66" s="2"/>
      <c r="L66" s="2">
        <f t="shared" si="15"/>
        <v>12.95</v>
      </c>
      <c r="M66" s="2"/>
      <c r="N66" s="19">
        <f t="shared" si="16"/>
        <v>-1</v>
      </c>
      <c r="O66" s="11"/>
      <c r="P66" s="2"/>
      <c r="Q66" s="2"/>
      <c r="R66" s="19">
        <f t="shared" si="17"/>
        <v>0</v>
      </c>
      <c r="S66" s="2"/>
      <c r="T66" s="2">
        <v>-12.95</v>
      </c>
      <c r="U66" s="2"/>
      <c r="V66" s="19">
        <f t="shared" si="18"/>
        <v>-1.5065436812044678E-5</v>
      </c>
      <c r="W66" s="2"/>
      <c r="X66" s="2">
        <f t="shared" si="19"/>
        <v>12.95</v>
      </c>
      <c r="Y66" s="2"/>
      <c r="Z66" s="19">
        <f t="shared" si="20"/>
        <v>-1</v>
      </c>
    </row>
    <row r="67" spans="1:26" s="24" customFormat="1" hidden="1" outlineLevel="1" x14ac:dyDescent="0.25">
      <c r="A67" s="44"/>
      <c r="B67" s="11" t="str">
        <f>CONCATENATE("          ", "5095", " - ", "PURCHASES @ COST-CUSTOMER SERV")</f>
        <v xml:space="preserve">          5095 - PURCHASES @ COST-CUSTOMER SERV</v>
      </c>
      <c r="C67" s="11"/>
      <c r="D67" s="2"/>
      <c r="E67" s="2"/>
      <c r="F67" s="19">
        <f t="shared" si="13"/>
        <v>0</v>
      </c>
      <c r="G67" s="2"/>
      <c r="H67" s="2"/>
      <c r="I67" s="2"/>
      <c r="J67" s="19">
        <f t="shared" si="14"/>
        <v>0</v>
      </c>
      <c r="K67" s="2"/>
      <c r="L67" s="2">
        <f t="shared" si="15"/>
        <v>0</v>
      </c>
      <c r="M67" s="2"/>
      <c r="N67" s="19">
        <f t="shared" si="16"/>
        <v>0</v>
      </c>
      <c r="O67" s="11"/>
      <c r="P67" s="2"/>
      <c r="Q67" s="2"/>
      <c r="R67" s="19">
        <f t="shared" si="17"/>
        <v>0</v>
      </c>
      <c r="S67" s="2"/>
      <c r="T67" s="2">
        <v>-11.85</v>
      </c>
      <c r="U67" s="2"/>
      <c r="V67" s="19">
        <f t="shared" si="18"/>
        <v>-1.3785747198666365E-5</v>
      </c>
      <c r="W67" s="2"/>
      <c r="X67" s="2">
        <f t="shared" si="19"/>
        <v>11.85</v>
      </c>
      <c r="Y67" s="2"/>
      <c r="Z67" s="19">
        <f t="shared" si="20"/>
        <v>-1</v>
      </c>
    </row>
    <row r="68" spans="1:26" s="24" customFormat="1" hidden="1" outlineLevel="1" x14ac:dyDescent="0.25">
      <c r="A68" s="44"/>
      <c r="B68" s="11" t="str">
        <f>CONCATENATE("          ", "5200", " - ", "PURCHASES OFFSET")</f>
        <v xml:space="preserve">          5200 - PURCHASES OFFSET</v>
      </c>
      <c r="C68" s="11"/>
      <c r="D68" s="2">
        <v>-61907.239999999991</v>
      </c>
      <c r="E68" s="2"/>
      <c r="F68" s="19">
        <f t="shared" si="13"/>
        <v>-0.54415259946192329</v>
      </c>
      <c r="G68" s="2"/>
      <c r="H68" s="2">
        <v>-185971</v>
      </c>
      <c r="I68" s="2"/>
      <c r="J68" s="19">
        <f t="shared" si="14"/>
        <v>-0.61007782657703435</v>
      </c>
      <c r="K68" s="2"/>
      <c r="L68" s="2">
        <f t="shared" si="15"/>
        <v>124063.76000000001</v>
      </c>
      <c r="M68" s="2"/>
      <c r="N68" s="19">
        <f t="shared" si="16"/>
        <v>-0.66711347468153637</v>
      </c>
      <c r="O68" s="11"/>
      <c r="P68" s="2">
        <v>-93556.88</v>
      </c>
      <c r="Q68" s="2"/>
      <c r="R68" s="19">
        <f t="shared" si="17"/>
        <v>-0.15603024993090478</v>
      </c>
      <c r="S68" s="2"/>
      <c r="T68" s="2">
        <v>-466125</v>
      </c>
      <c r="U68" s="2"/>
      <c r="V68" s="19">
        <f t="shared" si="18"/>
        <v>-0.54226847366905984</v>
      </c>
      <c r="W68" s="2"/>
      <c r="X68" s="2">
        <f t="shared" si="19"/>
        <v>372568.12</v>
      </c>
      <c r="Y68" s="2"/>
      <c r="Z68" s="19">
        <f t="shared" si="20"/>
        <v>-0.79928800214534723</v>
      </c>
    </row>
    <row r="69" spans="1:26" s="24" customFormat="1" hidden="1" outlineLevel="1" x14ac:dyDescent="0.25">
      <c r="A69" s="44"/>
      <c r="B69" s="11" t="str">
        <f>CONCATENATE("          ", "5300", " - ", "COG$ OFFSET")</f>
        <v xml:space="preserve">          5300 - COG$ OFFSET</v>
      </c>
      <c r="C69" s="11"/>
      <c r="D69" s="2">
        <v>68768</v>
      </c>
      <c r="E69" s="2"/>
      <c r="F69" s="19">
        <f t="shared" si="13"/>
        <v>0.60445734553498986</v>
      </c>
      <c r="G69" s="2"/>
      <c r="H69" s="2">
        <v>137402</v>
      </c>
      <c r="I69" s="2"/>
      <c r="J69" s="19">
        <f t="shared" si="14"/>
        <v>0.45074723224232638</v>
      </c>
      <c r="K69" s="2"/>
      <c r="L69" s="2">
        <f t="shared" si="15"/>
        <v>-68634</v>
      </c>
      <c r="M69" s="2"/>
      <c r="N69" s="19">
        <f t="shared" si="16"/>
        <v>-0.49951237973246387</v>
      </c>
      <c r="O69" s="11"/>
      <c r="P69" s="2">
        <v>358364</v>
      </c>
      <c r="Q69" s="2"/>
      <c r="R69" s="19">
        <f t="shared" si="17"/>
        <v>0.59766448481649614</v>
      </c>
      <c r="S69" s="2"/>
      <c r="T69" s="2">
        <v>390020</v>
      </c>
      <c r="U69" s="2"/>
      <c r="V69" s="19">
        <f t="shared" si="18"/>
        <v>0.45373140273619034</v>
      </c>
      <c r="W69" s="2"/>
      <c r="X69" s="2">
        <f t="shared" si="19"/>
        <v>-31656</v>
      </c>
      <c r="Y69" s="2"/>
      <c r="Z69" s="19">
        <f t="shared" si="20"/>
        <v>-8.1165068458027789E-2</v>
      </c>
    </row>
    <row r="70" spans="1:26" s="24" customFormat="1" hidden="1" outlineLevel="1" x14ac:dyDescent="0.25">
      <c r="A70" s="44"/>
      <c r="B70" s="11" t="str">
        <f>CONCATENATE("          ", "5540", " - ", "FREIGHT-IN-LOGO CLOTHING")</f>
        <v xml:space="preserve">          5540 - FREIGHT-IN-LOGO CLOTHING</v>
      </c>
      <c r="C70" s="11"/>
      <c r="D70" s="2">
        <v>234.23</v>
      </c>
      <c r="E70" s="2"/>
      <c r="F70" s="19">
        <f t="shared" si="13"/>
        <v>2.0588361453679131E-3</v>
      </c>
      <c r="G70" s="2"/>
      <c r="H70" s="2">
        <v>2672.92</v>
      </c>
      <c r="I70" s="2"/>
      <c r="J70" s="19">
        <f t="shared" si="14"/>
        <v>8.768513500568835E-3</v>
      </c>
      <c r="K70" s="2"/>
      <c r="L70" s="2">
        <f t="shared" si="15"/>
        <v>-2438.69</v>
      </c>
      <c r="M70" s="2"/>
      <c r="N70" s="19">
        <f t="shared" si="16"/>
        <v>-0.91236924412253262</v>
      </c>
      <c r="O70" s="11"/>
      <c r="P70" s="2">
        <v>2165.7600000000002</v>
      </c>
      <c r="Q70" s="2"/>
      <c r="R70" s="19">
        <f t="shared" si="17"/>
        <v>3.6119639099802849E-3</v>
      </c>
      <c r="S70" s="2"/>
      <c r="T70" s="2">
        <v>5004.8599999999997</v>
      </c>
      <c r="U70" s="2"/>
      <c r="V70" s="19">
        <f t="shared" si="18"/>
        <v>5.8224248712841634E-3</v>
      </c>
      <c r="W70" s="2"/>
      <c r="X70" s="2">
        <f t="shared" si="19"/>
        <v>-2839.0999999999995</v>
      </c>
      <c r="Y70" s="2"/>
      <c r="Z70" s="19">
        <f t="shared" si="20"/>
        <v>-0.56726861490631098</v>
      </c>
    </row>
    <row r="71" spans="1:26" s="24" customFormat="1" hidden="1" outlineLevel="1" x14ac:dyDescent="0.25">
      <c r="A71" s="44"/>
      <c r="B71" s="11" t="str">
        <f>CONCATENATE("          ", "5541", " - ", "FREIGHT-IN-LOGO GIFTS")</f>
        <v xml:space="preserve">          5541 - FREIGHT-IN-LOGO GIFTS</v>
      </c>
      <c r="C71" s="11"/>
      <c r="D71" s="2">
        <v>154.41</v>
      </c>
      <c r="E71" s="2"/>
      <c r="F71" s="19">
        <f t="shared" si="13"/>
        <v>1.3572338693005144E-3</v>
      </c>
      <c r="G71" s="2"/>
      <c r="H71" s="2">
        <v>97.6</v>
      </c>
      <c r="I71" s="2"/>
      <c r="J71" s="19">
        <f t="shared" si="14"/>
        <v>3.201767795727213E-4</v>
      </c>
      <c r="K71" s="2"/>
      <c r="L71" s="2">
        <f t="shared" si="15"/>
        <v>56.81</v>
      </c>
      <c r="M71" s="2"/>
      <c r="N71" s="19">
        <f t="shared" si="16"/>
        <v>0.58206967213114758</v>
      </c>
      <c r="O71" s="11"/>
      <c r="P71" s="2">
        <v>361.11</v>
      </c>
      <c r="Q71" s="2"/>
      <c r="R71" s="19">
        <f t="shared" si="17"/>
        <v>6.0224414872053257E-4</v>
      </c>
      <c r="S71" s="2"/>
      <c r="T71" s="2">
        <v>818.01</v>
      </c>
      <c r="U71" s="2"/>
      <c r="V71" s="19">
        <f t="shared" si="18"/>
        <v>9.516353642178121E-4</v>
      </c>
      <c r="W71" s="2"/>
      <c r="X71" s="2">
        <f t="shared" si="19"/>
        <v>-456.9</v>
      </c>
      <c r="Y71" s="2"/>
      <c r="Z71" s="19">
        <f t="shared" si="20"/>
        <v>-0.55855062896541607</v>
      </c>
    </row>
    <row r="72" spans="1:26" s="24" customFormat="1" hidden="1" outlineLevel="1" x14ac:dyDescent="0.25">
      <c r="A72" s="44"/>
      <c r="B72" s="11" t="str">
        <f>CONCATENATE("          ", "5542", " - ", "FREIGHT-IN-EVERYDAY GIFTS")</f>
        <v xml:space="preserve">          5542 - FREIGHT-IN-EVERYDAY GIFTS</v>
      </c>
      <c r="C72" s="11"/>
      <c r="D72" s="2">
        <v>65.44</v>
      </c>
      <c r="E72" s="2"/>
      <c r="F72" s="19">
        <f t="shared" si="13"/>
        <v>5.7520487278690281E-4</v>
      </c>
      <c r="G72" s="2"/>
      <c r="H72" s="2">
        <v>58.91</v>
      </c>
      <c r="I72" s="2"/>
      <c r="J72" s="19">
        <f t="shared" si="14"/>
        <v>1.9325424267037922E-4</v>
      </c>
      <c r="K72" s="2"/>
      <c r="L72" s="2">
        <f t="shared" si="15"/>
        <v>6.5300000000000011</v>
      </c>
      <c r="M72" s="2"/>
      <c r="N72" s="19">
        <f t="shared" si="16"/>
        <v>0.11084705482940081</v>
      </c>
      <c r="O72" s="11"/>
      <c r="P72" s="2">
        <v>71.38</v>
      </c>
      <c r="Q72" s="2"/>
      <c r="R72" s="19">
        <f t="shared" si="17"/>
        <v>1.1904457737440562E-4</v>
      </c>
      <c r="S72" s="2"/>
      <c r="T72" s="2">
        <v>171.68</v>
      </c>
      <c r="U72" s="2"/>
      <c r="V72" s="19">
        <f t="shared" si="18"/>
        <v>1.9972464802253516E-4</v>
      </c>
      <c r="W72" s="2"/>
      <c r="X72" s="2">
        <f t="shared" si="19"/>
        <v>-100.30000000000001</v>
      </c>
      <c r="Y72" s="2"/>
      <c r="Z72" s="19">
        <f t="shared" si="20"/>
        <v>-0.58422646784715759</v>
      </c>
    </row>
    <row r="73" spans="1:26" s="24" customFormat="1" hidden="1" outlineLevel="1" x14ac:dyDescent="0.25">
      <c r="A73" s="44"/>
      <c r="B73" s="11" t="str">
        <f>CONCATENATE("          ", "5543", " - ", "FREIGHT-IN-CARDS")</f>
        <v xml:space="preserve">          5543 - FREIGHT-IN-CARDS</v>
      </c>
      <c r="C73" s="11"/>
      <c r="D73" s="2">
        <v>81.77</v>
      </c>
      <c r="E73" s="2"/>
      <c r="F73" s="19">
        <f t="shared" si="13"/>
        <v>7.1874239681823102E-4</v>
      </c>
      <c r="G73" s="2"/>
      <c r="H73" s="2"/>
      <c r="I73" s="2"/>
      <c r="J73" s="19">
        <f t="shared" si="14"/>
        <v>0</v>
      </c>
      <c r="K73" s="2"/>
      <c r="L73" s="2">
        <f t="shared" si="15"/>
        <v>81.77</v>
      </c>
      <c r="M73" s="2"/>
      <c r="N73" s="19">
        <f t="shared" si="16"/>
        <v>0</v>
      </c>
      <c r="O73" s="11"/>
      <c r="P73" s="2">
        <v>81.77</v>
      </c>
      <c r="Q73" s="2"/>
      <c r="R73" s="19">
        <f t="shared" si="17"/>
        <v>1.3637258464423014E-4</v>
      </c>
      <c r="S73" s="2"/>
      <c r="T73" s="2">
        <v>4.58</v>
      </c>
      <c r="U73" s="2"/>
      <c r="V73" s="19">
        <f t="shared" si="18"/>
        <v>5.3281622084297009E-6</v>
      </c>
      <c r="W73" s="2"/>
      <c r="X73" s="2">
        <f t="shared" si="19"/>
        <v>77.19</v>
      </c>
      <c r="Y73" s="2"/>
      <c r="Z73" s="19">
        <f t="shared" si="20"/>
        <v>16.853711790393014</v>
      </c>
    </row>
    <row r="74" spans="1:26" s="24" customFormat="1" hidden="1" outlineLevel="1" x14ac:dyDescent="0.25">
      <c r="A74" s="44"/>
      <c r="B74" s="11" t="str">
        <f>CONCATENATE("          ", "5544", " - ", "FREIGHT-IN-ACCESSORIES")</f>
        <v xml:space="preserve">          5544 - FREIGHT-IN-ACCESSORIES</v>
      </c>
      <c r="C74" s="11"/>
      <c r="D74" s="2"/>
      <c r="E74" s="2"/>
      <c r="F74" s="19">
        <f t="shared" si="13"/>
        <v>0</v>
      </c>
      <c r="G74" s="2"/>
      <c r="H74" s="2">
        <v>34.18</v>
      </c>
      <c r="I74" s="2"/>
      <c r="J74" s="19">
        <f t="shared" si="14"/>
        <v>1.1212748284626654E-4</v>
      </c>
      <c r="K74" s="2"/>
      <c r="L74" s="2">
        <f t="shared" si="15"/>
        <v>-34.18</v>
      </c>
      <c r="M74" s="2"/>
      <c r="N74" s="19">
        <f t="shared" si="16"/>
        <v>-1</v>
      </c>
      <c r="O74" s="11"/>
      <c r="P74" s="2"/>
      <c r="Q74" s="2"/>
      <c r="R74" s="19">
        <f t="shared" si="17"/>
        <v>0</v>
      </c>
      <c r="S74" s="2"/>
      <c r="T74" s="2">
        <v>135.84</v>
      </c>
      <c r="U74" s="2"/>
      <c r="V74" s="19">
        <f t="shared" si="18"/>
        <v>1.5803003371028178E-4</v>
      </c>
      <c r="W74" s="2"/>
      <c r="X74" s="2">
        <f t="shared" si="19"/>
        <v>-135.84</v>
      </c>
      <c r="Y74" s="2"/>
      <c r="Z74" s="19">
        <f t="shared" si="20"/>
        <v>-1</v>
      </c>
    </row>
    <row r="75" spans="1:26" s="24" customFormat="1" hidden="1" outlineLevel="1" x14ac:dyDescent="0.25">
      <c r="A75" s="44"/>
      <c r="B75" s="11" t="str">
        <f>CONCATENATE("          ", "5545", " - ", "FREIGHT-IN-SPECIAL ORDERS")</f>
        <v xml:space="preserve">          5545 - FREIGHT-IN-SPECIAL ORDERS</v>
      </c>
      <c r="C75" s="11"/>
      <c r="D75" s="2">
        <v>214.61</v>
      </c>
      <c r="E75" s="2"/>
      <c r="F75" s="19">
        <f t="shared" si="13"/>
        <v>1.8863801611980016E-3</v>
      </c>
      <c r="G75" s="2"/>
      <c r="H75" s="2">
        <v>26.56</v>
      </c>
      <c r="I75" s="2"/>
      <c r="J75" s="19">
        <f t="shared" si="14"/>
        <v>8.7130074441101206E-5</v>
      </c>
      <c r="K75" s="2"/>
      <c r="L75" s="2">
        <f t="shared" si="15"/>
        <v>188.05</v>
      </c>
      <c r="M75" s="2"/>
      <c r="N75" s="19">
        <f t="shared" si="16"/>
        <v>7.0801957831325311</v>
      </c>
      <c r="O75" s="11"/>
      <c r="P75" s="2">
        <v>660.61</v>
      </c>
      <c r="Q75" s="2"/>
      <c r="R75" s="19">
        <f t="shared" si="17"/>
        <v>1.1017377172780345E-3</v>
      </c>
      <c r="S75" s="2"/>
      <c r="T75" s="2">
        <v>262.51</v>
      </c>
      <c r="U75" s="2"/>
      <c r="V75" s="19">
        <f t="shared" si="18"/>
        <v>3.0539210946176434E-4</v>
      </c>
      <c r="W75" s="2"/>
      <c r="X75" s="2">
        <f t="shared" si="19"/>
        <v>398.1</v>
      </c>
      <c r="Y75" s="2"/>
      <c r="Z75" s="19">
        <f t="shared" si="20"/>
        <v>1.516513656622605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5" t="s">
        <v>6</v>
      </c>
      <c r="C77" s="25"/>
      <c r="D77" s="22">
        <f>D12-D53</f>
        <v>45083.559999999969</v>
      </c>
      <c r="E77" s="13"/>
      <c r="F77" s="21">
        <f>IF(D$12=0,0,D77/D$12)</f>
        <v>0.39627572424481483</v>
      </c>
      <c r="G77" s="13"/>
      <c r="H77" s="22">
        <f>H12-H53</f>
        <v>167430.66000000015</v>
      </c>
      <c r="I77" s="13"/>
      <c r="J77" s="21">
        <f>IF(H$12=0,0,H77/H$12)</f>
        <v>0.54925624508745174</v>
      </c>
      <c r="K77" s="15"/>
      <c r="L77" s="22">
        <f>+D77-H77</f>
        <v>-122347.10000000018</v>
      </c>
      <c r="M77" s="15"/>
      <c r="N77" s="21">
        <f>IF(H77=0,0,L77/H77)</f>
        <v>-0.73073294938931777</v>
      </c>
      <c r="O77" s="26"/>
      <c r="P77" s="22">
        <f>P12-P53</f>
        <v>240326.78000000003</v>
      </c>
      <c r="Q77" s="13"/>
      <c r="R77" s="21">
        <f>IF(P$12=0,0,P77/P$12)</f>
        <v>0.40080694812064671</v>
      </c>
      <c r="S77" s="13"/>
      <c r="T77" s="22">
        <f>T12-T53</f>
        <v>469565.83000000007</v>
      </c>
      <c r="U77" s="13"/>
      <c r="V77" s="21">
        <f>IF(T$12=0,0,T77/T$12)</f>
        <v>0.54627137768033318</v>
      </c>
      <c r="W77" s="15"/>
      <c r="X77" s="22">
        <f>+P77-T77</f>
        <v>-229239.05000000005</v>
      </c>
      <c r="Y77" s="15"/>
      <c r="Z77" s="21">
        <f>IF(T77=0,0,X77/T77)</f>
        <v>-0.48819363623626533</v>
      </c>
    </row>
    <row r="78" spans="1:26" x14ac:dyDescent="0.25">
      <c r="A78" s="9"/>
      <c r="B78" s="10"/>
      <c r="C78" s="9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25">
      <c r="A79" s="10"/>
      <c r="B79" s="26" t="s">
        <v>9</v>
      </c>
      <c r="C79" s="10"/>
      <c r="D79" s="20">
        <f>SUM(OSRRefD22x_0)</f>
        <v>68755.759999999995</v>
      </c>
      <c r="E79" s="20"/>
      <c r="F79" s="36">
        <f t="shared" ref="F79:F88" si="21">IF(D$12=0,0,D79/D$12)</f>
        <v>0.60434975831550763</v>
      </c>
      <c r="G79" s="20"/>
      <c r="H79" s="20">
        <f>SUM(OSRRefH22x_0)</f>
        <v>73781.83</v>
      </c>
      <c r="I79" s="20"/>
      <c r="J79" s="36">
        <f t="shared" ref="J79:J88" si="22">IF(H$12=0,0,H79/H$12)</f>
        <v>0.24204127787276636</v>
      </c>
      <c r="K79" s="4"/>
      <c r="L79" s="20">
        <f t="shared" ref="L79:L88" si="23">+D79-H79</f>
        <v>-5026.070000000007</v>
      </c>
      <c r="M79" s="4"/>
      <c r="N79" s="36">
        <f t="shared" ref="N79:N88" si="24">IF(H79=0,0,L79/H79)</f>
        <v>-6.81207012620859E-2</v>
      </c>
      <c r="O79" s="10"/>
      <c r="P79" s="20">
        <f>SUM(OSRRefP22x_0)</f>
        <v>210001.81000000003</v>
      </c>
      <c r="Q79" s="20"/>
      <c r="R79" s="36">
        <f t="shared" ref="R79:R88" si="25">IF(P$12=0,0,P79/P$12)</f>
        <v>0.35023223198809517</v>
      </c>
      <c r="S79" s="20"/>
      <c r="T79" s="20">
        <f>SUM(OSRRefT22x_0)</f>
        <v>245620.31999999998</v>
      </c>
      <c r="U79" s="20"/>
      <c r="V79" s="36">
        <f t="shared" ref="V79:V88" si="26">IF(T$12=0,0,T79/T$12)</f>
        <v>0.28574342939877939</v>
      </c>
      <c r="W79" s="4"/>
      <c r="X79" s="20">
        <f t="shared" ref="X79:X88" si="27">+P79-T79</f>
        <v>-35618.509999999951</v>
      </c>
      <c r="Y79" s="4"/>
      <c r="Z79" s="36">
        <f t="shared" ref="Z79:Z88" si="28">IF(T79=0,0,X79/T79)</f>
        <v>-0.14501450857160333</v>
      </c>
    </row>
    <row r="80" spans="1:26" s="27" customFormat="1" outlineLevel="1" collapsed="1" x14ac:dyDescent="0.25">
      <c r="A80" s="29"/>
      <c r="B80" s="14" t="str">
        <f>CONCATENATE("     ","*Benefits                                         ")</f>
        <v xml:space="preserve">     *Benefits                                         </v>
      </c>
      <c r="C80" s="14"/>
      <c r="D80" s="1">
        <f>SUM(OSRRefD22_0x_0)</f>
        <v>19144.490000000005</v>
      </c>
      <c r="E80" s="1"/>
      <c r="F80" s="5">
        <f t="shared" si="21"/>
        <v>0.1682763437503077</v>
      </c>
      <c r="G80" s="1"/>
      <c r="H80" s="1">
        <f>SUM(OSRRefH22_0x_0)</f>
        <v>7998.0699999999988</v>
      </c>
      <c r="I80" s="1"/>
      <c r="J80" s="5">
        <f t="shared" si="22"/>
        <v>2.623766696103683E-2</v>
      </c>
      <c r="K80" s="1"/>
      <c r="L80" s="1">
        <f t="shared" si="23"/>
        <v>11146.420000000006</v>
      </c>
      <c r="M80" s="1"/>
      <c r="N80" s="5">
        <f t="shared" si="24"/>
        <v>1.3936387153400767</v>
      </c>
      <c r="O80" s="14"/>
      <c r="P80" s="1">
        <f>SUM(OSRRefP22_0x_0)</f>
        <v>48209.210000000006</v>
      </c>
      <c r="Q80" s="1"/>
      <c r="R80" s="5">
        <f t="shared" si="25"/>
        <v>8.0401303306303865E-2</v>
      </c>
      <c r="S80" s="1"/>
      <c r="T80" s="1">
        <f>SUM(OSRRefT22_0x_0)</f>
        <v>27255.350000000002</v>
      </c>
      <c r="U80" s="1"/>
      <c r="V80" s="5">
        <f t="shared" si="26"/>
        <v>3.1707625730900538E-2</v>
      </c>
      <c r="W80" s="1"/>
      <c r="X80" s="1">
        <f t="shared" si="27"/>
        <v>20953.860000000004</v>
      </c>
      <c r="Y80" s="1"/>
      <c r="Z80" s="5">
        <f t="shared" si="28"/>
        <v>0.76879805249244648</v>
      </c>
    </row>
    <row r="81" spans="1:26" s="24" customFormat="1" hidden="1" outlineLevel="2" x14ac:dyDescent="0.25">
      <c r="A81" s="28"/>
      <c r="B81" s="11" t="str">
        <f>CONCATENATE("          ", "6111", " - ", "F.I.C.A.")</f>
        <v xml:space="preserve">          6111 - F.I.C.A.</v>
      </c>
      <c r="C81" s="11"/>
      <c r="D81" s="7">
        <v>5873.67</v>
      </c>
      <c r="E81" s="2"/>
      <c r="F81" s="6">
        <f t="shared" si="21"/>
        <v>5.1628416948995226E-2</v>
      </c>
      <c r="G81" s="2"/>
      <c r="H81" s="7">
        <v>1223.55</v>
      </c>
      <c r="I81" s="2"/>
      <c r="J81" s="6">
        <f t="shared" si="22"/>
        <v>4.0138555189160154E-3</v>
      </c>
      <c r="K81" s="2"/>
      <c r="L81" s="7">
        <f t="shared" si="23"/>
        <v>4650.12</v>
      </c>
      <c r="M81" s="2"/>
      <c r="N81" s="6">
        <f t="shared" si="24"/>
        <v>3.8005148951820522</v>
      </c>
      <c r="O81" s="11"/>
      <c r="P81" s="7">
        <v>10828.47</v>
      </c>
      <c r="Q81" s="2"/>
      <c r="R81" s="6">
        <f t="shared" si="25"/>
        <v>1.8059269189709022E-2</v>
      </c>
      <c r="S81" s="2"/>
      <c r="T81" s="7">
        <v>6268.93</v>
      </c>
      <c r="U81" s="2"/>
      <c r="V81" s="6">
        <f t="shared" si="26"/>
        <v>7.2929860072688223E-3</v>
      </c>
      <c r="W81" s="2"/>
      <c r="X81" s="7">
        <f t="shared" si="27"/>
        <v>4559.5399999999991</v>
      </c>
      <c r="Y81" s="2"/>
      <c r="Z81" s="6">
        <f t="shared" si="28"/>
        <v>0.7273234826357925</v>
      </c>
    </row>
    <row r="82" spans="1:26" s="24" customFormat="1" hidden="1" outlineLevel="2" x14ac:dyDescent="0.25">
      <c r="A82" s="28"/>
      <c r="B82" s="11" t="str">
        <f>CONCATENATE("          ", "6112", " - ", "COMPENSATION INSURANCE")</f>
        <v xml:space="preserve">          6112 - COMPENSATION INSURANCE</v>
      </c>
      <c r="C82" s="11"/>
      <c r="D82" s="7">
        <v>2711.85</v>
      </c>
      <c r="E82" s="2"/>
      <c r="F82" s="6">
        <f t="shared" si="21"/>
        <v>2.3836634081099671E-2</v>
      </c>
      <c r="G82" s="2"/>
      <c r="H82" s="7">
        <v>672.19</v>
      </c>
      <c r="I82" s="2"/>
      <c r="J82" s="6">
        <f t="shared" si="22"/>
        <v>2.2051191543133969E-3</v>
      </c>
      <c r="K82" s="2"/>
      <c r="L82" s="7">
        <f t="shared" si="23"/>
        <v>2039.6599999999999</v>
      </c>
      <c r="M82" s="2"/>
      <c r="N82" s="6">
        <f t="shared" si="24"/>
        <v>3.0343504068790068</v>
      </c>
      <c r="O82" s="11"/>
      <c r="P82" s="7">
        <v>4286.2299999999996</v>
      </c>
      <c r="Q82" s="2"/>
      <c r="R82" s="6">
        <f t="shared" si="25"/>
        <v>7.1483950529489856E-3</v>
      </c>
      <c r="S82" s="2"/>
      <c r="T82" s="7">
        <v>1947.66</v>
      </c>
      <c r="U82" s="2"/>
      <c r="V82" s="6">
        <f t="shared" si="26"/>
        <v>2.2658184294476399E-3</v>
      </c>
      <c r="W82" s="2"/>
      <c r="X82" s="7">
        <f t="shared" si="27"/>
        <v>2338.5699999999997</v>
      </c>
      <c r="Y82" s="2"/>
      <c r="Z82" s="6">
        <f t="shared" si="28"/>
        <v>1.2007075156854889</v>
      </c>
    </row>
    <row r="83" spans="1:26" s="24" customFormat="1" hidden="1" outlineLevel="2" x14ac:dyDescent="0.25">
      <c r="A83" s="28"/>
      <c r="B83" s="11" t="str">
        <f>CONCATENATE("          ", "6113", " - ", "GROUP INSURANCE")</f>
        <v xml:space="preserve">          6113 - GROUP INSURANCE</v>
      </c>
      <c r="C83" s="11"/>
      <c r="D83" s="7">
        <v>5541.11</v>
      </c>
      <c r="E83" s="2"/>
      <c r="F83" s="6">
        <f t="shared" si="21"/>
        <v>4.8705279227509703E-2</v>
      </c>
      <c r="G83" s="2"/>
      <c r="H83" s="7">
        <v>3252.74</v>
      </c>
      <c r="I83" s="2"/>
      <c r="J83" s="6">
        <f t="shared" si="22"/>
        <v>1.0670612889214892E-2</v>
      </c>
      <c r="K83" s="2"/>
      <c r="L83" s="7">
        <f t="shared" si="23"/>
        <v>2288.37</v>
      </c>
      <c r="M83" s="2"/>
      <c r="N83" s="6">
        <f t="shared" si="24"/>
        <v>0.70352072406647936</v>
      </c>
      <c r="O83" s="11"/>
      <c r="P83" s="7">
        <v>16757.04</v>
      </c>
      <c r="Q83" s="2"/>
      <c r="R83" s="6">
        <f t="shared" si="25"/>
        <v>2.7946690177164613E-2</v>
      </c>
      <c r="S83" s="2"/>
      <c r="T83" s="7">
        <v>9290.57</v>
      </c>
      <c r="U83" s="2"/>
      <c r="V83" s="6">
        <f t="shared" si="26"/>
        <v>1.0808223573967407E-2</v>
      </c>
      <c r="W83" s="2"/>
      <c r="X83" s="7">
        <f t="shared" si="27"/>
        <v>7466.4700000000012</v>
      </c>
      <c r="Y83" s="2"/>
      <c r="Z83" s="6">
        <f t="shared" si="28"/>
        <v>0.80366113166361175</v>
      </c>
    </row>
    <row r="84" spans="1:26" s="24" customFormat="1" hidden="1" outlineLevel="2" x14ac:dyDescent="0.25">
      <c r="A84" s="28"/>
      <c r="B84" s="11" t="str">
        <f>CONCATENATE("          ", "6114", " - ", "STATE UNEMPLOYMENT INSURANCE")</f>
        <v xml:space="preserve">          6114 - STATE UNEMPLOYMENT INSURANCE</v>
      </c>
      <c r="C84" s="11"/>
      <c r="D84" s="7">
        <v>227.12</v>
      </c>
      <c r="E84" s="2"/>
      <c r="F84" s="6">
        <f t="shared" si="21"/>
        <v>1.996340628168725E-3</v>
      </c>
      <c r="G84" s="2"/>
      <c r="H84" s="7">
        <v>91.98</v>
      </c>
      <c r="I84" s="2"/>
      <c r="J84" s="6">
        <f t="shared" si="22"/>
        <v>3.0174037074896418E-4</v>
      </c>
      <c r="K84" s="2"/>
      <c r="L84" s="7">
        <f t="shared" si="23"/>
        <v>135.13999999999999</v>
      </c>
      <c r="M84" s="2"/>
      <c r="N84" s="6">
        <f t="shared" si="24"/>
        <v>1.4692324418351814</v>
      </c>
      <c r="O84" s="11"/>
      <c r="P84" s="7">
        <v>402.27</v>
      </c>
      <c r="Q84" s="2"/>
      <c r="R84" s="6">
        <f t="shared" si="25"/>
        <v>6.7088907453631476E-4</v>
      </c>
      <c r="S84" s="2"/>
      <c r="T84" s="7">
        <v>257.77999999999997</v>
      </c>
      <c r="U84" s="2"/>
      <c r="V84" s="6">
        <f t="shared" si="26"/>
        <v>2.9988944412423756E-4</v>
      </c>
      <c r="W84" s="2"/>
      <c r="X84" s="7">
        <f t="shared" si="27"/>
        <v>144.49</v>
      </c>
      <c r="Y84" s="2"/>
      <c r="Z84" s="6">
        <f t="shared" si="28"/>
        <v>0.56051671968345107</v>
      </c>
    </row>
    <row r="85" spans="1:26" s="24" customFormat="1" hidden="1" outlineLevel="2" x14ac:dyDescent="0.25">
      <c r="A85" s="28"/>
      <c r="B85" s="11" t="str">
        <f>CONCATENATE("          ", "6115", " - ", "P.E.R.S.")</f>
        <v xml:space="preserve">          6115 - P.E.R.S.</v>
      </c>
      <c r="C85" s="11"/>
      <c r="D85" s="7">
        <v>1664.19</v>
      </c>
      <c r="E85" s="2"/>
      <c r="F85" s="6">
        <f t="shared" si="21"/>
        <v>1.4627906437091012E-2</v>
      </c>
      <c r="G85" s="2"/>
      <c r="H85" s="7">
        <v>1069.76</v>
      </c>
      <c r="I85" s="2"/>
      <c r="J85" s="6">
        <f t="shared" si="22"/>
        <v>3.5093474561036305E-3</v>
      </c>
      <c r="K85" s="2"/>
      <c r="L85" s="7">
        <f t="shared" si="23"/>
        <v>594.43000000000006</v>
      </c>
      <c r="M85" s="2"/>
      <c r="N85" s="6">
        <f t="shared" si="24"/>
        <v>0.55566669159437643</v>
      </c>
      <c r="O85" s="11"/>
      <c r="P85" s="7">
        <v>6065.85</v>
      </c>
      <c r="Q85" s="2"/>
      <c r="R85" s="6">
        <f t="shared" si="25"/>
        <v>1.0116370827494234E-2</v>
      </c>
      <c r="S85" s="2"/>
      <c r="T85" s="7">
        <v>2797.81</v>
      </c>
      <c r="U85" s="2"/>
      <c r="V85" s="6">
        <f t="shared" si="26"/>
        <v>3.2548439974599782E-3</v>
      </c>
      <c r="W85" s="2"/>
      <c r="X85" s="7">
        <f t="shared" si="27"/>
        <v>3268.0400000000004</v>
      </c>
      <c r="Y85" s="2"/>
      <c r="Z85" s="6">
        <f t="shared" si="28"/>
        <v>1.168070741043888</v>
      </c>
    </row>
    <row r="86" spans="1:26" s="24" customFormat="1" hidden="1" outlineLevel="2" x14ac:dyDescent="0.25">
      <c r="A86" s="28"/>
      <c r="B86" s="11" t="str">
        <f>CONCATENATE("          ", "6118", " - ", "VACATION")</f>
        <v xml:space="preserve">          6118 - VACATION</v>
      </c>
      <c r="C86" s="11"/>
      <c r="D86" s="7">
        <v>1385.36</v>
      </c>
      <c r="E86" s="2"/>
      <c r="F86" s="6">
        <f t="shared" si="21"/>
        <v>1.2177044965832268E-2</v>
      </c>
      <c r="G86" s="2"/>
      <c r="H86" s="7">
        <v>846</v>
      </c>
      <c r="I86" s="2"/>
      <c r="J86" s="6">
        <f t="shared" si="22"/>
        <v>2.7753028229356787E-3</v>
      </c>
      <c r="K86" s="2"/>
      <c r="L86" s="7">
        <f t="shared" si="23"/>
        <v>539.3599999999999</v>
      </c>
      <c r="M86" s="2"/>
      <c r="N86" s="6">
        <f t="shared" si="24"/>
        <v>0.63754137115839227</v>
      </c>
      <c r="O86" s="11"/>
      <c r="P86" s="7">
        <v>4860.37</v>
      </c>
      <c r="Q86" s="2"/>
      <c r="R86" s="6">
        <f t="shared" si="25"/>
        <v>8.1059217222364793E-3</v>
      </c>
      <c r="S86" s="2"/>
      <c r="T86" s="7">
        <v>2752.76</v>
      </c>
      <c r="U86" s="2"/>
      <c r="V86" s="6">
        <f t="shared" si="26"/>
        <v>3.2024348910211667E-3</v>
      </c>
      <c r="W86" s="2"/>
      <c r="X86" s="7">
        <f t="shared" si="27"/>
        <v>2107.6099999999997</v>
      </c>
      <c r="Y86" s="2"/>
      <c r="Z86" s="6">
        <f t="shared" si="28"/>
        <v>0.76563521701855575</v>
      </c>
    </row>
    <row r="87" spans="1:26" s="24" customFormat="1" hidden="1" outlineLevel="2" x14ac:dyDescent="0.25">
      <c r="A87" s="28"/>
      <c r="B87" s="11" t="str">
        <f>CONCATENATE("          ", "6119", " - ", "SICK LEAVE")</f>
        <v xml:space="preserve">          6119 - SICK LEAVE</v>
      </c>
      <c r="C87" s="11"/>
      <c r="D87" s="7">
        <v>1223.8800000000001</v>
      </c>
      <c r="E87" s="2"/>
      <c r="F87" s="6">
        <f t="shared" si="21"/>
        <v>1.0757667171553097E-2</v>
      </c>
      <c r="G87" s="2"/>
      <c r="H87" s="7">
        <v>576.4</v>
      </c>
      <c r="I87" s="2"/>
      <c r="J87" s="6">
        <f t="shared" si="22"/>
        <v>1.8908800793618499E-3</v>
      </c>
      <c r="K87" s="2"/>
      <c r="L87" s="7">
        <f t="shared" si="23"/>
        <v>647.48000000000013</v>
      </c>
      <c r="M87" s="2"/>
      <c r="N87" s="6">
        <f t="shared" si="24"/>
        <v>1.1233171408743932</v>
      </c>
      <c r="O87" s="11"/>
      <c r="P87" s="7">
        <v>3544.23</v>
      </c>
      <c r="Q87" s="2"/>
      <c r="R87" s="6">
        <f t="shared" si="25"/>
        <v>5.9109184991270611E-3</v>
      </c>
      <c r="S87" s="2"/>
      <c r="T87" s="7">
        <v>3230.47</v>
      </c>
      <c r="U87" s="2"/>
      <c r="V87" s="6">
        <f t="shared" si="26"/>
        <v>3.7581808230274876E-3</v>
      </c>
      <c r="W87" s="2"/>
      <c r="X87" s="7">
        <f t="shared" si="27"/>
        <v>313.76000000000022</v>
      </c>
      <c r="Y87" s="2"/>
      <c r="Z87" s="6">
        <f t="shared" si="28"/>
        <v>9.7125186118428658E-2</v>
      </c>
    </row>
    <row r="88" spans="1:26" s="24" customFormat="1" hidden="1" outlineLevel="2" x14ac:dyDescent="0.25">
      <c r="A88" s="28"/>
      <c r="B88" s="11" t="str">
        <f>CONCATENATE("          ", "6156", " - ", "EMPLOYEE MEALS")</f>
        <v xml:space="preserve">          6156 - EMPLOYEE MEALS</v>
      </c>
      <c r="C88" s="11"/>
      <c r="D88" s="7">
        <v>517.30999999999995</v>
      </c>
      <c r="E88" s="2"/>
      <c r="F88" s="6">
        <f t="shared" si="21"/>
        <v>4.5470542900579568E-3</v>
      </c>
      <c r="G88" s="2"/>
      <c r="H88" s="7">
        <v>265.45</v>
      </c>
      <c r="I88" s="2"/>
      <c r="J88" s="6">
        <f t="shared" si="22"/>
        <v>8.7080866944240639E-4</v>
      </c>
      <c r="K88" s="2"/>
      <c r="L88" s="7">
        <f t="shared" si="23"/>
        <v>251.85999999999996</v>
      </c>
      <c r="M88" s="2"/>
      <c r="N88" s="6">
        <f t="shared" si="24"/>
        <v>0.94880391787530594</v>
      </c>
      <c r="O88" s="11"/>
      <c r="P88" s="7">
        <v>1464.75</v>
      </c>
      <c r="Q88" s="2"/>
      <c r="R88" s="6">
        <f t="shared" si="25"/>
        <v>2.4428487630871482E-3</v>
      </c>
      <c r="S88" s="2"/>
      <c r="T88" s="7">
        <v>709.37</v>
      </c>
      <c r="U88" s="2"/>
      <c r="V88" s="6">
        <f t="shared" si="26"/>
        <v>8.252485645837941E-4</v>
      </c>
      <c r="W88" s="2"/>
      <c r="X88" s="7">
        <f t="shared" si="27"/>
        <v>755.38</v>
      </c>
      <c r="Y88" s="2"/>
      <c r="Z88" s="6">
        <f t="shared" si="28"/>
        <v>1.0648603690598699</v>
      </c>
    </row>
    <row r="89" spans="1:26" s="27" customFormat="1" outlineLevel="1" collapsed="1" x14ac:dyDescent="0.25">
      <c r="A89" s="29"/>
      <c r="B89" s="14" t="str">
        <f>CONCATENATE("     ","*Payroll                                          ")</f>
        <v xml:space="preserve">     *Payroll                                          </v>
      </c>
      <c r="C89" s="14"/>
      <c r="D89" s="1">
        <f>SUM(OSRRefD22_1x_0)</f>
        <v>38040.07</v>
      </c>
      <c r="E89" s="1"/>
      <c r="F89" s="5">
        <f t="shared" ref="F89:F94" si="29">IF(D$12=0,0,D89/D$12)</f>
        <v>0.33436481701031295</v>
      </c>
      <c r="G89" s="1"/>
      <c r="H89" s="1">
        <f>SUM(OSRRefH22_1x_0)</f>
        <v>36612.83</v>
      </c>
      <c r="I89" s="1"/>
      <c r="J89" s="5">
        <f t="shared" ref="J89:J94" si="30">IF(H$12=0,0,H89/H$12)</f>
        <v>0.12010838115208523</v>
      </c>
      <c r="K89" s="1"/>
      <c r="L89" s="1">
        <f t="shared" ref="L89:L94" si="31">+D89-H89</f>
        <v>1427.239999999998</v>
      </c>
      <c r="M89" s="1"/>
      <c r="N89" s="5">
        <f t="shared" ref="N89:N94" si="32">IF(H89=0,0,L89/H89)</f>
        <v>3.8981963426481858E-2</v>
      </c>
      <c r="O89" s="14"/>
      <c r="P89" s="1">
        <f>SUM(OSRRefP22_1x_0)</f>
        <v>111648.26</v>
      </c>
      <c r="Q89" s="1"/>
      <c r="R89" s="5">
        <f t="shared" ref="R89:R94" si="33">IF(P$12=0,0,P89/P$12)</f>
        <v>0.18620229652966874</v>
      </c>
      <c r="S89" s="1"/>
      <c r="T89" s="1">
        <f>SUM(OSRRefT22_1x_0)</f>
        <v>107098.76999999999</v>
      </c>
      <c r="U89" s="1"/>
      <c r="V89" s="5">
        <f t="shared" ref="V89:V94" si="34">IF(T$12=0,0,T89/T$12)</f>
        <v>0.12459380324962981</v>
      </c>
      <c r="W89" s="1"/>
      <c r="X89" s="1">
        <f t="shared" ref="X89:X94" si="35">+P89-T89</f>
        <v>4549.4900000000052</v>
      </c>
      <c r="Y89" s="1"/>
      <c r="Z89" s="5">
        <f t="shared" ref="Z89:Z94" si="36">IF(T89=0,0,X89/T89)</f>
        <v>4.2479386084452751E-2</v>
      </c>
    </row>
    <row r="90" spans="1:26" s="24" customFormat="1" hidden="1" outlineLevel="2" x14ac:dyDescent="0.25">
      <c r="A90" s="28"/>
      <c r="B90" s="11" t="str">
        <f>CONCATENATE("          ", "6002", " - ", "STAFF SALARIES")</f>
        <v xml:space="preserve">          6002 - STAFF SALARIES</v>
      </c>
      <c r="C90" s="11"/>
      <c r="D90" s="7">
        <v>15514.48</v>
      </c>
      <c r="E90" s="2"/>
      <c r="F90" s="6">
        <f t="shared" si="29"/>
        <v>0.13636926183916484</v>
      </c>
      <c r="G90" s="2"/>
      <c r="H90" s="7">
        <v>13125.56</v>
      </c>
      <c r="I90" s="2"/>
      <c r="J90" s="6">
        <f t="shared" si="30"/>
        <v>4.3058396832874261E-2</v>
      </c>
      <c r="K90" s="2"/>
      <c r="L90" s="7">
        <f t="shared" si="31"/>
        <v>2388.92</v>
      </c>
      <c r="M90" s="2"/>
      <c r="N90" s="6">
        <f t="shared" si="32"/>
        <v>0.18200518682631447</v>
      </c>
      <c r="O90" s="11"/>
      <c r="P90" s="7">
        <v>55687.82</v>
      </c>
      <c r="Q90" s="2"/>
      <c r="R90" s="6">
        <f t="shared" si="33"/>
        <v>9.2873816150209759E-2</v>
      </c>
      <c r="S90" s="2"/>
      <c r="T90" s="7">
        <v>30581.53</v>
      </c>
      <c r="U90" s="2"/>
      <c r="V90" s="6">
        <f t="shared" si="34"/>
        <v>3.5577151183833873E-2</v>
      </c>
      <c r="W90" s="2"/>
      <c r="X90" s="7">
        <f t="shared" si="35"/>
        <v>25106.29</v>
      </c>
      <c r="Y90" s="2"/>
      <c r="Z90" s="6">
        <f t="shared" si="36"/>
        <v>0.82096252214980747</v>
      </c>
    </row>
    <row r="91" spans="1:26" s="24" customFormat="1" hidden="1" outlineLevel="2" x14ac:dyDescent="0.25">
      <c r="A91" s="28"/>
      <c r="B91" s="11" t="str">
        <f>CONCATENATE("          ", "6004", " - ", "STAFF HOURLY")</f>
        <v xml:space="preserve">          6004 - STAFF HOURLY</v>
      </c>
      <c r="C91" s="11"/>
      <c r="D91" s="7">
        <v>9483.5400000000009</v>
      </c>
      <c r="E91" s="2"/>
      <c r="F91" s="6">
        <f t="shared" si="29"/>
        <v>8.3358472177101239E-2</v>
      </c>
      <c r="G91" s="2"/>
      <c r="H91" s="7"/>
      <c r="I91" s="2"/>
      <c r="J91" s="6">
        <f t="shared" si="30"/>
        <v>0</v>
      </c>
      <c r="K91" s="2"/>
      <c r="L91" s="7">
        <f t="shared" si="31"/>
        <v>9483.5400000000009</v>
      </c>
      <c r="M91" s="2"/>
      <c r="N91" s="6">
        <f t="shared" si="32"/>
        <v>0</v>
      </c>
      <c r="O91" s="11"/>
      <c r="P91" s="7">
        <v>23434.489999999998</v>
      </c>
      <c r="Q91" s="2"/>
      <c r="R91" s="6">
        <f t="shared" si="33"/>
        <v>3.9083061894574597E-2</v>
      </c>
      <c r="S91" s="2"/>
      <c r="T91" s="7"/>
      <c r="U91" s="2"/>
      <c r="V91" s="6">
        <f t="shared" si="34"/>
        <v>0</v>
      </c>
      <c r="W91" s="2"/>
      <c r="X91" s="7">
        <f t="shared" si="35"/>
        <v>23434.489999999998</v>
      </c>
      <c r="Y91" s="2"/>
      <c r="Z91" s="6">
        <f t="shared" si="36"/>
        <v>0</v>
      </c>
    </row>
    <row r="92" spans="1:26" s="24" customFormat="1" hidden="1" outlineLevel="2" x14ac:dyDescent="0.25">
      <c r="A92" s="28"/>
      <c r="B92" s="11" t="str">
        <f>CONCATENATE("          ", "6005", " - ", "TEMPORARY WAGES-HOURLY")</f>
        <v xml:space="preserve">          6005 - TEMPORARY WAGES-HOURLY</v>
      </c>
      <c r="C92" s="11"/>
      <c r="D92" s="7">
        <v>6615.24</v>
      </c>
      <c r="E92" s="2"/>
      <c r="F92" s="6">
        <f t="shared" si="29"/>
        <v>5.8146673023454019E-2</v>
      </c>
      <c r="G92" s="2"/>
      <c r="H92" s="7">
        <v>2687.6</v>
      </c>
      <c r="I92" s="2"/>
      <c r="J92" s="6">
        <f t="shared" si="30"/>
        <v>8.8166712374963697E-3</v>
      </c>
      <c r="K92" s="2"/>
      <c r="L92" s="7">
        <f t="shared" si="31"/>
        <v>3927.64</v>
      </c>
      <c r="M92" s="2"/>
      <c r="N92" s="6">
        <f t="shared" si="32"/>
        <v>1.4613930644441138</v>
      </c>
      <c r="O92" s="11"/>
      <c r="P92" s="7">
        <v>13038.95</v>
      </c>
      <c r="Q92" s="2"/>
      <c r="R92" s="6">
        <f t="shared" si="33"/>
        <v>2.1745815244550382E-2</v>
      </c>
      <c r="S92" s="2"/>
      <c r="T92" s="7">
        <v>10684.54</v>
      </c>
      <c r="U92" s="2"/>
      <c r="V92" s="6">
        <f t="shared" si="34"/>
        <v>1.2429904419750105E-2</v>
      </c>
      <c r="W92" s="2"/>
      <c r="X92" s="7">
        <f t="shared" si="35"/>
        <v>2354.41</v>
      </c>
      <c r="Y92" s="2"/>
      <c r="Z92" s="6">
        <f t="shared" si="36"/>
        <v>0.22035670230070734</v>
      </c>
    </row>
    <row r="93" spans="1:26" s="24" customFormat="1" hidden="1" outlineLevel="2" x14ac:dyDescent="0.25">
      <c r="A93" s="28"/>
      <c r="B93" s="11" t="str">
        <f>CONCATENATE("          ", "6007", " - ", "STUDENT HOURLY")</f>
        <v xml:space="preserve">          6007 - STUDENT HOURLY</v>
      </c>
      <c r="C93" s="11"/>
      <c r="D93" s="7">
        <v>5371.14</v>
      </c>
      <c r="E93" s="2"/>
      <c r="F93" s="6">
        <f t="shared" si="29"/>
        <v>4.7211275984423068E-2</v>
      </c>
      <c r="G93" s="2"/>
      <c r="H93" s="7">
        <v>20799.670000000002</v>
      </c>
      <c r="I93" s="2"/>
      <c r="J93" s="6">
        <f t="shared" si="30"/>
        <v>6.8233313081714597E-2</v>
      </c>
      <c r="K93" s="2"/>
      <c r="L93" s="7">
        <f t="shared" si="31"/>
        <v>-15428.530000000002</v>
      </c>
      <c r="M93" s="2"/>
      <c r="N93" s="6">
        <f t="shared" si="32"/>
        <v>-0.74176801843490792</v>
      </c>
      <c r="O93" s="11"/>
      <c r="P93" s="7">
        <v>17998.3</v>
      </c>
      <c r="Q93" s="2"/>
      <c r="R93" s="6">
        <f t="shared" si="33"/>
        <v>3.0016811669343859E-2</v>
      </c>
      <c r="S93" s="2"/>
      <c r="T93" s="7">
        <v>65637.7</v>
      </c>
      <c r="U93" s="2"/>
      <c r="V93" s="6">
        <f t="shared" si="34"/>
        <v>7.6359893578219679E-2</v>
      </c>
      <c r="W93" s="2"/>
      <c r="X93" s="7">
        <f t="shared" si="35"/>
        <v>-47639.399999999994</v>
      </c>
      <c r="Y93" s="2"/>
      <c r="Z93" s="6">
        <f t="shared" si="36"/>
        <v>-0.72579325600988454</v>
      </c>
    </row>
    <row r="94" spans="1:26" s="24" customFormat="1" hidden="1" outlineLevel="2" x14ac:dyDescent="0.25">
      <c r="A94" s="28"/>
      <c r="B94" s="11" t="str">
        <f>CONCATENATE("          ", "6008", " - ", "STUDENT HOURLY-FICA EXEMPT")</f>
        <v xml:space="preserve">          6008 - STUDENT HOURLY-FICA EXEMPT</v>
      </c>
      <c r="C94" s="11"/>
      <c r="D94" s="7">
        <v>1055.67</v>
      </c>
      <c r="E94" s="2"/>
      <c r="F94" s="6">
        <f t="shared" si="29"/>
        <v>9.2791339861697693E-3</v>
      </c>
      <c r="G94" s="2"/>
      <c r="H94" s="7"/>
      <c r="I94" s="2"/>
      <c r="J94" s="6">
        <f t="shared" si="30"/>
        <v>0</v>
      </c>
      <c r="K94" s="2"/>
      <c r="L94" s="7">
        <f t="shared" si="31"/>
        <v>1055.67</v>
      </c>
      <c r="M94" s="2"/>
      <c r="N94" s="6">
        <f t="shared" si="32"/>
        <v>0</v>
      </c>
      <c r="O94" s="11"/>
      <c r="P94" s="7">
        <v>1488.7</v>
      </c>
      <c r="Q94" s="2"/>
      <c r="R94" s="6">
        <f t="shared" si="33"/>
        <v>2.4827915709901604E-3</v>
      </c>
      <c r="S94" s="2"/>
      <c r="T94" s="7">
        <v>195</v>
      </c>
      <c r="U94" s="2"/>
      <c r="V94" s="6">
        <f t="shared" si="34"/>
        <v>2.2685406782615538E-4</v>
      </c>
      <c r="W94" s="2"/>
      <c r="X94" s="7">
        <f t="shared" si="35"/>
        <v>1293.7</v>
      </c>
      <c r="Y94" s="2"/>
      <c r="Z94" s="6">
        <f t="shared" si="36"/>
        <v>6.6343589743589746</v>
      </c>
    </row>
    <row r="95" spans="1:26" s="27" customFormat="1" outlineLevel="1" collapsed="1" x14ac:dyDescent="0.25">
      <c r="A95" s="29"/>
      <c r="B95" s="14" t="str">
        <f>CONCATENATE("     ","Advertising/Promo                                 ")</f>
        <v xml:space="preserve">     Advertising/Promo                                 </v>
      </c>
      <c r="C95" s="14"/>
      <c r="D95" s="1">
        <f>SUM(OSRRefD22_2x_0)</f>
        <v>391.39</v>
      </c>
      <c r="E95" s="1"/>
      <c r="F95" s="5">
        <f t="shared" ref="F95:F103" si="37">IF(D$12=0,0,D95/D$12)</f>
        <v>3.4402419798298576E-3</v>
      </c>
      <c r="G95" s="1"/>
      <c r="H95" s="1">
        <f>SUM(OSRRefH22_2x_0)</f>
        <v>448.84</v>
      </c>
      <c r="I95" s="1"/>
      <c r="J95" s="5">
        <f t="shared" ref="J95:J103" si="38">IF(H$12=0,0,H95/H$12)</f>
        <v>1.4724195260596333E-3</v>
      </c>
      <c r="K95" s="1"/>
      <c r="L95" s="1">
        <f t="shared" ref="L95:L103" si="39">+D95-H95</f>
        <v>-57.449999999999989</v>
      </c>
      <c r="M95" s="1"/>
      <c r="N95" s="5">
        <f t="shared" ref="N95:N103" si="40">IF(H95=0,0,L95/H95)</f>
        <v>-0.12799661349255859</v>
      </c>
      <c r="O95" s="14"/>
      <c r="P95" s="1">
        <f>SUM(OSRRefP22_2x_0)</f>
        <v>11033.71</v>
      </c>
      <c r="Q95" s="1"/>
      <c r="R95" s="5">
        <f t="shared" ref="R95:R103" si="41">IF(P$12=0,0,P95/P$12)</f>
        <v>1.8401559874219011E-2</v>
      </c>
      <c r="S95" s="1"/>
      <c r="T95" s="1">
        <f>SUM(OSRRefT22_2x_0)</f>
        <v>3683.5</v>
      </c>
      <c r="U95" s="1"/>
      <c r="V95" s="5">
        <f t="shared" ref="V95:V103" si="42">IF(T$12=0,0,T95/T$12)</f>
        <v>4.2852151735263758E-3</v>
      </c>
      <c r="W95" s="1"/>
      <c r="X95" s="1">
        <f t="shared" ref="X95:X103" si="43">+P95-T95</f>
        <v>7350.2099999999991</v>
      </c>
      <c r="Y95" s="1"/>
      <c r="Z95" s="5">
        <f t="shared" ref="Z95:Z103" si="44">IF(T95=0,0,X95/T95)</f>
        <v>1.9954418352110761</v>
      </c>
    </row>
    <row r="96" spans="1:26" s="24" customFormat="1" hidden="1" outlineLevel="2" x14ac:dyDescent="0.25">
      <c r="A96" s="28"/>
      <c r="B96" s="11" t="str">
        <f>CONCATENATE("          ", "6362", " - ", "ADVERTISING EXPENSE")</f>
        <v xml:space="preserve">          6362 - ADVERTISING EXPENSE</v>
      </c>
      <c r="C96" s="11"/>
      <c r="D96" s="7">
        <v>391.39</v>
      </c>
      <c r="E96" s="2"/>
      <c r="F96" s="6">
        <f t="shared" si="37"/>
        <v>3.4402419798298576E-3</v>
      </c>
      <c r="G96" s="2"/>
      <c r="H96" s="7">
        <v>448.84</v>
      </c>
      <c r="I96" s="2"/>
      <c r="J96" s="6">
        <f t="shared" si="38"/>
        <v>1.4724195260596333E-3</v>
      </c>
      <c r="K96" s="2"/>
      <c r="L96" s="7">
        <f t="shared" si="39"/>
        <v>-57.449999999999989</v>
      </c>
      <c r="M96" s="2"/>
      <c r="N96" s="6">
        <f t="shared" si="40"/>
        <v>-0.12799661349255859</v>
      </c>
      <c r="O96" s="11"/>
      <c r="P96" s="7">
        <v>11033.71</v>
      </c>
      <c r="Q96" s="2"/>
      <c r="R96" s="6">
        <f t="shared" si="41"/>
        <v>1.8401559874219011E-2</v>
      </c>
      <c r="S96" s="2"/>
      <c r="T96" s="7">
        <v>3683.5</v>
      </c>
      <c r="U96" s="2"/>
      <c r="V96" s="6">
        <f t="shared" si="42"/>
        <v>4.2852151735263758E-3</v>
      </c>
      <c r="W96" s="2"/>
      <c r="X96" s="7">
        <f t="shared" si="43"/>
        <v>7350.2099999999991</v>
      </c>
      <c r="Y96" s="2"/>
      <c r="Z96" s="6">
        <f t="shared" si="44"/>
        <v>1.9954418352110761</v>
      </c>
    </row>
    <row r="97" spans="1:26" s="27" customFormat="1" outlineLevel="1" collapsed="1" x14ac:dyDescent="0.25">
      <c r="A97" s="29"/>
      <c r="B97" s="14" t="str">
        <f>CONCATENATE("     ","Bad Debts/Over/Short                              ")</f>
        <v xml:space="preserve">     Bad Debts/Over/Short                              </v>
      </c>
      <c r="C97" s="14"/>
      <c r="D97" s="1">
        <f>SUM(OSRRefD22_3x_0)</f>
        <v>-2.96</v>
      </c>
      <c r="E97" s="1"/>
      <c r="F97" s="5">
        <f t="shared" si="37"/>
        <v>-2.6017824319211985E-5</v>
      </c>
      <c r="G97" s="1"/>
      <c r="H97" s="1">
        <f>SUM(OSRRefH22_3x_0)</f>
        <v>-0.2</v>
      </c>
      <c r="I97" s="1"/>
      <c r="J97" s="5">
        <f t="shared" si="38"/>
        <v>-6.5609995814082242E-7</v>
      </c>
      <c r="K97" s="1"/>
      <c r="L97" s="1">
        <f t="shared" si="39"/>
        <v>-2.76</v>
      </c>
      <c r="M97" s="1"/>
      <c r="N97" s="5">
        <f t="shared" si="40"/>
        <v>13.799999999999999</v>
      </c>
      <c r="O97" s="14"/>
      <c r="P97" s="1">
        <f>SUM(OSRRefP22_3x_0)</f>
        <v>0.7</v>
      </c>
      <c r="Q97" s="1"/>
      <c r="R97" s="5">
        <f t="shared" si="41"/>
        <v>1.167430711152759E-6</v>
      </c>
      <c r="S97" s="1"/>
      <c r="T97" s="1">
        <f>SUM(OSRRefT22_3x_0)</f>
        <v>29.71</v>
      </c>
      <c r="U97" s="1"/>
      <c r="V97" s="5">
        <f t="shared" si="42"/>
        <v>3.456325310315424E-5</v>
      </c>
      <c r="W97" s="1"/>
      <c r="X97" s="1">
        <f t="shared" si="43"/>
        <v>-29.01</v>
      </c>
      <c r="Y97" s="1"/>
      <c r="Z97" s="5">
        <f t="shared" si="44"/>
        <v>-0.97643890945809497</v>
      </c>
    </row>
    <row r="98" spans="1:26" s="24" customFormat="1" hidden="1" outlineLevel="2" x14ac:dyDescent="0.25">
      <c r="A98" s="28"/>
      <c r="B98" s="11" t="str">
        <f>CONCATENATE("          ", "6272", " - ", "CASH (OVER/SHORT)")</f>
        <v xml:space="preserve">          6272 - CASH (OVER/SHORT)</v>
      </c>
      <c r="C98" s="11"/>
      <c r="D98" s="7">
        <v>-2.96</v>
      </c>
      <c r="E98" s="2"/>
      <c r="F98" s="6">
        <f t="shared" si="37"/>
        <v>-2.6017824319211985E-5</v>
      </c>
      <c r="G98" s="2"/>
      <c r="H98" s="7">
        <v>-0.2</v>
      </c>
      <c r="I98" s="2"/>
      <c r="J98" s="6">
        <f t="shared" si="38"/>
        <v>-6.5609995814082242E-7</v>
      </c>
      <c r="K98" s="2"/>
      <c r="L98" s="7">
        <f t="shared" si="39"/>
        <v>-2.76</v>
      </c>
      <c r="M98" s="2"/>
      <c r="N98" s="6">
        <f t="shared" si="40"/>
        <v>13.799999999999999</v>
      </c>
      <c r="O98" s="11"/>
      <c r="P98" s="7">
        <v>0.7</v>
      </c>
      <c r="Q98" s="2"/>
      <c r="R98" s="6">
        <f t="shared" si="41"/>
        <v>1.167430711152759E-6</v>
      </c>
      <c r="S98" s="2"/>
      <c r="T98" s="7">
        <v>29.71</v>
      </c>
      <c r="U98" s="2"/>
      <c r="V98" s="6">
        <f t="shared" si="42"/>
        <v>3.456325310315424E-5</v>
      </c>
      <c r="W98" s="2"/>
      <c r="X98" s="7">
        <f t="shared" si="43"/>
        <v>-29.01</v>
      </c>
      <c r="Y98" s="2"/>
      <c r="Z98" s="6">
        <f t="shared" si="44"/>
        <v>-0.97643890945809497</v>
      </c>
    </row>
    <row r="99" spans="1:26" s="27" customFormat="1" outlineLevel="1" collapsed="1" x14ac:dyDescent="0.25">
      <c r="A99" s="29"/>
      <c r="B99" s="14" t="str">
        <f>CONCATENATE("     ","Bank/card Fees                                    ")</f>
        <v xml:space="preserve">     Bank/card Fees                                    </v>
      </c>
      <c r="C99" s="14"/>
      <c r="D99" s="1">
        <f>SUM(OSRRefD22_4x_0)</f>
        <v>306.45</v>
      </c>
      <c r="E99" s="1"/>
      <c r="F99" s="5">
        <f t="shared" si="37"/>
        <v>2.6936358995346328E-3</v>
      </c>
      <c r="G99" s="1"/>
      <c r="H99" s="1">
        <f>SUM(OSRRefH22_4x_0)</f>
        <v>541.12</v>
      </c>
      <c r="I99" s="1"/>
      <c r="J99" s="5">
        <f t="shared" si="38"/>
        <v>1.775144046745809E-3</v>
      </c>
      <c r="K99" s="1"/>
      <c r="L99" s="1">
        <f t="shared" si="39"/>
        <v>-234.67000000000002</v>
      </c>
      <c r="M99" s="1"/>
      <c r="N99" s="5">
        <f t="shared" si="40"/>
        <v>-0.43367460082791248</v>
      </c>
      <c r="O99" s="14"/>
      <c r="P99" s="1">
        <f>SUM(OSRRefP22_4x_0)</f>
        <v>1066.17</v>
      </c>
      <c r="Q99" s="1"/>
      <c r="R99" s="5">
        <f t="shared" si="41"/>
        <v>1.7781137161567674E-3</v>
      </c>
      <c r="S99" s="1"/>
      <c r="T99" s="1">
        <f>SUM(OSRRefT22_4x_0)</f>
        <v>2022.78</v>
      </c>
      <c r="U99" s="1"/>
      <c r="V99" s="5">
        <f t="shared" si="42"/>
        <v>2.3532095964994386E-3</v>
      </c>
      <c r="W99" s="1"/>
      <c r="X99" s="1">
        <f t="shared" si="43"/>
        <v>-956.6099999999999</v>
      </c>
      <c r="Y99" s="1"/>
      <c r="Z99" s="5">
        <f t="shared" si="44"/>
        <v>-0.472918458754783</v>
      </c>
    </row>
    <row r="100" spans="1:26" s="24" customFormat="1" hidden="1" outlineLevel="2" x14ac:dyDescent="0.25">
      <c r="A100" s="28"/>
      <c r="B100" s="11" t="str">
        <f>CONCATENATE("          ", "6381", " - ", "BANK/CREDIT CARD FEES")</f>
        <v xml:space="preserve">          6381 - BANK/CREDIT CARD FEES</v>
      </c>
      <c r="C100" s="11"/>
      <c r="D100" s="7">
        <v>306.45</v>
      </c>
      <c r="E100" s="2"/>
      <c r="F100" s="6">
        <f t="shared" si="37"/>
        <v>2.6936358995346328E-3</v>
      </c>
      <c r="G100" s="2"/>
      <c r="H100" s="7">
        <v>541.12</v>
      </c>
      <c r="I100" s="2"/>
      <c r="J100" s="6">
        <f t="shared" si="38"/>
        <v>1.775144046745809E-3</v>
      </c>
      <c r="K100" s="2"/>
      <c r="L100" s="7">
        <f t="shared" si="39"/>
        <v>-234.67000000000002</v>
      </c>
      <c r="M100" s="2"/>
      <c r="N100" s="6">
        <f t="shared" si="40"/>
        <v>-0.43367460082791248</v>
      </c>
      <c r="O100" s="11"/>
      <c r="P100" s="7">
        <v>1066.17</v>
      </c>
      <c r="Q100" s="2"/>
      <c r="R100" s="6">
        <f t="shared" si="41"/>
        <v>1.7781137161567674E-3</v>
      </c>
      <c r="S100" s="2"/>
      <c r="T100" s="7">
        <v>2022.78</v>
      </c>
      <c r="U100" s="2"/>
      <c r="V100" s="6">
        <f t="shared" si="42"/>
        <v>2.3532095964994386E-3</v>
      </c>
      <c r="W100" s="2"/>
      <c r="X100" s="7">
        <f t="shared" si="43"/>
        <v>-956.6099999999999</v>
      </c>
      <c r="Y100" s="2"/>
      <c r="Z100" s="6">
        <f t="shared" si="44"/>
        <v>-0.472918458754783</v>
      </c>
    </row>
    <row r="101" spans="1:26" s="27" customFormat="1" outlineLevel="1" collapsed="1" x14ac:dyDescent="0.25">
      <c r="A101" s="29"/>
      <c r="B101" s="14" t="str">
        <f>CONCATENATE("     ","Discounts and Markdowns                           ")</f>
        <v xml:space="preserve">     Discounts and Markdowns                           </v>
      </c>
      <c r="C101" s="14"/>
      <c r="D101" s="1">
        <f>SUM(OSRRefD22_5x_0)</f>
        <v>830.95</v>
      </c>
      <c r="E101" s="1"/>
      <c r="F101" s="5">
        <f t="shared" si="37"/>
        <v>7.3038888912328381E-3</v>
      </c>
      <c r="G101" s="1"/>
      <c r="H101" s="1">
        <f>SUM(OSRRefH22_5x_0)</f>
        <v>13447.119999999999</v>
      </c>
      <c r="I101" s="1"/>
      <c r="J101" s="5">
        <f t="shared" si="38"/>
        <v>4.4113274345573071E-2</v>
      </c>
      <c r="K101" s="1"/>
      <c r="L101" s="1">
        <f t="shared" si="39"/>
        <v>-12616.169999999998</v>
      </c>
      <c r="M101" s="1"/>
      <c r="N101" s="5">
        <f t="shared" si="40"/>
        <v>-0.93820609914985509</v>
      </c>
      <c r="O101" s="14"/>
      <c r="P101" s="1">
        <f>SUM(OSRRefP22_5x_0)</f>
        <v>830.95</v>
      </c>
      <c r="Q101" s="1"/>
      <c r="R101" s="5">
        <f t="shared" si="41"/>
        <v>1.3858236420462645E-3</v>
      </c>
      <c r="S101" s="1"/>
      <c r="T101" s="1">
        <f>SUM(OSRRefT22_5x_0)</f>
        <v>60891.81</v>
      </c>
      <c r="U101" s="1"/>
      <c r="V101" s="5">
        <f t="shared" si="42"/>
        <v>7.0838742542550598E-2</v>
      </c>
      <c r="W101" s="1"/>
      <c r="X101" s="1">
        <f t="shared" si="43"/>
        <v>-60060.86</v>
      </c>
      <c r="Y101" s="1"/>
      <c r="Z101" s="5">
        <f t="shared" si="44"/>
        <v>-0.98635366562432625</v>
      </c>
    </row>
    <row r="102" spans="1:26" s="24" customFormat="1" hidden="1" outlineLevel="2" x14ac:dyDescent="0.25">
      <c r="A102" s="28"/>
      <c r="B102" s="11" t="str">
        <f>CONCATENATE("          ", "6382", " - ", "DISCOUNTS/MARK DOWNS")</f>
        <v xml:space="preserve">          6382 - DISCOUNTS/MARK DOWNS</v>
      </c>
      <c r="C102" s="11"/>
      <c r="D102" s="7">
        <v>830.95</v>
      </c>
      <c r="E102" s="2"/>
      <c r="F102" s="6">
        <f t="shared" si="37"/>
        <v>7.3038888912328381E-3</v>
      </c>
      <c r="G102" s="2"/>
      <c r="H102" s="7">
        <v>13485.38</v>
      </c>
      <c r="I102" s="2"/>
      <c r="J102" s="6">
        <f t="shared" si="38"/>
        <v>4.4238786267565409E-2</v>
      </c>
      <c r="K102" s="2"/>
      <c r="L102" s="7">
        <f t="shared" si="39"/>
        <v>-12654.429999999998</v>
      </c>
      <c r="M102" s="2"/>
      <c r="N102" s="6">
        <f t="shared" si="40"/>
        <v>-0.93838141750547621</v>
      </c>
      <c r="O102" s="11"/>
      <c r="P102" s="7">
        <v>830.95</v>
      </c>
      <c r="Q102" s="2"/>
      <c r="R102" s="6">
        <f t="shared" si="41"/>
        <v>1.3858236420462645E-3</v>
      </c>
      <c r="S102" s="2"/>
      <c r="T102" s="7">
        <v>60930.07</v>
      </c>
      <c r="U102" s="2"/>
      <c r="V102" s="6">
        <f t="shared" si="42"/>
        <v>7.0883252474012282E-2</v>
      </c>
      <c r="W102" s="2"/>
      <c r="X102" s="7">
        <f t="shared" si="43"/>
        <v>-60099.12</v>
      </c>
      <c r="Y102" s="2"/>
      <c r="Z102" s="6">
        <f t="shared" si="44"/>
        <v>-0.98636223460764128</v>
      </c>
    </row>
    <row r="103" spans="1:26" s="24" customFormat="1" hidden="1" outlineLevel="2" x14ac:dyDescent="0.25">
      <c r="A103" s="28"/>
      <c r="B103" s="11" t="str">
        <f>CONCATENATE("          ", "9175", " - ", "EARNED DISCOUNTS")</f>
        <v xml:space="preserve">          9175 - EARNED DISCOUNTS</v>
      </c>
      <c r="C103" s="11"/>
      <c r="D103" s="7"/>
      <c r="E103" s="2"/>
      <c r="F103" s="6">
        <f t="shared" si="37"/>
        <v>0</v>
      </c>
      <c r="G103" s="2"/>
      <c r="H103" s="7">
        <v>-38.26</v>
      </c>
      <c r="I103" s="2"/>
      <c r="J103" s="6">
        <f t="shared" si="38"/>
        <v>-1.255119219923393E-4</v>
      </c>
      <c r="K103" s="2"/>
      <c r="L103" s="7">
        <f t="shared" si="39"/>
        <v>38.26</v>
      </c>
      <c r="M103" s="2"/>
      <c r="N103" s="6">
        <f t="shared" si="40"/>
        <v>-1</v>
      </c>
      <c r="O103" s="11"/>
      <c r="P103" s="7"/>
      <c r="Q103" s="2"/>
      <c r="R103" s="6">
        <f t="shared" si="41"/>
        <v>0</v>
      </c>
      <c r="S103" s="2"/>
      <c r="T103" s="7">
        <v>-38.26</v>
      </c>
      <c r="U103" s="2"/>
      <c r="V103" s="6">
        <f t="shared" si="42"/>
        <v>-4.4509931461685666E-5</v>
      </c>
      <c r="W103" s="2"/>
      <c r="X103" s="7">
        <f t="shared" si="43"/>
        <v>38.26</v>
      </c>
      <c r="Y103" s="2"/>
      <c r="Z103" s="6">
        <f t="shared" si="44"/>
        <v>-1</v>
      </c>
    </row>
    <row r="104" spans="1:26" s="27" customFormat="1" outlineLevel="1" collapsed="1" x14ac:dyDescent="0.25">
      <c r="A104" s="29"/>
      <c r="B104" s="14" t="str">
        <f>CONCATENATE("     ","Employees' Appreciation                           ")</f>
        <v xml:space="preserve">     Employees' Appreciation                           </v>
      </c>
      <c r="C104" s="14"/>
      <c r="D104" s="1">
        <f>SUM(OSRRefD22_6x_0)</f>
        <v>0</v>
      </c>
      <c r="E104" s="1"/>
      <c r="F104" s="5">
        <f t="shared" ref="F104:F120" si="45">IF(D$12=0,0,D104/D$12)</f>
        <v>0</v>
      </c>
      <c r="G104" s="1"/>
      <c r="H104" s="1">
        <f>SUM(OSRRefH22_6x_0)</f>
        <v>0</v>
      </c>
      <c r="I104" s="1"/>
      <c r="J104" s="5">
        <f t="shared" ref="J104:J120" si="46">IF(H$12=0,0,H104/H$12)</f>
        <v>0</v>
      </c>
      <c r="K104" s="1"/>
      <c r="L104" s="1">
        <f t="shared" ref="L104:L120" si="47">+D104-H104</f>
        <v>0</v>
      </c>
      <c r="M104" s="1"/>
      <c r="N104" s="5">
        <f t="shared" ref="N104:N120" si="48">IF(H104=0,0,L104/H104)</f>
        <v>0</v>
      </c>
      <c r="O104" s="14"/>
      <c r="P104" s="1">
        <f>SUM(OSRRefP22_6x_0)</f>
        <v>0</v>
      </c>
      <c r="Q104" s="1"/>
      <c r="R104" s="5">
        <f t="shared" ref="R104:R120" si="49">IF(P$12=0,0,P104/P$12)</f>
        <v>0</v>
      </c>
      <c r="S104" s="1"/>
      <c r="T104" s="1">
        <f>SUM(OSRRefT22_6x_0)</f>
        <v>133.91</v>
      </c>
      <c r="U104" s="1"/>
      <c r="V104" s="5">
        <f t="shared" ref="V104:V120" si="50">IF(T$12=0,0,T104/T$12)</f>
        <v>1.5578476011589981E-4</v>
      </c>
      <c r="W104" s="1"/>
      <c r="X104" s="1">
        <f t="shared" ref="X104:X120" si="51">+P104-T104</f>
        <v>-133.91</v>
      </c>
      <c r="Y104" s="1"/>
      <c r="Z104" s="5">
        <f t="shared" ref="Z104:Z120" si="52">IF(T104=0,0,X104/T104)</f>
        <v>-1</v>
      </c>
    </row>
    <row r="105" spans="1:26" s="24" customFormat="1" hidden="1" outlineLevel="2" x14ac:dyDescent="0.25">
      <c r="A105" s="28"/>
      <c r="B105" s="11" t="str">
        <f>CONCATENATE("          ", "6277", " - ", "EMPLOYEE APPRECIATION")</f>
        <v xml:space="preserve">          6277 - EMPLOYEE APPRECIATION</v>
      </c>
      <c r="C105" s="11"/>
      <c r="D105" s="7"/>
      <c r="E105" s="2"/>
      <c r="F105" s="6">
        <f t="shared" si="45"/>
        <v>0</v>
      </c>
      <c r="G105" s="2"/>
      <c r="H105" s="7"/>
      <c r="I105" s="2"/>
      <c r="J105" s="6">
        <f t="shared" si="46"/>
        <v>0</v>
      </c>
      <c r="K105" s="2"/>
      <c r="L105" s="7">
        <f t="shared" si="47"/>
        <v>0</v>
      </c>
      <c r="M105" s="2"/>
      <c r="N105" s="6">
        <f t="shared" si="48"/>
        <v>0</v>
      </c>
      <c r="O105" s="11"/>
      <c r="P105" s="7"/>
      <c r="Q105" s="2"/>
      <c r="R105" s="6">
        <f t="shared" si="49"/>
        <v>0</v>
      </c>
      <c r="S105" s="2"/>
      <c r="T105" s="7">
        <v>133.91</v>
      </c>
      <c r="U105" s="2"/>
      <c r="V105" s="6">
        <f t="shared" si="50"/>
        <v>1.5578476011589981E-4</v>
      </c>
      <c r="W105" s="2"/>
      <c r="X105" s="7">
        <f t="shared" si="51"/>
        <v>-133.91</v>
      </c>
      <c r="Y105" s="2"/>
      <c r="Z105" s="6">
        <f t="shared" si="52"/>
        <v>-1</v>
      </c>
    </row>
    <row r="106" spans="1:26" s="27" customFormat="1" outlineLevel="1" collapsed="1" x14ac:dyDescent="0.25">
      <c r="A106" s="29"/>
      <c r="B106" s="14" t="str">
        <f>CONCATENATE("     ","Freight out/Postage                               ")</f>
        <v xml:space="preserve">     Freight out/Postage                               </v>
      </c>
      <c r="C106" s="14"/>
      <c r="D106" s="1">
        <f>SUM(OSRRefD22_7x_0)</f>
        <v>30.66</v>
      </c>
      <c r="E106" s="1"/>
      <c r="F106" s="5">
        <f t="shared" si="45"/>
        <v>2.69495437036162E-4</v>
      </c>
      <c r="G106" s="1"/>
      <c r="H106" s="1">
        <f>SUM(OSRRefH22_7x_0)</f>
        <v>0</v>
      </c>
      <c r="I106" s="1"/>
      <c r="J106" s="5">
        <f t="shared" si="46"/>
        <v>0</v>
      </c>
      <c r="K106" s="1"/>
      <c r="L106" s="1">
        <f t="shared" si="47"/>
        <v>30.66</v>
      </c>
      <c r="M106" s="1"/>
      <c r="N106" s="5">
        <f t="shared" si="48"/>
        <v>0</v>
      </c>
      <c r="O106" s="14"/>
      <c r="P106" s="1">
        <f>SUM(OSRRefP22_7x_0)</f>
        <v>81.11</v>
      </c>
      <c r="Q106" s="1"/>
      <c r="R106" s="5">
        <f t="shared" si="49"/>
        <v>1.3527186425942898E-4</v>
      </c>
      <c r="S106" s="1"/>
      <c r="T106" s="1">
        <f>SUM(OSRRefT22_7x_0)</f>
        <v>0</v>
      </c>
      <c r="U106" s="1"/>
      <c r="V106" s="5">
        <f t="shared" si="50"/>
        <v>0</v>
      </c>
      <c r="W106" s="1"/>
      <c r="X106" s="1">
        <f t="shared" si="51"/>
        <v>81.11</v>
      </c>
      <c r="Y106" s="1"/>
      <c r="Z106" s="5">
        <f t="shared" si="52"/>
        <v>0</v>
      </c>
    </row>
    <row r="107" spans="1:26" s="24" customFormat="1" hidden="1" outlineLevel="2" x14ac:dyDescent="0.25">
      <c r="A107" s="28"/>
      <c r="B107" s="11" t="str">
        <f>CONCATENATE("          ", "6305", " - ", "FREIGHT OUT")</f>
        <v xml:space="preserve">          6305 - FREIGHT OUT</v>
      </c>
      <c r="C107" s="11"/>
      <c r="D107" s="7">
        <v>30.66</v>
      </c>
      <c r="E107" s="2"/>
      <c r="F107" s="6">
        <f t="shared" si="45"/>
        <v>2.69495437036162E-4</v>
      </c>
      <c r="G107" s="2"/>
      <c r="H107" s="7"/>
      <c r="I107" s="2"/>
      <c r="J107" s="6">
        <f t="shared" si="46"/>
        <v>0</v>
      </c>
      <c r="K107" s="2"/>
      <c r="L107" s="7">
        <f t="shared" si="47"/>
        <v>30.66</v>
      </c>
      <c r="M107" s="2"/>
      <c r="N107" s="6">
        <f t="shared" si="48"/>
        <v>0</v>
      </c>
      <c r="O107" s="11"/>
      <c r="P107" s="7">
        <v>81.11</v>
      </c>
      <c r="Q107" s="2"/>
      <c r="R107" s="6">
        <f t="shared" si="49"/>
        <v>1.3527186425942898E-4</v>
      </c>
      <c r="S107" s="2"/>
      <c r="T107" s="7"/>
      <c r="U107" s="2"/>
      <c r="V107" s="6">
        <f t="shared" si="50"/>
        <v>0</v>
      </c>
      <c r="W107" s="2"/>
      <c r="X107" s="7">
        <f t="shared" si="51"/>
        <v>81.11</v>
      </c>
      <c r="Y107" s="2"/>
      <c r="Z107" s="6">
        <f t="shared" si="52"/>
        <v>0</v>
      </c>
    </row>
    <row r="108" spans="1:26" s="27" customFormat="1" outlineLevel="1" collapsed="1" x14ac:dyDescent="0.25">
      <c r="A108" s="29"/>
      <c r="B108" s="14" t="str">
        <f>CONCATENATE("     ","Insurance                                         ")</f>
        <v xml:space="preserve">     Insurance                                         </v>
      </c>
      <c r="C108" s="14"/>
      <c r="D108" s="1">
        <f>SUM(OSRRefD22_8x_0)</f>
        <v>161.18</v>
      </c>
      <c r="E108" s="1"/>
      <c r="F108" s="5">
        <f t="shared" si="45"/>
        <v>1.4167408526251986E-3</v>
      </c>
      <c r="G108" s="1"/>
      <c r="H108" s="1">
        <f>SUM(OSRRefH22_8x_0)</f>
        <v>161.18</v>
      </c>
      <c r="I108" s="1"/>
      <c r="J108" s="5">
        <f t="shared" si="46"/>
        <v>5.2875095626568874E-4</v>
      </c>
      <c r="K108" s="1"/>
      <c r="L108" s="1">
        <f t="shared" si="47"/>
        <v>0</v>
      </c>
      <c r="M108" s="1"/>
      <c r="N108" s="5">
        <f t="shared" si="48"/>
        <v>0</v>
      </c>
      <c r="O108" s="14"/>
      <c r="P108" s="1">
        <f>SUM(OSRRefP22_8x_0)</f>
        <v>483.54</v>
      </c>
      <c r="Q108" s="1"/>
      <c r="R108" s="5">
        <f t="shared" si="49"/>
        <v>8.064277801011501E-4</v>
      </c>
      <c r="S108" s="1"/>
      <c r="T108" s="1">
        <f>SUM(OSRRefT22_8x_0)</f>
        <v>483.54</v>
      </c>
      <c r="U108" s="1"/>
      <c r="V108" s="5">
        <f t="shared" si="50"/>
        <v>5.625282869572265E-4</v>
      </c>
      <c r="W108" s="1"/>
      <c r="X108" s="1">
        <f t="shared" si="51"/>
        <v>0</v>
      </c>
      <c r="Y108" s="1"/>
      <c r="Z108" s="5">
        <f t="shared" si="52"/>
        <v>0</v>
      </c>
    </row>
    <row r="109" spans="1:26" s="24" customFormat="1" hidden="1" outlineLevel="2" x14ac:dyDescent="0.25">
      <c r="A109" s="28"/>
      <c r="B109" s="11" t="str">
        <f>CONCATENATE("          ", "6314", " - ", "LIABILITY INSURANCE")</f>
        <v xml:space="preserve">          6314 - LIABILITY INSURANCE</v>
      </c>
      <c r="C109" s="11"/>
      <c r="D109" s="7">
        <v>161.18</v>
      </c>
      <c r="E109" s="2"/>
      <c r="F109" s="6">
        <f t="shared" si="45"/>
        <v>1.4167408526251986E-3</v>
      </c>
      <c r="G109" s="2"/>
      <c r="H109" s="7">
        <v>161.18</v>
      </c>
      <c r="I109" s="2"/>
      <c r="J109" s="6">
        <f t="shared" si="46"/>
        <v>5.2875095626568874E-4</v>
      </c>
      <c r="K109" s="2"/>
      <c r="L109" s="7">
        <f t="shared" si="47"/>
        <v>0</v>
      </c>
      <c r="M109" s="2"/>
      <c r="N109" s="6">
        <f t="shared" si="48"/>
        <v>0</v>
      </c>
      <c r="O109" s="11"/>
      <c r="P109" s="7">
        <v>483.54</v>
      </c>
      <c r="Q109" s="2"/>
      <c r="R109" s="6">
        <f t="shared" si="49"/>
        <v>8.064277801011501E-4</v>
      </c>
      <c r="S109" s="2"/>
      <c r="T109" s="7">
        <v>483.54</v>
      </c>
      <c r="U109" s="2"/>
      <c r="V109" s="6">
        <f t="shared" si="50"/>
        <v>5.625282869572265E-4</v>
      </c>
      <c r="W109" s="2"/>
      <c r="X109" s="7">
        <f t="shared" si="51"/>
        <v>0</v>
      </c>
      <c r="Y109" s="2"/>
      <c r="Z109" s="6">
        <f t="shared" si="52"/>
        <v>0</v>
      </c>
    </row>
    <row r="110" spans="1:26" s="27" customFormat="1" outlineLevel="1" collapsed="1" x14ac:dyDescent="0.25">
      <c r="A110" s="29"/>
      <c r="B110" s="14" t="str">
        <f>CONCATENATE("     ","Inventory Adjustment                              ")</f>
        <v xml:space="preserve">     Inventory Adjustment                              </v>
      </c>
      <c r="C110" s="14"/>
      <c r="D110" s="1">
        <f>SUM(OSRRefD22_9x_0)</f>
        <v>1100</v>
      </c>
      <c r="E110" s="1"/>
      <c r="F110" s="5">
        <f t="shared" si="45"/>
        <v>9.6687860645720217E-3</v>
      </c>
      <c r="G110" s="1"/>
      <c r="H110" s="1">
        <f>SUM(OSRRefH22_9x_0)</f>
        <v>3150</v>
      </c>
      <c r="I110" s="1"/>
      <c r="J110" s="5">
        <f t="shared" si="46"/>
        <v>1.0333574340717952E-2</v>
      </c>
      <c r="K110" s="1"/>
      <c r="L110" s="1">
        <f t="shared" si="47"/>
        <v>-2050</v>
      </c>
      <c r="M110" s="1"/>
      <c r="N110" s="5">
        <f t="shared" si="48"/>
        <v>-0.65079365079365081</v>
      </c>
      <c r="O110" s="14"/>
      <c r="P110" s="1">
        <f>SUM(OSRRefP22_9x_0)</f>
        <v>3300</v>
      </c>
      <c r="Q110" s="1"/>
      <c r="R110" s="5">
        <f t="shared" si="49"/>
        <v>5.5036019240058635E-3</v>
      </c>
      <c r="S110" s="1"/>
      <c r="T110" s="1">
        <f>SUM(OSRRefT22_9x_0)</f>
        <v>9450</v>
      </c>
      <c r="U110" s="1"/>
      <c r="V110" s="5">
        <f t="shared" si="50"/>
        <v>1.0993697133113683E-2</v>
      </c>
      <c r="W110" s="1"/>
      <c r="X110" s="1">
        <f t="shared" si="51"/>
        <v>-6150</v>
      </c>
      <c r="Y110" s="1"/>
      <c r="Z110" s="5">
        <f t="shared" si="52"/>
        <v>-0.65079365079365081</v>
      </c>
    </row>
    <row r="111" spans="1:26" s="24" customFormat="1" hidden="1" outlineLevel="2" x14ac:dyDescent="0.25">
      <c r="A111" s="28"/>
      <c r="B111" s="11" t="str">
        <f>CONCATENATE("          ", "6408", " - ", "INVENTORY ADJUSTMENT")</f>
        <v xml:space="preserve">          6408 - INVENTORY ADJUSTMENT</v>
      </c>
      <c r="C111" s="11"/>
      <c r="D111" s="7">
        <v>1100</v>
      </c>
      <c r="E111" s="2"/>
      <c r="F111" s="6">
        <f t="shared" si="45"/>
        <v>9.6687860645720217E-3</v>
      </c>
      <c r="G111" s="2"/>
      <c r="H111" s="7">
        <v>3150</v>
      </c>
      <c r="I111" s="2"/>
      <c r="J111" s="6">
        <f t="shared" si="46"/>
        <v>1.0333574340717952E-2</v>
      </c>
      <c r="K111" s="2"/>
      <c r="L111" s="7">
        <f t="shared" si="47"/>
        <v>-2050</v>
      </c>
      <c r="M111" s="2"/>
      <c r="N111" s="6">
        <f t="shared" si="48"/>
        <v>-0.65079365079365081</v>
      </c>
      <c r="O111" s="11"/>
      <c r="P111" s="7">
        <v>3300</v>
      </c>
      <c r="Q111" s="2"/>
      <c r="R111" s="6">
        <f t="shared" si="49"/>
        <v>5.5036019240058635E-3</v>
      </c>
      <c r="S111" s="2"/>
      <c r="T111" s="7">
        <v>9450</v>
      </c>
      <c r="U111" s="2"/>
      <c r="V111" s="6">
        <f t="shared" si="50"/>
        <v>1.0993697133113683E-2</v>
      </c>
      <c r="W111" s="2"/>
      <c r="X111" s="7">
        <f t="shared" si="51"/>
        <v>-6150</v>
      </c>
      <c r="Y111" s="2"/>
      <c r="Z111" s="6">
        <f t="shared" si="52"/>
        <v>-0.65079365079365081</v>
      </c>
    </row>
    <row r="112" spans="1:26" s="27" customFormat="1" outlineLevel="1" collapsed="1" x14ac:dyDescent="0.25">
      <c r="A112" s="29"/>
      <c r="B112" s="14" t="str">
        <f>CONCATENATE("     ","Professional Services                             ")</f>
        <v xml:space="preserve">     Professional Services                             </v>
      </c>
      <c r="C112" s="14"/>
      <c r="D112" s="1">
        <f>SUM(OSRRefD22_10x_0)</f>
        <v>0</v>
      </c>
      <c r="E112" s="1"/>
      <c r="F112" s="5">
        <f t="shared" si="45"/>
        <v>0</v>
      </c>
      <c r="G112" s="1"/>
      <c r="H112" s="1">
        <f>SUM(OSRRefH22_10x_0)</f>
        <v>0</v>
      </c>
      <c r="I112" s="1"/>
      <c r="J112" s="5">
        <f t="shared" si="46"/>
        <v>0</v>
      </c>
      <c r="K112" s="1"/>
      <c r="L112" s="1">
        <f t="shared" si="47"/>
        <v>0</v>
      </c>
      <c r="M112" s="1"/>
      <c r="N112" s="5">
        <f t="shared" si="48"/>
        <v>0</v>
      </c>
      <c r="O112" s="14"/>
      <c r="P112" s="1">
        <f>SUM(OSRRefP22_10x_0)</f>
        <v>0</v>
      </c>
      <c r="Q112" s="1"/>
      <c r="R112" s="5">
        <f t="shared" si="49"/>
        <v>0</v>
      </c>
      <c r="S112" s="1"/>
      <c r="T112" s="1">
        <f>SUM(OSRRefT22_10x_0)</f>
        <v>750</v>
      </c>
      <c r="U112" s="1"/>
      <c r="V112" s="5">
        <f t="shared" si="50"/>
        <v>8.7251564548521295E-4</v>
      </c>
      <c r="W112" s="1"/>
      <c r="X112" s="1">
        <f t="shared" si="51"/>
        <v>-750</v>
      </c>
      <c r="Y112" s="1"/>
      <c r="Z112" s="5">
        <f t="shared" si="52"/>
        <v>-1</v>
      </c>
    </row>
    <row r="113" spans="1:26" s="24" customFormat="1" hidden="1" outlineLevel="2" x14ac:dyDescent="0.25">
      <c r="A113" s="28"/>
      <c r="B113" s="11" t="str">
        <f>CONCATENATE("          ", "6336", " - ", "PROFESSIONAL SERVICES")</f>
        <v xml:space="preserve">          6336 - PROFESSIONAL SERVICES</v>
      </c>
      <c r="C113" s="11"/>
      <c r="D113" s="7"/>
      <c r="E113" s="2"/>
      <c r="F113" s="6">
        <f t="shared" si="45"/>
        <v>0</v>
      </c>
      <c r="G113" s="2"/>
      <c r="H113" s="7"/>
      <c r="I113" s="2"/>
      <c r="J113" s="6">
        <f t="shared" si="46"/>
        <v>0</v>
      </c>
      <c r="K113" s="2"/>
      <c r="L113" s="7">
        <f t="shared" si="47"/>
        <v>0</v>
      </c>
      <c r="M113" s="2"/>
      <c r="N113" s="6">
        <f t="shared" si="48"/>
        <v>0</v>
      </c>
      <c r="O113" s="11"/>
      <c r="P113" s="7"/>
      <c r="Q113" s="2"/>
      <c r="R113" s="6">
        <f t="shared" si="49"/>
        <v>0</v>
      </c>
      <c r="S113" s="2"/>
      <c r="T113" s="7">
        <v>750</v>
      </c>
      <c r="U113" s="2"/>
      <c r="V113" s="6">
        <f t="shared" si="50"/>
        <v>8.7251564548521295E-4</v>
      </c>
      <c r="W113" s="2"/>
      <c r="X113" s="7">
        <f t="shared" si="51"/>
        <v>-750</v>
      </c>
      <c r="Y113" s="2"/>
      <c r="Z113" s="6">
        <f t="shared" si="52"/>
        <v>-1</v>
      </c>
    </row>
    <row r="114" spans="1:26" s="27" customFormat="1" outlineLevel="1" collapsed="1" x14ac:dyDescent="0.25">
      <c r="A114" s="29"/>
      <c r="B114" s="14" t="str">
        <f>CONCATENATE("     ","Rent                                              ")</f>
        <v xml:space="preserve">     Rent                                              </v>
      </c>
      <c r="C114" s="14"/>
      <c r="D114" s="1">
        <f>SUM(OSRRefD22_11x_0)</f>
        <v>6900</v>
      </c>
      <c r="E114" s="1"/>
      <c r="F114" s="5">
        <f t="shared" si="45"/>
        <v>6.0649658041406318E-2</v>
      </c>
      <c r="G114" s="1"/>
      <c r="H114" s="1">
        <f>SUM(OSRRefH22_11x_0)</f>
        <v>6900</v>
      </c>
      <c r="I114" s="1"/>
      <c r="J114" s="5">
        <f t="shared" si="46"/>
        <v>2.2635448555858372E-2</v>
      </c>
      <c r="K114" s="1"/>
      <c r="L114" s="1">
        <f t="shared" si="47"/>
        <v>0</v>
      </c>
      <c r="M114" s="1"/>
      <c r="N114" s="5">
        <f t="shared" si="48"/>
        <v>0</v>
      </c>
      <c r="O114" s="14"/>
      <c r="P114" s="1">
        <f>SUM(OSRRefP22_11x_0)</f>
        <v>20700</v>
      </c>
      <c r="Q114" s="1"/>
      <c r="R114" s="5">
        <f t="shared" si="49"/>
        <v>3.4522593886945875E-2</v>
      </c>
      <c r="S114" s="1"/>
      <c r="T114" s="1">
        <f>SUM(OSRRefT22_11x_0)</f>
        <v>20700</v>
      </c>
      <c r="U114" s="1"/>
      <c r="V114" s="5">
        <f t="shared" si="50"/>
        <v>2.4081431815391879E-2</v>
      </c>
      <c r="W114" s="1"/>
      <c r="X114" s="1">
        <f t="shared" si="51"/>
        <v>0</v>
      </c>
      <c r="Y114" s="1"/>
      <c r="Z114" s="5">
        <f t="shared" si="52"/>
        <v>0</v>
      </c>
    </row>
    <row r="115" spans="1:26" s="24" customFormat="1" hidden="1" outlineLevel="2" x14ac:dyDescent="0.25">
      <c r="A115" s="28"/>
      <c r="B115" s="11" t="str">
        <f>CONCATENATE("          ", "6273", " - ", "RENT")</f>
        <v xml:space="preserve">          6273 - RENT</v>
      </c>
      <c r="C115" s="11"/>
      <c r="D115" s="7">
        <v>6900</v>
      </c>
      <c r="E115" s="2"/>
      <c r="F115" s="6">
        <f t="shared" si="45"/>
        <v>6.0649658041406318E-2</v>
      </c>
      <c r="G115" s="2"/>
      <c r="H115" s="7">
        <v>6900</v>
      </c>
      <c r="I115" s="2"/>
      <c r="J115" s="6">
        <f t="shared" si="46"/>
        <v>2.2635448555858372E-2</v>
      </c>
      <c r="K115" s="2"/>
      <c r="L115" s="7">
        <f t="shared" si="47"/>
        <v>0</v>
      </c>
      <c r="M115" s="2"/>
      <c r="N115" s="6">
        <f t="shared" si="48"/>
        <v>0</v>
      </c>
      <c r="O115" s="11"/>
      <c r="P115" s="7">
        <v>20700</v>
      </c>
      <c r="Q115" s="2"/>
      <c r="R115" s="6">
        <f t="shared" si="49"/>
        <v>3.4522593886945875E-2</v>
      </c>
      <c r="S115" s="2"/>
      <c r="T115" s="7">
        <v>20700</v>
      </c>
      <c r="U115" s="2"/>
      <c r="V115" s="6">
        <f t="shared" si="50"/>
        <v>2.4081431815391879E-2</v>
      </c>
      <c r="W115" s="2"/>
      <c r="X115" s="7">
        <f t="shared" si="51"/>
        <v>0</v>
      </c>
      <c r="Y115" s="2"/>
      <c r="Z115" s="6">
        <f t="shared" si="52"/>
        <v>0</v>
      </c>
    </row>
    <row r="116" spans="1:26" s="27" customFormat="1" outlineLevel="1" collapsed="1" x14ac:dyDescent="0.25">
      <c r="A116" s="29"/>
      <c r="B116" s="14" t="str">
        <f>CONCATENATE("     ","Repair and Maintenance                            ")</f>
        <v xml:space="preserve">     Repair and Maintenance                            </v>
      </c>
      <c r="C116" s="14"/>
      <c r="D116" s="1">
        <f>SUM(OSRRefD22_12x_0)</f>
        <v>48.21</v>
      </c>
      <c r="E116" s="1"/>
      <c r="F116" s="5">
        <f t="shared" si="45"/>
        <v>4.2375652379365197E-4</v>
      </c>
      <c r="G116" s="1"/>
      <c r="H116" s="1">
        <f>SUM(OSRRefH22_12x_0)</f>
        <v>0</v>
      </c>
      <c r="I116" s="1"/>
      <c r="J116" s="5">
        <f t="shared" si="46"/>
        <v>0</v>
      </c>
      <c r="K116" s="1"/>
      <c r="L116" s="1">
        <f t="shared" si="47"/>
        <v>48.21</v>
      </c>
      <c r="M116" s="1"/>
      <c r="N116" s="5">
        <f t="shared" si="48"/>
        <v>0</v>
      </c>
      <c r="O116" s="14"/>
      <c r="P116" s="1">
        <f>SUM(OSRRefP22_12x_0)</f>
        <v>48.21</v>
      </c>
      <c r="Q116" s="1"/>
      <c r="R116" s="5">
        <f t="shared" si="49"/>
        <v>8.0402620835249306E-5</v>
      </c>
      <c r="S116" s="1"/>
      <c r="T116" s="1">
        <f>SUM(OSRRefT22_12x_0)</f>
        <v>0</v>
      </c>
      <c r="U116" s="1"/>
      <c r="V116" s="5">
        <f t="shared" si="50"/>
        <v>0</v>
      </c>
      <c r="W116" s="1"/>
      <c r="X116" s="1">
        <f t="shared" si="51"/>
        <v>48.21</v>
      </c>
      <c r="Y116" s="1"/>
      <c r="Z116" s="5">
        <f t="shared" si="52"/>
        <v>0</v>
      </c>
    </row>
    <row r="117" spans="1:26" s="24" customFormat="1" hidden="1" outlineLevel="2" x14ac:dyDescent="0.25">
      <c r="A117" s="28"/>
      <c r="B117" s="11" t="str">
        <f>CONCATENATE("          ", "6373", " - ", "MAINTENANCE CONTRACTS")</f>
        <v xml:space="preserve">          6373 - MAINTENANCE CONTRACTS</v>
      </c>
      <c r="C117" s="11"/>
      <c r="D117" s="7">
        <v>48.21</v>
      </c>
      <c r="E117" s="2"/>
      <c r="F117" s="6">
        <f t="shared" si="45"/>
        <v>4.2375652379365197E-4</v>
      </c>
      <c r="G117" s="2"/>
      <c r="H117" s="7"/>
      <c r="I117" s="2"/>
      <c r="J117" s="6">
        <f t="shared" si="46"/>
        <v>0</v>
      </c>
      <c r="K117" s="2"/>
      <c r="L117" s="7">
        <f t="shared" si="47"/>
        <v>48.21</v>
      </c>
      <c r="M117" s="2"/>
      <c r="N117" s="6">
        <f t="shared" si="48"/>
        <v>0</v>
      </c>
      <c r="O117" s="11"/>
      <c r="P117" s="7">
        <v>48.21</v>
      </c>
      <c r="Q117" s="2"/>
      <c r="R117" s="6">
        <f t="shared" si="49"/>
        <v>8.0402620835249306E-5</v>
      </c>
      <c r="S117" s="2"/>
      <c r="T117" s="7"/>
      <c r="U117" s="2"/>
      <c r="V117" s="6">
        <f t="shared" si="50"/>
        <v>0</v>
      </c>
      <c r="W117" s="2"/>
      <c r="X117" s="7">
        <f t="shared" si="51"/>
        <v>48.21</v>
      </c>
      <c r="Y117" s="2"/>
      <c r="Z117" s="6">
        <f t="shared" si="52"/>
        <v>0</v>
      </c>
    </row>
    <row r="118" spans="1:26" s="27" customFormat="1" outlineLevel="1" collapsed="1" x14ac:dyDescent="0.25">
      <c r="A118" s="29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SUM(OSRRefD22_13x_0)</f>
        <v>0</v>
      </c>
      <c r="E118" s="1"/>
      <c r="F118" s="5">
        <f t="shared" si="45"/>
        <v>0</v>
      </c>
      <c r="G118" s="1"/>
      <c r="H118" s="1">
        <f>SUM(OSRRefH22_13x_0)</f>
        <v>365.38</v>
      </c>
      <c r="I118" s="1"/>
      <c r="J118" s="5">
        <f t="shared" si="46"/>
        <v>1.1986290135274683E-3</v>
      </c>
      <c r="K118" s="1"/>
      <c r="L118" s="1">
        <f t="shared" si="47"/>
        <v>-365.38</v>
      </c>
      <c r="M118" s="1"/>
      <c r="N118" s="5">
        <f t="shared" si="48"/>
        <v>-1</v>
      </c>
      <c r="O118" s="14"/>
      <c r="P118" s="1">
        <f>SUM(OSRRefP22_13x_0)</f>
        <v>7922.2</v>
      </c>
      <c r="Q118" s="1"/>
      <c r="R118" s="5">
        <f t="shared" si="49"/>
        <v>1.321231368556341E-2</v>
      </c>
      <c r="S118" s="1"/>
      <c r="T118" s="1">
        <f>SUM(OSRRefT22_13x_0)</f>
        <v>4982.82</v>
      </c>
      <c r="U118" s="1"/>
      <c r="V118" s="5">
        <f t="shared" si="50"/>
        <v>5.7967845448488381E-3</v>
      </c>
      <c r="W118" s="1"/>
      <c r="X118" s="1">
        <f t="shared" si="51"/>
        <v>2939.38</v>
      </c>
      <c r="Y118" s="1"/>
      <c r="Z118" s="5">
        <f t="shared" si="52"/>
        <v>0.58990290638634357</v>
      </c>
    </row>
    <row r="119" spans="1:26" s="24" customFormat="1" hidden="1" outlineLevel="2" x14ac:dyDescent="0.25">
      <c r="A119" s="28"/>
      <c r="B119" s="11" t="str">
        <f>CONCATENATE("          ", "6253", " - ", "ROYALTY DUE ATHLETICS-LRG")</f>
        <v xml:space="preserve">          6253 - ROYALTY DUE ATHLETICS-LRG</v>
      </c>
      <c r="C119" s="11"/>
      <c r="D119" s="7"/>
      <c r="E119" s="2"/>
      <c r="F119" s="6">
        <f t="shared" si="45"/>
        <v>0</v>
      </c>
      <c r="G119" s="2"/>
      <c r="H119" s="7"/>
      <c r="I119" s="2"/>
      <c r="J119" s="6">
        <f t="shared" si="46"/>
        <v>0</v>
      </c>
      <c r="K119" s="2"/>
      <c r="L119" s="7">
        <f t="shared" si="47"/>
        <v>0</v>
      </c>
      <c r="M119" s="2"/>
      <c r="N119" s="6">
        <f t="shared" si="48"/>
        <v>0</v>
      </c>
      <c r="O119" s="11"/>
      <c r="P119" s="7">
        <v>7922.2</v>
      </c>
      <c r="Q119" s="2"/>
      <c r="R119" s="6">
        <f t="shared" si="49"/>
        <v>1.321231368556341E-2</v>
      </c>
      <c r="S119" s="2"/>
      <c r="T119" s="7">
        <v>4366.95</v>
      </c>
      <c r="U119" s="2"/>
      <c r="V119" s="6">
        <f t="shared" si="50"/>
        <v>5.0803095974022005E-3</v>
      </c>
      <c r="W119" s="2"/>
      <c r="X119" s="7">
        <f t="shared" si="51"/>
        <v>3555.25</v>
      </c>
      <c r="Y119" s="2"/>
      <c r="Z119" s="6">
        <f t="shared" si="52"/>
        <v>0.81412656430689612</v>
      </c>
    </row>
    <row r="120" spans="1:26" s="24" customFormat="1" hidden="1" outlineLevel="2" x14ac:dyDescent="0.25">
      <c r="A120" s="28"/>
      <c r="B120" s="11" t="str">
        <f>CONCATENATE("          ", "6254", " - ", "ROYALTY &amp; COMMISSIONS")</f>
        <v xml:space="preserve">          6254 - ROYALTY &amp; COMMISSIONS</v>
      </c>
      <c r="C120" s="11"/>
      <c r="D120" s="7"/>
      <c r="E120" s="2"/>
      <c r="F120" s="6">
        <f t="shared" si="45"/>
        <v>0</v>
      </c>
      <c r="G120" s="2"/>
      <c r="H120" s="7">
        <v>365.38</v>
      </c>
      <c r="I120" s="2"/>
      <c r="J120" s="6">
        <f t="shared" si="46"/>
        <v>1.1986290135274683E-3</v>
      </c>
      <c r="K120" s="2"/>
      <c r="L120" s="7">
        <f t="shared" si="47"/>
        <v>-365.38</v>
      </c>
      <c r="M120" s="2"/>
      <c r="N120" s="6">
        <f t="shared" si="48"/>
        <v>-1</v>
      </c>
      <c r="O120" s="11"/>
      <c r="P120" s="7"/>
      <c r="Q120" s="2"/>
      <c r="R120" s="6">
        <f t="shared" si="49"/>
        <v>0</v>
      </c>
      <c r="S120" s="2"/>
      <c r="T120" s="7">
        <v>615.87</v>
      </c>
      <c r="U120" s="2"/>
      <c r="V120" s="6">
        <f t="shared" si="50"/>
        <v>7.1647494744663746E-4</v>
      </c>
      <c r="W120" s="2"/>
      <c r="X120" s="7">
        <f t="shared" si="51"/>
        <v>-615.87</v>
      </c>
      <c r="Y120" s="2"/>
      <c r="Z120" s="6">
        <f t="shared" si="52"/>
        <v>-1</v>
      </c>
    </row>
    <row r="121" spans="1:26" s="27" customFormat="1" outlineLevel="1" collapsed="1" x14ac:dyDescent="0.25">
      <c r="A121" s="29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SUM(OSRRefD22_14x_0)</f>
        <v>142.57</v>
      </c>
      <c r="E121" s="1"/>
      <c r="F121" s="5">
        <f t="shared" ref="F121:F124" si="53">IF(D$12=0,0,D121/D$12)</f>
        <v>1.2531625720236664E-3</v>
      </c>
      <c r="G121" s="1"/>
      <c r="H121" s="1">
        <f>SUM(OSRRefH22_14x_0)</f>
        <v>241.37</v>
      </c>
      <c r="I121" s="1"/>
      <c r="J121" s="5">
        <f t="shared" ref="J121:J124" si="54">IF(H$12=0,0,H121/H$12)</f>
        <v>7.9181423448225149E-4</v>
      </c>
      <c r="K121" s="1"/>
      <c r="L121" s="1">
        <f t="shared" ref="L121:L124" si="55">+D121-H121</f>
        <v>-98.800000000000011</v>
      </c>
      <c r="M121" s="1"/>
      <c r="N121" s="5">
        <f t="shared" ref="N121:N124" si="56">IF(H121=0,0,L121/H121)</f>
        <v>-0.40933007416000333</v>
      </c>
      <c r="O121" s="14"/>
      <c r="P121" s="1">
        <f>SUM(OSRRefP22_14x_0)</f>
        <v>-109.03000000000003</v>
      </c>
      <c r="Q121" s="1"/>
      <c r="R121" s="5">
        <f t="shared" ref="R121:R124" si="57">IF(P$12=0,0,P121/P$12)</f>
        <v>-1.8183567205283622E-4</v>
      </c>
      <c r="S121" s="1"/>
      <c r="T121" s="1">
        <f>SUM(OSRRefT22_14x_0)</f>
        <v>724.11</v>
      </c>
      <c r="U121" s="1"/>
      <c r="V121" s="5">
        <f t="shared" ref="V121:V124" si="58">IF(T$12=0,0,T121/T$12)</f>
        <v>8.4239640540306347E-4</v>
      </c>
      <c r="W121" s="1"/>
      <c r="X121" s="1">
        <f t="shared" ref="X121:X124" si="59">+P121-T121</f>
        <v>-833.1400000000001</v>
      </c>
      <c r="Y121" s="1"/>
      <c r="Z121" s="5">
        <f t="shared" ref="Z121:Z124" si="60">IF(T121=0,0,X121/T121)</f>
        <v>-1.1505710458355776</v>
      </c>
    </row>
    <row r="122" spans="1:26" s="24" customFormat="1" hidden="1" outlineLevel="2" x14ac:dyDescent="0.25">
      <c r="A122" s="28"/>
      <c r="B122" s="11" t="str">
        <f>CONCATENATE("          ", "6283", " - ", "PLANT SERVICE")</f>
        <v xml:space="preserve">          6283 - PLANT SERVICE</v>
      </c>
      <c r="C122" s="11"/>
      <c r="D122" s="7"/>
      <c r="E122" s="2"/>
      <c r="F122" s="6">
        <f t="shared" si="53"/>
        <v>0</v>
      </c>
      <c r="G122" s="2"/>
      <c r="H122" s="7">
        <v>59.55</v>
      </c>
      <c r="I122" s="2"/>
      <c r="J122" s="6">
        <f t="shared" si="54"/>
        <v>1.9535376253642983E-4</v>
      </c>
      <c r="K122" s="2"/>
      <c r="L122" s="7">
        <f t="shared" si="55"/>
        <v>-59.55</v>
      </c>
      <c r="M122" s="2"/>
      <c r="N122" s="6">
        <f t="shared" si="56"/>
        <v>-1</v>
      </c>
      <c r="O122" s="11"/>
      <c r="P122" s="7"/>
      <c r="Q122" s="2"/>
      <c r="R122" s="6">
        <f t="shared" si="57"/>
        <v>0</v>
      </c>
      <c r="S122" s="2"/>
      <c r="T122" s="7">
        <v>178.65</v>
      </c>
      <c r="U122" s="2"/>
      <c r="V122" s="6">
        <f t="shared" si="58"/>
        <v>2.0783322675457775E-4</v>
      </c>
      <c r="W122" s="2"/>
      <c r="X122" s="7">
        <f t="shared" si="59"/>
        <v>-178.65</v>
      </c>
      <c r="Y122" s="2"/>
      <c r="Z122" s="6">
        <f t="shared" si="60"/>
        <v>-1</v>
      </c>
    </row>
    <row r="123" spans="1:26" s="24" customFormat="1" hidden="1" outlineLevel="2" x14ac:dyDescent="0.25">
      <c r="A123" s="28"/>
      <c r="B123" s="11" t="str">
        <f>CONCATENATE("          ", "6284", " - ", "TRASH REMOVAL EXPENSE")</f>
        <v xml:space="preserve">          6284 - TRASH REMOVAL EXPENSE</v>
      </c>
      <c r="C123" s="11"/>
      <c r="D123" s="7">
        <v>142.57</v>
      </c>
      <c r="E123" s="2"/>
      <c r="F123" s="6">
        <f t="shared" si="53"/>
        <v>1.2531625720236664E-3</v>
      </c>
      <c r="G123" s="2"/>
      <c r="H123" s="7">
        <v>134.82</v>
      </c>
      <c r="I123" s="2"/>
      <c r="J123" s="6">
        <f t="shared" si="54"/>
        <v>4.4227698178272832E-4</v>
      </c>
      <c r="K123" s="2"/>
      <c r="L123" s="7">
        <f t="shared" si="55"/>
        <v>7.75</v>
      </c>
      <c r="M123" s="2"/>
      <c r="N123" s="6">
        <f t="shared" si="56"/>
        <v>5.7484052811155616E-2</v>
      </c>
      <c r="O123" s="11"/>
      <c r="P123" s="7">
        <v>427.71</v>
      </c>
      <c r="Q123" s="2"/>
      <c r="R123" s="6">
        <f t="shared" si="57"/>
        <v>7.1331684209592356E-4</v>
      </c>
      <c r="S123" s="2"/>
      <c r="T123" s="7">
        <v>404.46</v>
      </c>
      <c r="U123" s="2"/>
      <c r="V123" s="6">
        <f t="shared" si="58"/>
        <v>4.7053023729726564E-4</v>
      </c>
      <c r="W123" s="2"/>
      <c r="X123" s="7">
        <f t="shared" si="59"/>
        <v>23.25</v>
      </c>
      <c r="Y123" s="2"/>
      <c r="Z123" s="6">
        <f t="shared" si="60"/>
        <v>5.7484052811155616E-2</v>
      </c>
    </row>
    <row r="124" spans="1:26" s="24" customFormat="1" hidden="1" outlineLevel="2" x14ac:dyDescent="0.25">
      <c r="A124" s="28"/>
      <c r="B124" s="11" t="str">
        <f>CONCATENATE("          ", "6285", " - ", "JANITORIAL SERVICES")</f>
        <v xml:space="preserve">          6285 - JANITORIAL SERVICES</v>
      </c>
      <c r="C124" s="11"/>
      <c r="D124" s="7"/>
      <c r="E124" s="2"/>
      <c r="F124" s="6">
        <f t="shared" si="53"/>
        <v>0</v>
      </c>
      <c r="G124" s="2"/>
      <c r="H124" s="7">
        <v>47</v>
      </c>
      <c r="I124" s="2"/>
      <c r="J124" s="6">
        <f t="shared" si="54"/>
        <v>1.5418349016309326E-4</v>
      </c>
      <c r="K124" s="2"/>
      <c r="L124" s="7">
        <f t="shared" si="55"/>
        <v>-47</v>
      </c>
      <c r="M124" s="2"/>
      <c r="N124" s="6">
        <f t="shared" si="56"/>
        <v>-1</v>
      </c>
      <c r="O124" s="11"/>
      <c r="P124" s="7">
        <v>-536.74</v>
      </c>
      <c r="Q124" s="2"/>
      <c r="R124" s="6">
        <f t="shared" si="57"/>
        <v>-8.9515251414875978E-4</v>
      </c>
      <c r="S124" s="2"/>
      <c r="T124" s="7">
        <v>141</v>
      </c>
      <c r="U124" s="2"/>
      <c r="V124" s="6">
        <f t="shared" si="58"/>
        <v>1.6403294135122003E-4</v>
      </c>
      <c r="W124" s="2"/>
      <c r="X124" s="7">
        <f t="shared" si="59"/>
        <v>-677.74</v>
      </c>
      <c r="Y124" s="2"/>
      <c r="Z124" s="6">
        <f t="shared" si="60"/>
        <v>-4.8066666666666666</v>
      </c>
    </row>
    <row r="125" spans="1:26" s="27" customFormat="1" outlineLevel="1" collapsed="1" x14ac:dyDescent="0.25">
      <c r="A125" s="29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SUM(OSRRefD22_15x_0)</f>
        <v>75.73</v>
      </c>
      <c r="E125" s="1"/>
      <c r="F125" s="5">
        <f t="shared" ref="F125:F132" si="61">IF(D$12=0,0,D125/D$12)</f>
        <v>6.656519715182175E-4</v>
      </c>
      <c r="G125" s="1"/>
      <c r="H125" s="1">
        <f>SUM(OSRRefH22_15x_0)</f>
        <v>296.64</v>
      </c>
      <c r="I125" s="1"/>
      <c r="J125" s="5">
        <f t="shared" ref="J125:J132" si="62">IF(H$12=0,0,H125/H$12)</f>
        <v>9.7312745791446769E-4</v>
      </c>
      <c r="K125" s="1"/>
      <c r="L125" s="1">
        <f t="shared" ref="L125:L132" si="63">+D125-H125</f>
        <v>-220.90999999999997</v>
      </c>
      <c r="M125" s="1"/>
      <c r="N125" s="5">
        <f t="shared" ref="N125:N132" si="64">IF(H125=0,0,L125/H125)</f>
        <v>-0.74470738942826309</v>
      </c>
      <c r="O125" s="14"/>
      <c r="P125" s="1">
        <f>SUM(OSRRefP22_15x_0)</f>
        <v>150.72999999999999</v>
      </c>
      <c r="Q125" s="1"/>
      <c r="R125" s="5">
        <f t="shared" ref="R125:R132" si="65">IF(P$12=0,0,P125/P$12)</f>
        <v>2.5138118727436481E-4</v>
      </c>
      <c r="S125" s="1"/>
      <c r="T125" s="1">
        <f>SUM(OSRRefT22_15x_0)</f>
        <v>310.06</v>
      </c>
      <c r="U125" s="1"/>
      <c r="V125" s="5">
        <f t="shared" ref="V125:V132" si="66">IF(T$12=0,0,T125/T$12)</f>
        <v>3.6070960138552685E-4</v>
      </c>
      <c r="W125" s="1"/>
      <c r="X125" s="1">
        <f t="shared" ref="X125:X132" si="67">+P125-T125</f>
        <v>-159.33000000000001</v>
      </c>
      <c r="Y125" s="1"/>
      <c r="Z125" s="5">
        <f t="shared" ref="Z125:Z132" si="68">IF(T125=0,0,X125/T125)</f>
        <v>-0.51386828355802106</v>
      </c>
    </row>
    <row r="126" spans="1:26" s="24" customFormat="1" hidden="1" outlineLevel="2" x14ac:dyDescent="0.25">
      <c r="A126" s="28"/>
      <c r="B126" s="11" t="str">
        <f>CONCATENATE("          ", "6275", " - ", "SUBSCRIPTIONS")</f>
        <v xml:space="preserve">          6275 - SUBSCRIPTIONS</v>
      </c>
      <c r="C126" s="11"/>
      <c r="D126" s="7">
        <v>75.73</v>
      </c>
      <c r="E126" s="2"/>
      <c r="F126" s="6">
        <f t="shared" si="61"/>
        <v>6.656519715182175E-4</v>
      </c>
      <c r="G126" s="2"/>
      <c r="H126" s="7">
        <v>296.64</v>
      </c>
      <c r="I126" s="2"/>
      <c r="J126" s="6">
        <f t="shared" si="62"/>
        <v>9.7312745791446769E-4</v>
      </c>
      <c r="K126" s="2"/>
      <c r="L126" s="7">
        <f t="shared" si="63"/>
        <v>-220.90999999999997</v>
      </c>
      <c r="M126" s="2"/>
      <c r="N126" s="6">
        <f t="shared" si="64"/>
        <v>-0.74470738942826309</v>
      </c>
      <c r="O126" s="11"/>
      <c r="P126" s="7">
        <v>150.72999999999999</v>
      </c>
      <c r="Q126" s="2"/>
      <c r="R126" s="6">
        <f t="shared" si="65"/>
        <v>2.5138118727436481E-4</v>
      </c>
      <c r="S126" s="2"/>
      <c r="T126" s="7">
        <v>310.06</v>
      </c>
      <c r="U126" s="2"/>
      <c r="V126" s="6">
        <f t="shared" si="66"/>
        <v>3.6070960138552685E-4</v>
      </c>
      <c r="W126" s="2"/>
      <c r="X126" s="7">
        <f t="shared" si="67"/>
        <v>-159.33000000000001</v>
      </c>
      <c r="Y126" s="2"/>
      <c r="Z126" s="6">
        <f t="shared" si="68"/>
        <v>-0.51386828355802106</v>
      </c>
    </row>
    <row r="127" spans="1:26" s="27" customFormat="1" outlineLevel="1" collapsed="1" x14ac:dyDescent="0.25">
      <c r="A127" s="29"/>
      <c r="B127" s="14" t="str">
        <f>CONCATENATE("     ","Supplies                                          ")</f>
        <v xml:space="preserve">     Supplies                                          </v>
      </c>
      <c r="C127" s="14"/>
      <c r="D127" s="1">
        <f>SUM(OSRRefD22_16x_0)</f>
        <v>297.52999999999997</v>
      </c>
      <c r="E127" s="1"/>
      <c r="F127" s="5">
        <f t="shared" si="61"/>
        <v>2.6152308343564668E-3</v>
      </c>
      <c r="G127" s="1"/>
      <c r="H127" s="1">
        <f>SUM(OSRRefH22_16x_0)</f>
        <v>866.06</v>
      </c>
      <c r="I127" s="1"/>
      <c r="J127" s="5">
        <f t="shared" si="62"/>
        <v>2.8411096487372029E-3</v>
      </c>
      <c r="K127" s="1"/>
      <c r="L127" s="1">
        <f t="shared" si="63"/>
        <v>-568.53</v>
      </c>
      <c r="M127" s="1"/>
      <c r="N127" s="5">
        <f t="shared" si="64"/>
        <v>-0.6564556728171258</v>
      </c>
      <c r="O127" s="14"/>
      <c r="P127" s="1">
        <f>SUM(OSRRefP22_16x_0)</f>
        <v>1509.7099999999998</v>
      </c>
      <c r="Q127" s="1"/>
      <c r="R127" s="5">
        <f t="shared" si="65"/>
        <v>2.5178311699063306E-3</v>
      </c>
      <c r="S127" s="1"/>
      <c r="T127" s="1">
        <f>SUM(OSRRefT22_16x_0)</f>
        <v>2721.1400000000003</v>
      </c>
      <c r="U127" s="1"/>
      <c r="V127" s="5">
        <f t="shared" si="66"/>
        <v>3.1656496314075105E-3</v>
      </c>
      <c r="W127" s="1"/>
      <c r="X127" s="1">
        <f t="shared" si="67"/>
        <v>-1211.4300000000005</v>
      </c>
      <c r="Y127" s="1"/>
      <c r="Z127" s="5">
        <f t="shared" si="68"/>
        <v>-0.44519208860992099</v>
      </c>
    </row>
    <row r="128" spans="1:26" s="24" customFormat="1" hidden="1" outlineLevel="2" x14ac:dyDescent="0.25">
      <c r="A128" s="28"/>
      <c r="B128" s="11" t="str">
        <f>CONCATENATE("          ", "6234", " - ", "EXPENDABLE SUPPLIES &amp; EQUIPMEN")</f>
        <v xml:space="preserve">          6234 - EXPENDABLE SUPPLIES &amp; EQUIPMEN</v>
      </c>
      <c r="C128" s="11"/>
      <c r="D128" s="7"/>
      <c r="E128" s="2"/>
      <c r="F128" s="6">
        <f t="shared" si="61"/>
        <v>0</v>
      </c>
      <c r="G128" s="2"/>
      <c r="H128" s="7"/>
      <c r="I128" s="2"/>
      <c r="J128" s="6">
        <f t="shared" si="62"/>
        <v>0</v>
      </c>
      <c r="K128" s="2"/>
      <c r="L128" s="7">
        <f t="shared" si="63"/>
        <v>0</v>
      </c>
      <c r="M128" s="2"/>
      <c r="N128" s="6">
        <f t="shared" si="64"/>
        <v>0</v>
      </c>
      <c r="O128" s="11"/>
      <c r="P128" s="7"/>
      <c r="Q128" s="2"/>
      <c r="R128" s="6">
        <f t="shared" si="65"/>
        <v>0</v>
      </c>
      <c r="S128" s="2"/>
      <c r="T128" s="7">
        <v>-15.95</v>
      </c>
      <c r="U128" s="2"/>
      <c r="V128" s="6">
        <f t="shared" si="66"/>
        <v>-1.855549939398553E-5</v>
      </c>
      <c r="W128" s="2"/>
      <c r="X128" s="7">
        <f t="shared" si="67"/>
        <v>15.95</v>
      </c>
      <c r="Y128" s="2"/>
      <c r="Z128" s="6">
        <f t="shared" si="68"/>
        <v>-1</v>
      </c>
    </row>
    <row r="129" spans="1:26" s="24" customFormat="1" hidden="1" outlineLevel="2" x14ac:dyDescent="0.25">
      <c r="A129" s="28"/>
      <c r="B129" s="11" t="str">
        <f>CONCATENATE("          ", "6235", " - ", "COVID-19 EXPENSES")</f>
        <v xml:space="preserve">          6235 - COVID-19 EXPENSES</v>
      </c>
      <c r="C129" s="11"/>
      <c r="D129" s="7">
        <v>265.7</v>
      </c>
      <c r="E129" s="2"/>
      <c r="F129" s="6">
        <f t="shared" si="61"/>
        <v>2.3354513248698056E-3</v>
      </c>
      <c r="G129" s="2"/>
      <c r="H129" s="7"/>
      <c r="I129" s="2"/>
      <c r="J129" s="6">
        <f t="shared" si="62"/>
        <v>0</v>
      </c>
      <c r="K129" s="2"/>
      <c r="L129" s="7">
        <f t="shared" si="63"/>
        <v>265.7</v>
      </c>
      <c r="M129" s="2"/>
      <c r="N129" s="6">
        <f t="shared" si="64"/>
        <v>0</v>
      </c>
      <c r="O129" s="11"/>
      <c r="P129" s="7">
        <v>1227.08</v>
      </c>
      <c r="Q129" s="2"/>
      <c r="R129" s="6">
        <f t="shared" si="65"/>
        <v>2.0464726814876104E-3</v>
      </c>
      <c r="S129" s="2"/>
      <c r="T129" s="7"/>
      <c r="U129" s="2"/>
      <c r="V129" s="6">
        <f t="shared" si="66"/>
        <v>0</v>
      </c>
      <c r="W129" s="2"/>
      <c r="X129" s="7">
        <f t="shared" si="67"/>
        <v>1227.08</v>
      </c>
      <c r="Y129" s="2"/>
      <c r="Z129" s="6">
        <f t="shared" si="68"/>
        <v>0</v>
      </c>
    </row>
    <row r="130" spans="1:26" s="24" customFormat="1" hidden="1" outlineLevel="2" x14ac:dyDescent="0.25">
      <c r="A130" s="28"/>
      <c r="B130" s="11" t="str">
        <f>CONCATENATE("          ", "6237", " - ", "JANITORIAL SUPPLIES")</f>
        <v xml:space="preserve">          6237 - JANITORIAL SUPPLIES</v>
      </c>
      <c r="C130" s="11"/>
      <c r="D130" s="7"/>
      <c r="E130" s="2"/>
      <c r="F130" s="6">
        <f t="shared" si="61"/>
        <v>0</v>
      </c>
      <c r="G130" s="2"/>
      <c r="H130" s="7">
        <v>204.66</v>
      </c>
      <c r="I130" s="2"/>
      <c r="J130" s="6">
        <f t="shared" si="62"/>
        <v>6.7138708716550351E-4</v>
      </c>
      <c r="K130" s="2"/>
      <c r="L130" s="7">
        <f t="shared" si="63"/>
        <v>-204.66</v>
      </c>
      <c r="M130" s="2"/>
      <c r="N130" s="6">
        <f t="shared" si="64"/>
        <v>-1</v>
      </c>
      <c r="O130" s="11"/>
      <c r="P130" s="7">
        <v>139.31</v>
      </c>
      <c r="Q130" s="2"/>
      <c r="R130" s="6">
        <f t="shared" si="65"/>
        <v>2.3233538910098694E-4</v>
      </c>
      <c r="S130" s="2"/>
      <c r="T130" s="7">
        <v>204.66</v>
      </c>
      <c r="U130" s="2"/>
      <c r="V130" s="6">
        <f t="shared" si="66"/>
        <v>2.3809206934000493E-4</v>
      </c>
      <c r="W130" s="2"/>
      <c r="X130" s="7">
        <f t="shared" si="67"/>
        <v>-65.349999999999994</v>
      </c>
      <c r="Y130" s="2"/>
      <c r="Z130" s="6">
        <f t="shared" si="68"/>
        <v>-0.3193100752467507</v>
      </c>
    </row>
    <row r="131" spans="1:26" s="24" customFormat="1" hidden="1" outlineLevel="2" x14ac:dyDescent="0.25">
      <c r="A131" s="28"/>
      <c r="B131" s="11" t="str">
        <f>CONCATENATE("          ", "6241", " - ", "OFFICE EXPENSE")</f>
        <v xml:space="preserve">          6241 - OFFICE EXPENSE</v>
      </c>
      <c r="C131" s="11"/>
      <c r="D131" s="7">
        <v>31.83</v>
      </c>
      <c r="E131" s="2"/>
      <c r="F131" s="6">
        <f t="shared" si="61"/>
        <v>2.7977950948666132E-4</v>
      </c>
      <c r="G131" s="2"/>
      <c r="H131" s="7">
        <v>508.76</v>
      </c>
      <c r="I131" s="2"/>
      <c r="J131" s="6">
        <f t="shared" si="62"/>
        <v>1.6689870735186239E-3</v>
      </c>
      <c r="K131" s="2"/>
      <c r="L131" s="7">
        <f t="shared" si="63"/>
        <v>-476.93</v>
      </c>
      <c r="M131" s="2"/>
      <c r="N131" s="6">
        <f t="shared" si="64"/>
        <v>-0.9374361191917604</v>
      </c>
      <c r="O131" s="11"/>
      <c r="P131" s="7">
        <v>143.32</v>
      </c>
      <c r="Q131" s="2"/>
      <c r="R131" s="6">
        <f t="shared" si="65"/>
        <v>2.3902309931773345E-4</v>
      </c>
      <c r="S131" s="2"/>
      <c r="T131" s="7">
        <v>2352.8000000000002</v>
      </c>
      <c r="U131" s="2"/>
      <c r="V131" s="6">
        <f t="shared" si="66"/>
        <v>2.7371397475968126E-3</v>
      </c>
      <c r="W131" s="2"/>
      <c r="X131" s="7">
        <f t="shared" si="67"/>
        <v>-2209.48</v>
      </c>
      <c r="Y131" s="2"/>
      <c r="Z131" s="6">
        <f t="shared" si="68"/>
        <v>-0.93908534512070718</v>
      </c>
    </row>
    <row r="132" spans="1:26" s="24" customFormat="1" hidden="1" outlineLevel="2" x14ac:dyDescent="0.25">
      <c r="A132" s="28"/>
      <c r="B132" s="11" t="str">
        <f>CONCATENATE("          ", "6247", " - ", "STORE SUPPLIES")</f>
        <v xml:space="preserve">          6247 - STORE SUPPLIES</v>
      </c>
      <c r="C132" s="11"/>
      <c r="D132" s="7"/>
      <c r="E132" s="2"/>
      <c r="F132" s="6">
        <f t="shared" si="61"/>
        <v>0</v>
      </c>
      <c r="G132" s="2"/>
      <c r="H132" s="7">
        <v>152.63999999999999</v>
      </c>
      <c r="I132" s="2"/>
      <c r="J132" s="6">
        <f t="shared" si="62"/>
        <v>5.0073548805307558E-4</v>
      </c>
      <c r="K132" s="2"/>
      <c r="L132" s="7">
        <f t="shared" si="63"/>
        <v>-152.63999999999999</v>
      </c>
      <c r="M132" s="2"/>
      <c r="N132" s="6">
        <f t="shared" si="64"/>
        <v>-1</v>
      </c>
      <c r="O132" s="11"/>
      <c r="P132" s="7"/>
      <c r="Q132" s="2"/>
      <c r="R132" s="6">
        <f t="shared" si="65"/>
        <v>0</v>
      </c>
      <c r="S132" s="2"/>
      <c r="T132" s="7">
        <v>179.63</v>
      </c>
      <c r="U132" s="2"/>
      <c r="V132" s="6">
        <f t="shared" si="66"/>
        <v>2.0897331386467841E-4</v>
      </c>
      <c r="W132" s="2"/>
      <c r="X132" s="7">
        <f t="shared" si="67"/>
        <v>-179.63</v>
      </c>
      <c r="Y132" s="2"/>
      <c r="Z132" s="6">
        <f t="shared" si="68"/>
        <v>-1</v>
      </c>
    </row>
    <row r="133" spans="1:26" s="27" customFormat="1" outlineLevel="1" collapsed="1" x14ac:dyDescent="0.25">
      <c r="A133" s="29"/>
      <c r="B133" s="14" t="str">
        <f>CONCATENATE("     ","Telephone/Data Lines                              ")</f>
        <v xml:space="preserve">     Telephone/Data Lines                              </v>
      </c>
      <c r="C133" s="14"/>
      <c r="D133" s="1">
        <f>SUM(OSRRefD22_17x_0)</f>
        <v>1261.48</v>
      </c>
      <c r="E133" s="1"/>
      <c r="F133" s="5">
        <f t="shared" ref="F133:F140" si="69">IF(D$12=0,0,D133/D$12)</f>
        <v>1.1088163858851195E-2</v>
      </c>
      <c r="G133" s="1"/>
      <c r="H133" s="1">
        <f>SUM(OSRRefH22_17x_0)</f>
        <v>2664.97</v>
      </c>
      <c r="I133" s="1"/>
      <c r="J133" s="5">
        <f t="shared" ref="J133:J140" si="70">IF(H$12=0,0,H133/H$12)</f>
        <v>8.7424335272327357E-3</v>
      </c>
      <c r="K133" s="1"/>
      <c r="L133" s="1">
        <f t="shared" ref="L133:L140" si="71">+D133-H133</f>
        <v>-1403.4899999999998</v>
      </c>
      <c r="M133" s="1"/>
      <c r="N133" s="5">
        <f t="shared" ref="N133:N140" si="72">IF(H133=0,0,L133/H133)</f>
        <v>-0.52664382713501456</v>
      </c>
      <c r="O133" s="14"/>
      <c r="P133" s="1">
        <f>SUM(OSRRefP22_17x_0)</f>
        <v>2817.06</v>
      </c>
      <c r="Q133" s="1"/>
      <c r="R133" s="5">
        <f t="shared" ref="R133:R140" si="73">IF(P$12=0,0,P133/P$12)</f>
        <v>4.6981747987999874E-3</v>
      </c>
      <c r="S133" s="1"/>
      <c r="T133" s="1">
        <f>SUM(OSRRefT22_17x_0)</f>
        <v>4025.42</v>
      </c>
      <c r="U133" s="1"/>
      <c r="V133" s="5">
        <f t="shared" ref="V133:V140" si="74">IF(T$12=0,0,T133/T$12)</f>
        <v>4.6829892395321149E-3</v>
      </c>
      <c r="W133" s="1"/>
      <c r="X133" s="1">
        <f t="shared" ref="X133:X140" si="75">+P133-T133</f>
        <v>-1208.3600000000001</v>
      </c>
      <c r="Y133" s="1"/>
      <c r="Z133" s="5">
        <f t="shared" ref="Z133:Z140" si="76">IF(T133=0,0,X133/T133)</f>
        <v>-0.30018234122153714</v>
      </c>
    </row>
    <row r="134" spans="1:26" s="24" customFormat="1" hidden="1" outlineLevel="2" x14ac:dyDescent="0.25">
      <c r="A134" s="28"/>
      <c r="B134" s="11" t="str">
        <f>CONCATENATE("          ", "6309", " - ", "TELEPHONE")</f>
        <v xml:space="preserve">          6309 - TELEPHONE</v>
      </c>
      <c r="C134" s="11"/>
      <c r="D134" s="7">
        <v>1261.48</v>
      </c>
      <c r="E134" s="2"/>
      <c r="F134" s="6">
        <f t="shared" si="69"/>
        <v>1.1088163858851195E-2</v>
      </c>
      <c r="G134" s="2"/>
      <c r="H134" s="7">
        <v>2664.97</v>
      </c>
      <c r="I134" s="2"/>
      <c r="J134" s="6">
        <f t="shared" si="70"/>
        <v>8.7424335272327357E-3</v>
      </c>
      <c r="K134" s="2"/>
      <c r="L134" s="7">
        <f t="shared" si="71"/>
        <v>-1403.4899999999998</v>
      </c>
      <c r="M134" s="2"/>
      <c r="N134" s="6">
        <f t="shared" si="72"/>
        <v>-0.52664382713501456</v>
      </c>
      <c r="O134" s="11"/>
      <c r="P134" s="7">
        <v>2817.06</v>
      </c>
      <c r="Q134" s="2"/>
      <c r="R134" s="6">
        <f t="shared" si="73"/>
        <v>4.6981747987999874E-3</v>
      </c>
      <c r="S134" s="2"/>
      <c r="T134" s="7">
        <v>4025.42</v>
      </c>
      <c r="U134" s="2"/>
      <c r="V134" s="6">
        <f t="shared" si="74"/>
        <v>4.6829892395321149E-3</v>
      </c>
      <c r="W134" s="2"/>
      <c r="X134" s="7">
        <f t="shared" si="75"/>
        <v>-1208.3600000000001</v>
      </c>
      <c r="Y134" s="2"/>
      <c r="Z134" s="6">
        <f t="shared" si="76"/>
        <v>-0.30018234122153714</v>
      </c>
    </row>
    <row r="135" spans="1:26" s="27" customFormat="1" outlineLevel="1" collapsed="1" x14ac:dyDescent="0.25">
      <c r="A135" s="29"/>
      <c r="B135" s="14" t="str">
        <f>CONCATENATE("     ","Training                                          ")</f>
        <v xml:space="preserve">     Training                                          </v>
      </c>
      <c r="C135" s="14"/>
      <c r="D135" s="1">
        <f>SUM(OSRRefD22_18x_0)</f>
        <v>0</v>
      </c>
      <c r="E135" s="1"/>
      <c r="F135" s="5">
        <f t="shared" si="69"/>
        <v>0</v>
      </c>
      <c r="G135" s="1"/>
      <c r="H135" s="1">
        <f>SUM(OSRRefH22_18x_0)</f>
        <v>0</v>
      </c>
      <c r="I135" s="1"/>
      <c r="J135" s="5">
        <f t="shared" si="70"/>
        <v>0</v>
      </c>
      <c r="K135" s="1"/>
      <c r="L135" s="1">
        <f t="shared" si="71"/>
        <v>0</v>
      </c>
      <c r="M135" s="1"/>
      <c r="N135" s="5">
        <f t="shared" si="72"/>
        <v>0</v>
      </c>
      <c r="O135" s="14"/>
      <c r="P135" s="1">
        <f>SUM(OSRRefP22_18x_0)</f>
        <v>0</v>
      </c>
      <c r="Q135" s="1"/>
      <c r="R135" s="5">
        <f t="shared" si="73"/>
        <v>0</v>
      </c>
      <c r="S135" s="1"/>
      <c r="T135" s="1">
        <f>SUM(OSRRefT22_18x_0)</f>
        <v>103.5</v>
      </c>
      <c r="U135" s="1"/>
      <c r="V135" s="5">
        <f t="shared" si="74"/>
        <v>1.204071590769594E-4</v>
      </c>
      <c r="W135" s="1"/>
      <c r="X135" s="1">
        <f t="shared" si="75"/>
        <v>-103.5</v>
      </c>
      <c r="Y135" s="1"/>
      <c r="Z135" s="5">
        <f t="shared" si="76"/>
        <v>-1</v>
      </c>
    </row>
    <row r="136" spans="1:26" s="24" customFormat="1" hidden="1" outlineLevel="2" x14ac:dyDescent="0.25">
      <c r="A136" s="28"/>
      <c r="B136" s="11" t="str">
        <f>CONCATENATE("          ", "6376", " - ", "TRAINING")</f>
        <v xml:space="preserve">          6376 - TRAINING</v>
      </c>
      <c r="C136" s="11"/>
      <c r="D136" s="7"/>
      <c r="E136" s="2"/>
      <c r="F136" s="6">
        <f t="shared" si="69"/>
        <v>0</v>
      </c>
      <c r="G136" s="2"/>
      <c r="H136" s="7"/>
      <c r="I136" s="2"/>
      <c r="J136" s="6">
        <f t="shared" si="70"/>
        <v>0</v>
      </c>
      <c r="K136" s="2"/>
      <c r="L136" s="7">
        <f t="shared" si="71"/>
        <v>0</v>
      </c>
      <c r="M136" s="2"/>
      <c r="N136" s="6">
        <f t="shared" si="72"/>
        <v>0</v>
      </c>
      <c r="O136" s="11"/>
      <c r="P136" s="7"/>
      <c r="Q136" s="2"/>
      <c r="R136" s="6">
        <f t="shared" si="73"/>
        <v>0</v>
      </c>
      <c r="S136" s="2"/>
      <c r="T136" s="7">
        <v>103.5</v>
      </c>
      <c r="U136" s="2"/>
      <c r="V136" s="6">
        <f t="shared" si="74"/>
        <v>1.204071590769594E-4</v>
      </c>
      <c r="W136" s="2"/>
      <c r="X136" s="7">
        <f t="shared" si="75"/>
        <v>-103.5</v>
      </c>
      <c r="Y136" s="2"/>
      <c r="Z136" s="6">
        <f t="shared" si="76"/>
        <v>-1</v>
      </c>
    </row>
    <row r="137" spans="1:26" s="27" customFormat="1" outlineLevel="1" collapsed="1" x14ac:dyDescent="0.25">
      <c r="A137" s="29"/>
      <c r="B137" s="14" t="str">
        <f>CONCATENATE("     ","Travel                                            ")</f>
        <v xml:space="preserve">     Travel                                            </v>
      </c>
      <c r="C137" s="14"/>
      <c r="D137" s="1">
        <f>SUM(OSRRefD22_19x_0)</f>
        <v>0</v>
      </c>
      <c r="E137" s="1"/>
      <c r="F137" s="5">
        <f t="shared" si="69"/>
        <v>0</v>
      </c>
      <c r="G137" s="1"/>
      <c r="H137" s="1">
        <f>SUM(OSRRefH22_19x_0)</f>
        <v>33.43</v>
      </c>
      <c r="I137" s="1"/>
      <c r="J137" s="5">
        <f t="shared" si="70"/>
        <v>1.0966710800323845E-4</v>
      </c>
      <c r="K137" s="1"/>
      <c r="L137" s="1">
        <f t="shared" si="71"/>
        <v>-33.43</v>
      </c>
      <c r="M137" s="1"/>
      <c r="N137" s="5">
        <f t="shared" si="72"/>
        <v>-1</v>
      </c>
      <c r="O137" s="14"/>
      <c r="P137" s="1">
        <f>SUM(OSRRefP22_19x_0)</f>
        <v>240.92</v>
      </c>
      <c r="Q137" s="1"/>
      <c r="R137" s="5">
        <f t="shared" si="73"/>
        <v>4.0179629561560383E-4</v>
      </c>
      <c r="S137" s="1"/>
      <c r="T137" s="1">
        <f>SUM(OSRRefT22_19x_0)</f>
        <v>102.1</v>
      </c>
      <c r="U137" s="1"/>
      <c r="V137" s="5">
        <f t="shared" si="74"/>
        <v>1.1877846320538699E-4</v>
      </c>
      <c r="W137" s="1"/>
      <c r="X137" s="1">
        <f t="shared" si="75"/>
        <v>138.82</v>
      </c>
      <c r="Y137" s="1"/>
      <c r="Z137" s="5">
        <f t="shared" si="76"/>
        <v>1.3596474045053868</v>
      </c>
    </row>
    <row r="138" spans="1:26" s="24" customFormat="1" hidden="1" outlineLevel="2" x14ac:dyDescent="0.25">
      <c r="A138" s="28"/>
      <c r="B138" s="11" t="str">
        <f>CONCATENATE("          ", "6294", " - ", "TRAVEL OPERATIONAL")</f>
        <v xml:space="preserve">          6294 - TRAVEL OPERATIONAL</v>
      </c>
      <c r="C138" s="11"/>
      <c r="D138" s="7"/>
      <c r="E138" s="2"/>
      <c r="F138" s="6">
        <f t="shared" si="69"/>
        <v>0</v>
      </c>
      <c r="G138" s="2"/>
      <c r="H138" s="7">
        <v>33.43</v>
      </c>
      <c r="I138" s="2"/>
      <c r="J138" s="6">
        <f t="shared" si="70"/>
        <v>1.0966710800323845E-4</v>
      </c>
      <c r="K138" s="2"/>
      <c r="L138" s="7">
        <f t="shared" si="71"/>
        <v>-33.43</v>
      </c>
      <c r="M138" s="2"/>
      <c r="N138" s="6">
        <f t="shared" si="72"/>
        <v>-1</v>
      </c>
      <c r="O138" s="11"/>
      <c r="P138" s="7">
        <v>240.92</v>
      </c>
      <c r="Q138" s="2"/>
      <c r="R138" s="6">
        <f t="shared" si="73"/>
        <v>4.0179629561560383E-4</v>
      </c>
      <c r="S138" s="2"/>
      <c r="T138" s="7">
        <v>102.1</v>
      </c>
      <c r="U138" s="2"/>
      <c r="V138" s="6">
        <f t="shared" si="74"/>
        <v>1.1877846320538699E-4</v>
      </c>
      <c r="W138" s="2"/>
      <c r="X138" s="7">
        <f t="shared" si="75"/>
        <v>138.82</v>
      </c>
      <c r="Y138" s="2"/>
      <c r="Z138" s="6">
        <f t="shared" si="76"/>
        <v>1.3596474045053868</v>
      </c>
    </row>
    <row r="139" spans="1:26" s="27" customFormat="1" outlineLevel="1" collapsed="1" x14ac:dyDescent="0.25">
      <c r="A139" s="29"/>
      <c r="B139" s="14" t="str">
        <f>CONCATENATE("     ","Utilities                                         ")</f>
        <v xml:space="preserve">     Utilities                                         </v>
      </c>
      <c r="C139" s="14"/>
      <c r="D139" s="1">
        <f>SUM(OSRRefD22_20x_0)</f>
        <v>28.01</v>
      </c>
      <c r="E139" s="1"/>
      <c r="F139" s="5">
        <f t="shared" si="69"/>
        <v>2.4620245242605669E-4</v>
      </c>
      <c r="G139" s="1"/>
      <c r="H139" s="1">
        <f>SUM(OSRRefH22_20x_0)</f>
        <v>55.02</v>
      </c>
      <c r="I139" s="1"/>
      <c r="J139" s="5">
        <f t="shared" si="70"/>
        <v>1.8049309848454023E-4</v>
      </c>
      <c r="K139" s="1"/>
      <c r="L139" s="1">
        <f t="shared" si="71"/>
        <v>-27.01</v>
      </c>
      <c r="M139" s="1"/>
      <c r="N139" s="5">
        <f t="shared" si="72"/>
        <v>-0.49091239549254817</v>
      </c>
      <c r="O139" s="14"/>
      <c r="P139" s="1">
        <f>SUM(OSRRefP22_20x_0)</f>
        <v>68.36</v>
      </c>
      <c r="Q139" s="1"/>
      <c r="R139" s="5">
        <f t="shared" si="73"/>
        <v>1.1400794773486087E-4</v>
      </c>
      <c r="S139" s="1"/>
      <c r="T139" s="1">
        <f>SUM(OSRRefT22_20x_0)</f>
        <v>151.80000000000001</v>
      </c>
      <c r="U139" s="1"/>
      <c r="V139" s="5">
        <f t="shared" si="74"/>
        <v>1.7659716664620713E-4</v>
      </c>
      <c r="W139" s="1"/>
      <c r="X139" s="1">
        <f t="shared" si="75"/>
        <v>-83.440000000000012</v>
      </c>
      <c r="Y139" s="1"/>
      <c r="Z139" s="5">
        <f t="shared" si="76"/>
        <v>-0.54967061923583671</v>
      </c>
    </row>
    <row r="140" spans="1:26" s="24" customFormat="1" hidden="1" outlineLevel="2" x14ac:dyDescent="0.25">
      <c r="A140" s="28"/>
      <c r="B140" s="11" t="str">
        <f>CONCATENATE("          ", "6274", " - ", "UTILITIES")</f>
        <v xml:space="preserve">          6274 - UTILITIES</v>
      </c>
      <c r="C140" s="11"/>
      <c r="D140" s="7">
        <v>28.01</v>
      </c>
      <c r="E140" s="2"/>
      <c r="F140" s="6">
        <f t="shared" si="69"/>
        <v>2.4620245242605669E-4</v>
      </c>
      <c r="G140" s="2"/>
      <c r="H140" s="7">
        <v>55.02</v>
      </c>
      <c r="I140" s="2"/>
      <c r="J140" s="6">
        <f t="shared" si="70"/>
        <v>1.8049309848454023E-4</v>
      </c>
      <c r="K140" s="2"/>
      <c r="L140" s="7">
        <f t="shared" si="71"/>
        <v>-27.01</v>
      </c>
      <c r="M140" s="2"/>
      <c r="N140" s="6">
        <f t="shared" si="72"/>
        <v>-0.49091239549254817</v>
      </c>
      <c r="O140" s="11"/>
      <c r="P140" s="7">
        <v>68.36</v>
      </c>
      <c r="Q140" s="2"/>
      <c r="R140" s="6">
        <f t="shared" si="73"/>
        <v>1.1400794773486087E-4</v>
      </c>
      <c r="S140" s="2"/>
      <c r="T140" s="7">
        <v>151.80000000000001</v>
      </c>
      <c r="U140" s="2"/>
      <c r="V140" s="6">
        <f t="shared" si="74"/>
        <v>1.7659716664620713E-4</v>
      </c>
      <c r="W140" s="2"/>
      <c r="X140" s="7">
        <f t="shared" si="75"/>
        <v>-83.440000000000012</v>
      </c>
      <c r="Y140" s="2"/>
      <c r="Z140" s="6">
        <f t="shared" si="76"/>
        <v>-0.54967061923583671</v>
      </c>
    </row>
    <row r="141" spans="1:26" s="60" customFormat="1" x14ac:dyDescent="0.25">
      <c r="A141" s="37"/>
      <c r="B141" s="37"/>
      <c r="C141" s="37"/>
      <c r="D141" s="1"/>
      <c r="E141" s="1"/>
      <c r="F141" s="5"/>
      <c r="G141" s="1"/>
      <c r="H141" s="1"/>
      <c r="I141" s="1"/>
      <c r="J141" s="5"/>
      <c r="K141" s="1"/>
      <c r="L141" s="1"/>
      <c r="M141" s="1"/>
      <c r="N141" s="5"/>
      <c r="O141" s="37"/>
      <c r="P141" s="1"/>
      <c r="Q141" s="1"/>
      <c r="R141" s="5"/>
      <c r="S141" s="1"/>
      <c r="T141" s="1"/>
      <c r="U141" s="1"/>
      <c r="V141" s="5"/>
      <c r="W141" s="1"/>
      <c r="X141" s="1"/>
      <c r="Y141" s="1"/>
      <c r="Z141" s="5"/>
    </row>
    <row r="142" spans="1:26" s="23" customFormat="1" collapsed="1" x14ac:dyDescent="0.25">
      <c r="A142" s="10"/>
      <c r="B142" s="26" t="s">
        <v>0</v>
      </c>
      <c r="C142" s="10"/>
      <c r="D142" s="4">
        <f>SUM(OSRRefD25x_0)</f>
        <v>0</v>
      </c>
      <c r="E142" s="4"/>
      <c r="F142" s="12">
        <f t="shared" ref="F142:F144" si="77">IF(D$12=0,0,D142/D$12)</f>
        <v>0</v>
      </c>
      <c r="G142" s="4"/>
      <c r="H142" s="4">
        <f>SUM(OSRRefH25x_0)</f>
        <v>0</v>
      </c>
      <c r="I142" s="4"/>
      <c r="J142" s="12">
        <f t="shared" ref="J142:J144" si="78">IF(H$12=0,0,H142/H$12)</f>
        <v>0</v>
      </c>
      <c r="K142" s="4"/>
      <c r="L142" s="4">
        <f t="shared" ref="L142:L144" si="79">+D142-H142</f>
        <v>0</v>
      </c>
      <c r="M142" s="4"/>
      <c r="N142" s="12">
        <f t="shared" ref="N142:N144" si="80">IF(H142=0,0,L142/H142)</f>
        <v>0</v>
      </c>
      <c r="O142" s="10"/>
      <c r="P142" s="4">
        <f>SUM(OSRRefP25x_0)</f>
        <v>172008.31</v>
      </c>
      <c r="Q142" s="4"/>
      <c r="R142" s="12">
        <f t="shared" ref="R142:R144" si="81">IF(P$12=0,0,P142/P$12)</f>
        <v>0.28686826238212032</v>
      </c>
      <c r="S142" s="4"/>
      <c r="T142" s="4">
        <f>SUM(OSRRefT25x_0)</f>
        <v>14396.98</v>
      </c>
      <c r="U142" s="4"/>
      <c r="V142" s="12">
        <f t="shared" ref="V142:V144" si="82">IF(T$12=0,0,T142/T$12)</f>
        <v>1.6748787063650267E-2</v>
      </c>
      <c r="W142" s="4"/>
      <c r="X142" s="4">
        <f t="shared" ref="X142:X144" si="83">+P142-T142</f>
        <v>157611.32999999999</v>
      </c>
      <c r="Y142" s="4"/>
      <c r="Z142" s="12">
        <f t="shared" ref="Z142:Z144" si="84">IF(T142=0,0,X142/T142)</f>
        <v>10.947527189730067</v>
      </c>
    </row>
    <row r="143" spans="1:26" s="24" customFormat="1" hidden="1" outlineLevel="1" x14ac:dyDescent="0.25">
      <c r="A143" s="44"/>
      <c r="B143" s="11" t="str">
        <f>CONCATENATE("          ", "9150", " - ", "MISC. INCOME")</f>
        <v xml:space="preserve">          9150 - MISC. INCOME</v>
      </c>
      <c r="C143" s="11"/>
      <c r="D143" s="2">
        <f t="shared" ref="D143:D144" si="85">0</f>
        <v>0</v>
      </c>
      <c r="E143" s="2"/>
      <c r="F143" s="19">
        <f t="shared" si="77"/>
        <v>0</v>
      </c>
      <c r="G143" s="2"/>
      <c r="H143" s="2">
        <f t="shared" ref="H143:H144" si="86">0</f>
        <v>0</v>
      </c>
      <c r="I143" s="2"/>
      <c r="J143" s="19">
        <f t="shared" si="78"/>
        <v>0</v>
      </c>
      <c r="K143" s="2"/>
      <c r="L143" s="2">
        <f t="shared" si="79"/>
        <v>0</v>
      </c>
      <c r="M143" s="2"/>
      <c r="N143" s="19">
        <f t="shared" si="80"/>
        <v>0</v>
      </c>
      <c r="O143" s="11"/>
      <c r="P143" s="2">
        <f>--11344.41</f>
        <v>11344.41</v>
      </c>
      <c r="Q143" s="2"/>
      <c r="R143" s="19">
        <f t="shared" si="81"/>
        <v>1.8919732334154959E-2</v>
      </c>
      <c r="S143" s="2"/>
      <c r="T143" s="2">
        <f>--14396.98</f>
        <v>14396.98</v>
      </c>
      <c r="U143" s="2"/>
      <c r="V143" s="19">
        <f t="shared" si="82"/>
        <v>1.6748787063650267E-2</v>
      </c>
      <c r="W143" s="2"/>
      <c r="X143" s="2">
        <f t="shared" si="83"/>
        <v>-3052.5699999999997</v>
      </c>
      <c r="Y143" s="2"/>
      <c r="Z143" s="19">
        <f t="shared" si="84"/>
        <v>-0.21202849486489525</v>
      </c>
    </row>
    <row r="144" spans="1:26" s="24" customFormat="1" hidden="1" outlineLevel="1" x14ac:dyDescent="0.25">
      <c r="A144" s="44"/>
      <c r="B144" s="11" t="str">
        <f>CONCATENATE("          ", "9163", " - ", "MISC. INCOME")</f>
        <v xml:space="preserve">          9163 - MISC. INCOME</v>
      </c>
      <c r="C144" s="11"/>
      <c r="D144" s="2">
        <f t="shared" si="85"/>
        <v>0</v>
      </c>
      <c r="E144" s="2"/>
      <c r="F144" s="19">
        <f t="shared" si="77"/>
        <v>0</v>
      </c>
      <c r="G144" s="2"/>
      <c r="H144" s="2">
        <f t="shared" si="86"/>
        <v>0</v>
      </c>
      <c r="I144" s="2"/>
      <c r="J144" s="19">
        <f t="shared" si="78"/>
        <v>0</v>
      </c>
      <c r="K144" s="2"/>
      <c r="L144" s="2">
        <f t="shared" si="79"/>
        <v>0</v>
      </c>
      <c r="M144" s="2"/>
      <c r="N144" s="19">
        <f t="shared" si="80"/>
        <v>0</v>
      </c>
      <c r="O144" s="11"/>
      <c r="P144" s="2">
        <f>--160663.9</f>
        <v>160663.9</v>
      </c>
      <c r="Q144" s="2"/>
      <c r="R144" s="19">
        <f t="shared" si="81"/>
        <v>0.26794853004796537</v>
      </c>
      <c r="S144" s="2"/>
      <c r="T144" s="2">
        <f>0</f>
        <v>0</v>
      </c>
      <c r="U144" s="2"/>
      <c r="V144" s="19">
        <f t="shared" si="82"/>
        <v>0</v>
      </c>
      <c r="W144" s="2"/>
      <c r="X144" s="2">
        <f t="shared" si="83"/>
        <v>160663.9</v>
      </c>
      <c r="Y144" s="2"/>
      <c r="Z144" s="19">
        <f t="shared" si="84"/>
        <v>0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x14ac:dyDescent="0.25">
      <c r="A146" s="10"/>
      <c r="B146" s="25" t="s">
        <v>3</v>
      </c>
      <c r="C146" s="25"/>
      <c r="D146" s="22">
        <f>+D77-D79+D142</f>
        <v>-23672.200000000026</v>
      </c>
      <c r="E146" s="13"/>
      <c r="F146" s="21">
        <f>IF(D$12=0,0,D146/D$12)</f>
        <v>-0.20807403407069278</v>
      </c>
      <c r="G146" s="13"/>
      <c r="H146" s="22">
        <f>+H77-H79+H142</f>
        <v>93648.830000000147</v>
      </c>
      <c r="I146" s="13"/>
      <c r="J146" s="21">
        <f>IF(H$12=0,0,H146/H$12)</f>
        <v>0.30721496721468544</v>
      </c>
      <c r="K146" s="15"/>
      <c r="L146" s="22">
        <f>+D146-H146</f>
        <v>-117321.03000000017</v>
      </c>
      <c r="M146" s="15"/>
      <c r="N146" s="21">
        <f>IF(H146=0,0,L146/H146)</f>
        <v>-1.2527762493135257</v>
      </c>
      <c r="O146" s="26"/>
      <c r="P146" s="22">
        <f>+P77-P79+P142</f>
        <v>202333.28</v>
      </c>
      <c r="Q146" s="13"/>
      <c r="R146" s="21">
        <f>IF(P$12=0,0,P146/P$12)</f>
        <v>0.33744297851467187</v>
      </c>
      <c r="S146" s="13"/>
      <c r="T146" s="22">
        <f>+T77-T79+T142</f>
        <v>238342.49000000011</v>
      </c>
      <c r="U146" s="13"/>
      <c r="V146" s="21">
        <f>IF(T$12=0,0,T146/T$12)</f>
        <v>0.27727673534520403</v>
      </c>
      <c r="W146" s="15"/>
      <c r="X146" s="22">
        <f>+P146-T146</f>
        <v>-36009.210000000108</v>
      </c>
      <c r="Y146" s="15"/>
      <c r="Z146" s="21">
        <f>IF(T146=0,0,X146/T146)</f>
        <v>-0.15108178990661755</v>
      </c>
    </row>
    <row r="147" spans="1:26" x14ac:dyDescent="0.25">
      <c r="A147" s="9"/>
      <c r="B147" s="10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s="23" customFormat="1" x14ac:dyDescent="0.25">
      <c r="A148" s="51"/>
      <c r="B148" s="10" t="s">
        <v>13</v>
      </c>
      <c r="C148" s="10"/>
      <c r="D148" s="4">
        <v>29052.76</v>
      </c>
      <c r="E148" s="4"/>
      <c r="F148" s="12">
        <f>IF(D$12=0,0,D148/D$12)</f>
        <v>0.25536811002305038</v>
      </c>
      <c r="G148" s="4"/>
      <c r="H148" s="4">
        <v>23163.21</v>
      </c>
      <c r="I148" s="4"/>
      <c r="J148" s="12">
        <f>IF(H$12=0,0,H148/H$12)</f>
        <v>7.5986905557035384E-2</v>
      </c>
      <c r="K148" s="4"/>
      <c r="L148" s="4">
        <f>+D148-H148</f>
        <v>5889.5499999999993</v>
      </c>
      <c r="M148" s="4"/>
      <c r="N148" s="12">
        <f>IF(H148=0,0,L148/H148)</f>
        <v>0.25426311810841412</v>
      </c>
      <c r="O148" s="10"/>
      <c r="P148" s="4">
        <v>111080.25</v>
      </c>
      <c r="Q148" s="4"/>
      <c r="R148" s="12">
        <f>IF(P$12=0,0,P148/P$12)</f>
        <v>0.18525499321789465</v>
      </c>
      <c r="S148" s="4"/>
      <c r="T148" s="4">
        <v>92330.65</v>
      </c>
      <c r="U148" s="4"/>
      <c r="V148" s="12">
        <f>IF(T$12=0,0,T148/T$12)</f>
        <v>0.1074132489104257</v>
      </c>
      <c r="W148" s="4"/>
      <c r="X148" s="4">
        <f>+P148-T148</f>
        <v>18749.600000000006</v>
      </c>
      <c r="Y148" s="4"/>
      <c r="Z148" s="12">
        <f>IF(T148=0,0,X148/T148)</f>
        <v>0.20307016142526893</v>
      </c>
    </row>
    <row r="149" spans="1:26" x14ac:dyDescent="0.25">
      <c r="A149" s="9"/>
      <c r="B149" s="10"/>
      <c r="C149" s="10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O149" s="10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ht="15.75" thickBot="1" x14ac:dyDescent="0.3">
      <c r="A150" s="10"/>
      <c r="B150" s="25" t="s">
        <v>4</v>
      </c>
      <c r="C150" s="25"/>
      <c r="D150" s="33">
        <f>+D146-D148</f>
        <v>-52724.960000000021</v>
      </c>
      <c r="E150" s="13"/>
      <c r="F150" s="32">
        <f>IF(D$12=0,0,D150/D$12)</f>
        <v>-0.46344214409374318</v>
      </c>
      <c r="G150" s="13"/>
      <c r="H150" s="33">
        <f>+H146-H148</f>
        <v>70485.620000000141</v>
      </c>
      <c r="I150" s="13"/>
      <c r="J150" s="32">
        <f>IF(H$12=0,0,H150/H$12)</f>
        <v>0.23122806165765</v>
      </c>
      <c r="K150" s="15"/>
      <c r="L150" s="33">
        <f>D150-H150</f>
        <v>-123210.58000000016</v>
      </c>
      <c r="M150" s="15"/>
      <c r="N150" s="32">
        <f>IF(H150=0,0,L150/H150)</f>
        <v>-1.7480243487962497</v>
      </c>
      <c r="O150" s="26"/>
      <c r="P150" s="33">
        <f>+P146-P148</f>
        <v>91253.03</v>
      </c>
      <c r="Q150" s="13"/>
      <c r="R150" s="32">
        <f>IF(P$12=0,0,P150/P$12)</f>
        <v>0.15218798529677721</v>
      </c>
      <c r="S150" s="13"/>
      <c r="T150" s="33">
        <f>+T146-T148</f>
        <v>146011.84000000011</v>
      </c>
      <c r="U150" s="13"/>
      <c r="V150" s="32">
        <f>IF(T$12=0,0,T150/T$12)</f>
        <v>0.16986348643477833</v>
      </c>
      <c r="W150" s="15"/>
      <c r="X150" s="33">
        <f>P150-T150</f>
        <v>-54758.810000000114</v>
      </c>
      <c r="Y150" s="15"/>
      <c r="Z150" s="32">
        <f>IF(T150=0,0,X150/T150)</f>
        <v>-0.37502992907972443</v>
      </c>
    </row>
    <row r="151" spans="1:26" ht="15.75" thickTop="1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x14ac:dyDescent="0.25">
      <c r="A152" s="9"/>
      <c r="B152" s="9"/>
      <c r="C152" s="9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3" customFormat="1" ht="15.75" thickBot="1" x14ac:dyDescent="0.3">
      <c r="A153" s="10"/>
      <c r="B153" s="25" t="s">
        <v>5</v>
      </c>
      <c r="C153" s="25"/>
      <c r="D153" s="34">
        <f>SUM(D150:D152)</f>
        <v>-52724.960000000021</v>
      </c>
      <c r="E153" s="13"/>
      <c r="F153" s="31">
        <f>IF(D$12=0,0,D153/D$12)</f>
        <v>-0.46344214409374318</v>
      </c>
      <c r="G153" s="13"/>
      <c r="H153" s="34">
        <f>SUM(H150:H152)</f>
        <v>70485.620000000141</v>
      </c>
      <c r="I153" s="13"/>
      <c r="J153" s="31">
        <f>IF(H$12=0,0,H153/H$12)</f>
        <v>0.23122806165765</v>
      </c>
      <c r="K153" s="15"/>
      <c r="L153" s="34">
        <f>+D153-H153</f>
        <v>-123210.58000000016</v>
      </c>
      <c r="M153" s="15"/>
      <c r="N153" s="31">
        <f>IF(H153=0,0,L153/H153)</f>
        <v>-1.7480243487962497</v>
      </c>
      <c r="O153" s="26"/>
      <c r="P153" s="34">
        <f>SUM(P150:P152)</f>
        <v>91253.03</v>
      </c>
      <c r="Q153" s="13"/>
      <c r="R153" s="31">
        <f>IF(P$12=0,0,P153/P$12)</f>
        <v>0.15218798529677721</v>
      </c>
      <c r="S153" s="13"/>
      <c r="T153" s="34">
        <f>SUM(T150:T152)</f>
        <v>146011.84000000011</v>
      </c>
      <c r="U153" s="13"/>
      <c r="V153" s="31">
        <f>IF(T$12=0,0,T153/T$12)</f>
        <v>0.16986348643477833</v>
      </c>
      <c r="W153" s="15"/>
      <c r="X153" s="34">
        <f>+P153-T153</f>
        <v>-54758.810000000114</v>
      </c>
      <c r="Y153" s="15"/>
      <c r="Z153" s="31">
        <f>IF(T153=0,0,X153/T153)</f>
        <v>-0.37502992907972443</v>
      </c>
    </row>
    <row r="154" spans="1:26" ht="15.75" thickTop="1" x14ac:dyDescent="0.25">
      <c r="A154" s="9"/>
      <c r="C154" s="9"/>
      <c r="D154" s="18"/>
      <c r="E154" s="18"/>
      <c r="G154" s="18"/>
      <c r="H154" s="18"/>
      <c r="I154" s="18"/>
      <c r="J154" s="42"/>
      <c r="K154" s="18"/>
      <c r="L154" s="18"/>
      <c r="M154" s="18"/>
      <c r="P154" s="18"/>
      <c r="Q154" s="18"/>
      <c r="R154" s="42"/>
      <c r="S154" s="18"/>
      <c r="T154" s="18"/>
      <c r="U154" s="18"/>
      <c r="V154" s="42"/>
      <c r="W154" s="18"/>
      <c r="X154" s="18"/>
    </row>
    <row r="155" spans="1:26" x14ac:dyDescent="0.25">
      <c r="A155" s="9"/>
      <c r="B155" s="54">
        <v>44123.564753240738</v>
      </c>
      <c r="D155" s="18"/>
      <c r="E155" s="18"/>
      <c r="G155" s="18"/>
      <c r="H155" s="18"/>
      <c r="I155" s="18"/>
      <c r="J155" s="42"/>
      <c r="K155" s="18"/>
      <c r="L155" s="18"/>
      <c r="M155" s="18"/>
      <c r="P155" s="18"/>
      <c r="Q155" s="18"/>
      <c r="R155" s="42"/>
      <c r="S155" s="18"/>
      <c r="T155" s="18"/>
      <c r="U155" s="18"/>
      <c r="V155" s="42"/>
      <c r="W155" s="18"/>
      <c r="X155" s="18"/>
    </row>
    <row r="156" spans="1:26" x14ac:dyDescent="0.25">
      <c r="A156" s="9"/>
      <c r="B156" s="59" t="s">
        <v>313</v>
      </c>
      <c r="D156" s="18"/>
      <c r="E156" s="18"/>
      <c r="G156" s="18"/>
      <c r="H156" s="18"/>
      <c r="I156" s="18"/>
      <c r="J156" s="42"/>
      <c r="K156" s="18"/>
      <c r="L156" s="18"/>
      <c r="M156" s="18"/>
      <c r="P156" s="18"/>
      <c r="Q156" s="18"/>
      <c r="R156" s="42"/>
      <c r="S156" s="18"/>
      <c r="T156" s="18"/>
      <c r="U156" s="18"/>
      <c r="V156" s="42"/>
      <c r="W156" s="18"/>
      <c r="X156" s="18"/>
    </row>
    <row r="157" spans="1:26" x14ac:dyDescent="0.25">
      <c r="A157" s="9"/>
      <c r="B157" s="58"/>
      <c r="D157" s="18"/>
      <c r="E157" s="18"/>
      <c r="G157" s="18"/>
      <c r="H157" s="18"/>
      <c r="I157" s="18"/>
      <c r="J157" s="42"/>
      <c r="K157" s="18"/>
      <c r="L157" s="18"/>
      <c r="M157" s="18"/>
      <c r="P157" s="18"/>
      <c r="Q157" s="18"/>
      <c r="R157" s="42"/>
      <c r="S157" s="18"/>
      <c r="T157" s="18"/>
      <c r="U157" s="18"/>
      <c r="V157" s="42"/>
      <c r="W157" s="18"/>
      <c r="X157" s="18"/>
    </row>
    <row r="158" spans="1:26" x14ac:dyDescent="0.25">
      <c r="D158" s="18"/>
      <c r="E158" s="18"/>
      <c r="G158" s="18"/>
      <c r="H158" s="18"/>
      <c r="I158" s="18"/>
      <c r="J158" s="42"/>
      <c r="K158" s="18"/>
      <c r="L158" s="18"/>
      <c r="M158" s="18"/>
      <c r="P158" s="18"/>
      <c r="Q158" s="18"/>
      <c r="R158" s="42"/>
      <c r="S158" s="18"/>
      <c r="T158" s="18"/>
      <c r="U158" s="18"/>
      <c r="V158" s="42"/>
      <c r="W158" s="18"/>
      <c r="X158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","315", " - ", "Beach Shop")</f>
        <v>Department 315 - Beach Shop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93801.37000000001</v>
      </c>
      <c r="E12" s="4"/>
      <c r="F12" s="12"/>
      <c r="G12" s="4"/>
      <c r="H12" s="4">
        <f>SUM(OSRRefH13x_0)</f>
        <v>272268.90000000008</v>
      </c>
      <c r="I12" s="4"/>
      <c r="J12" s="12"/>
      <c r="K12" s="4"/>
      <c r="L12" s="4">
        <f t="shared" ref="L12:L48" si="0">+D12-H12</f>
        <v>-178467.53000000009</v>
      </c>
      <c r="M12" s="4"/>
      <c r="N12" s="12">
        <f t="shared" ref="N12:N48" si="1">IF(H12=0,0,L12/H12)</f>
        <v>-0.65548261296093691</v>
      </c>
      <c r="O12" s="10"/>
      <c r="P12" s="4">
        <f>SUM(OSRRefP13x_0)</f>
        <v>529963.44000000006</v>
      </c>
      <c r="Q12" s="4"/>
      <c r="R12" s="12"/>
      <c r="S12" s="4"/>
      <c r="T12" s="4">
        <f>SUM(OSRRefT13x_0)</f>
        <v>706044.76000000013</v>
      </c>
      <c r="U12" s="4"/>
      <c r="V12" s="12"/>
      <c r="W12" s="4"/>
      <c r="X12" s="4">
        <f t="shared" ref="X12:X48" si="2">+P12-T12</f>
        <v>-176081.32000000007</v>
      </c>
      <c r="Y12" s="4"/>
      <c r="Z12" s="12">
        <f t="shared" ref="Z12:Z48" si="3">IF(T12=0,0,X12/T12)</f>
        <v>-0.24939115758043448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-7132.78</f>
        <v>-7132.78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-7132.78</v>
      </c>
      <c r="M13" s="2"/>
      <c r="N13" s="19">
        <f t="shared" si="1"/>
        <v>0</v>
      </c>
      <c r="O13" s="11"/>
      <c r="P13" s="2">
        <f>-29335.54</f>
        <v>-29335.54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-29335.54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--6169.97</f>
        <v>6169.97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6169.97</v>
      </c>
      <c r="M15" s="2"/>
      <c r="N15" s="19">
        <f t="shared" si="1"/>
        <v>0</v>
      </c>
      <c r="O15" s="11"/>
      <c r="P15" s="2">
        <f>--24673.17</f>
        <v>24673.17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24673.17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--19.85</f>
        <v>19.850000000000001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19.850000000000001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--441.57</f>
        <v>441.57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441.57</v>
      </c>
      <c r="M17" s="2"/>
      <c r="N17" s="19">
        <f t="shared" si="1"/>
        <v>0</v>
      </c>
      <c r="O17" s="11"/>
      <c r="P17" s="2">
        <f>--868.79</f>
        <v>868.79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868.79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--62893.01</f>
        <v>62893.01</v>
      </c>
      <c r="E19" s="2"/>
      <c r="F19" s="19"/>
      <c r="G19" s="2"/>
      <c r="H19" s="2">
        <f>--215346.19</f>
        <v>215346.19</v>
      </c>
      <c r="I19" s="2"/>
      <c r="J19" s="19"/>
      <c r="K19" s="2"/>
      <c r="L19" s="2">
        <f t="shared" si="0"/>
        <v>-152453.18</v>
      </c>
      <c r="M19" s="2"/>
      <c r="N19" s="19">
        <f t="shared" si="1"/>
        <v>-0.70794463556564424</v>
      </c>
      <c r="O19" s="11"/>
      <c r="P19" s="2">
        <f>--271385.29</f>
        <v>271385.28999999998</v>
      </c>
      <c r="Q19" s="2"/>
      <c r="R19" s="19"/>
      <c r="S19" s="2"/>
      <c r="T19" s="2">
        <f>--504543.07</f>
        <v>504543.07</v>
      </c>
      <c r="U19" s="2"/>
      <c r="V19" s="19"/>
      <c r="W19" s="2"/>
      <c r="X19" s="2">
        <f t="shared" si="2"/>
        <v>-233157.78000000003</v>
      </c>
      <c r="Y19" s="2"/>
      <c r="Z19" s="19">
        <f t="shared" si="3"/>
        <v>-0.46211670294074203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--16442.34</f>
        <v>16442.34</v>
      </c>
      <c r="E20" s="2"/>
      <c r="F20" s="19"/>
      <c r="G20" s="2"/>
      <c r="H20" s="2">
        <f>--25084.64</f>
        <v>25084.639999999999</v>
      </c>
      <c r="I20" s="2"/>
      <c r="J20" s="19"/>
      <c r="K20" s="2"/>
      <c r="L20" s="2">
        <f t="shared" si="0"/>
        <v>-8642.2999999999993</v>
      </c>
      <c r="M20" s="2"/>
      <c r="N20" s="19">
        <f t="shared" si="1"/>
        <v>-0.34452557421593449</v>
      </c>
      <c r="O20" s="11"/>
      <c r="P20" s="2">
        <f>--69286.5</f>
        <v>69286.5</v>
      </c>
      <c r="Q20" s="2"/>
      <c r="R20" s="19"/>
      <c r="S20" s="2"/>
      <c r="T20" s="2">
        <f>--88943.72</f>
        <v>88943.72</v>
      </c>
      <c r="U20" s="2"/>
      <c r="V20" s="19"/>
      <c r="W20" s="2"/>
      <c r="X20" s="2">
        <f t="shared" si="2"/>
        <v>-19657.22</v>
      </c>
      <c r="Y20" s="2"/>
      <c r="Z20" s="19">
        <f t="shared" si="3"/>
        <v>-0.22100739658741506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--6088.88</f>
        <v>6088.88</v>
      </c>
      <c r="E21" s="2"/>
      <c r="F21" s="19"/>
      <c r="G21" s="2"/>
      <c r="H21" s="2">
        <f>--25079.09</f>
        <v>25079.09</v>
      </c>
      <c r="I21" s="2"/>
      <c r="J21" s="19"/>
      <c r="K21" s="2"/>
      <c r="L21" s="2">
        <f t="shared" si="0"/>
        <v>-18990.21</v>
      </c>
      <c r="M21" s="2"/>
      <c r="N21" s="19">
        <f t="shared" si="1"/>
        <v>-0.75721288132862874</v>
      </c>
      <c r="O21" s="11"/>
      <c r="P21" s="2">
        <f>--34208.22</f>
        <v>34208.22</v>
      </c>
      <c r="Q21" s="2"/>
      <c r="R21" s="19"/>
      <c r="S21" s="2"/>
      <c r="T21" s="2">
        <f>--63877.88</f>
        <v>63877.88</v>
      </c>
      <c r="U21" s="2"/>
      <c r="V21" s="19"/>
      <c r="W21" s="2"/>
      <c r="X21" s="2">
        <f t="shared" si="2"/>
        <v>-29669.659999999996</v>
      </c>
      <c r="Y21" s="2"/>
      <c r="Z21" s="19">
        <f t="shared" si="3"/>
        <v>-0.46447471331233908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--2554.77</f>
        <v>2554.77</v>
      </c>
      <c r="E22" s="2"/>
      <c r="F22" s="19"/>
      <c r="G22" s="2"/>
      <c r="H22" s="2">
        <f>--253.89</f>
        <v>253.89</v>
      </c>
      <c r="I22" s="2"/>
      <c r="J22" s="19"/>
      <c r="K22" s="2"/>
      <c r="L22" s="2">
        <f t="shared" si="0"/>
        <v>2300.88</v>
      </c>
      <c r="M22" s="2"/>
      <c r="N22" s="19">
        <f t="shared" si="1"/>
        <v>9.0625073850880309</v>
      </c>
      <c r="O22" s="11"/>
      <c r="P22" s="2">
        <f>--9155.77</f>
        <v>9155.77</v>
      </c>
      <c r="Q22" s="2"/>
      <c r="R22" s="19"/>
      <c r="S22" s="2"/>
      <c r="T22" s="2">
        <f>--362.08</f>
        <v>362.08</v>
      </c>
      <c r="U22" s="2"/>
      <c r="V22" s="19"/>
      <c r="W22" s="2"/>
      <c r="X22" s="2">
        <f t="shared" si="2"/>
        <v>8793.69</v>
      </c>
      <c r="Y22" s="2"/>
      <c r="Z22" s="19">
        <f t="shared" si="3"/>
        <v>24.286594122845781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--2671.93</f>
        <v>2671.93</v>
      </c>
      <c r="E23" s="2"/>
      <c r="F23" s="19"/>
      <c r="G23" s="2"/>
      <c r="H23" s="2">
        <f>--6274.79</f>
        <v>6274.79</v>
      </c>
      <c r="I23" s="2"/>
      <c r="J23" s="19"/>
      <c r="K23" s="2"/>
      <c r="L23" s="2">
        <f t="shared" si="0"/>
        <v>-3602.86</v>
      </c>
      <c r="M23" s="2"/>
      <c r="N23" s="19">
        <f t="shared" si="1"/>
        <v>-0.57418017176670455</v>
      </c>
      <c r="O23" s="11"/>
      <c r="P23" s="2">
        <f>--10549.05</f>
        <v>10549.05</v>
      </c>
      <c r="Q23" s="2"/>
      <c r="R23" s="19"/>
      <c r="S23" s="2"/>
      <c r="T23" s="2">
        <f>--27289.91</f>
        <v>27289.91</v>
      </c>
      <c r="U23" s="2"/>
      <c r="V23" s="19"/>
      <c r="W23" s="2"/>
      <c r="X23" s="2">
        <f t="shared" si="2"/>
        <v>-16740.86</v>
      </c>
      <c r="Y23" s="2"/>
      <c r="Z23" s="19">
        <f t="shared" si="3"/>
        <v>-0.61344504250838494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--2540.46</f>
        <v>2540.46</v>
      </c>
      <c r="E24" s="2"/>
      <c r="F24" s="19"/>
      <c r="G24" s="2"/>
      <c r="H24" s="2">
        <f>--5803.07</f>
        <v>5803.07</v>
      </c>
      <c r="I24" s="2"/>
      <c r="J24" s="19"/>
      <c r="K24" s="2"/>
      <c r="L24" s="2">
        <f t="shared" si="0"/>
        <v>-3262.6099999999997</v>
      </c>
      <c r="M24" s="2"/>
      <c r="N24" s="19">
        <f t="shared" si="1"/>
        <v>-0.56222137592688004</v>
      </c>
      <c r="O24" s="11"/>
      <c r="P24" s="2">
        <f>--91971.54</f>
        <v>91971.54</v>
      </c>
      <c r="Q24" s="2"/>
      <c r="R24" s="19"/>
      <c r="S24" s="2"/>
      <c r="T24" s="2">
        <f>--30959.35</f>
        <v>30959.35</v>
      </c>
      <c r="U24" s="2"/>
      <c r="V24" s="19"/>
      <c r="W24" s="2"/>
      <c r="X24" s="2">
        <f t="shared" si="2"/>
        <v>61012.189999999995</v>
      </c>
      <c r="Y24" s="2"/>
      <c r="Z24" s="19">
        <f t="shared" si="3"/>
        <v>1.9707193464979076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1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1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--810.33</f>
        <v>810.33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810.33</v>
      </c>
      <c r="M26" s="2"/>
      <c r="N26" s="19">
        <f t="shared" si="1"/>
        <v>0</v>
      </c>
      <c r="O26" s="11"/>
      <c r="P26" s="2">
        <f>--2670.74</f>
        <v>2670.74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2670.74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"4131", " - ", "NON-TAXABLE SALES-FOOD")</f>
        <v xml:space="preserve">          4131 - NON-TAXABLE SALES-FOOD</v>
      </c>
      <c r="C27" s="11"/>
      <c r="D27" s="2">
        <f>--911.18</f>
        <v>911.18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911.18</v>
      </c>
      <c r="M27" s="2"/>
      <c r="N27" s="19">
        <f t="shared" si="1"/>
        <v>0</v>
      </c>
      <c r="O27" s="11"/>
      <c r="P27" s="2">
        <f>--2148.76</f>
        <v>2148.7600000000002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2148.7600000000002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"4132", " - ", "NON-TAXABLE SALES-JUICE")</f>
        <v xml:space="preserve">          4132 - NON-TAXABLE SALES-JUICE</v>
      </c>
      <c r="C28" s="11"/>
      <c r="D28" s="2">
        <f t="shared" ref="D28:D31" si="8">0</f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--22.49</f>
        <v>22.49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22.49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"4133", " - ", "NON-TAXABLE SALES-CANDY")</f>
        <v xml:space="preserve">          4133 - NON-TAXABLE SALES-CANDY</v>
      </c>
      <c r="C29" s="11"/>
      <c r="D29" s="2">
        <f t="shared" si="8"/>
        <v>0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--80.71</f>
        <v>80.709999999999994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80.709999999999994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"4134", " - ", "NON-TAXABLE SALES-SODA")</f>
        <v xml:space="preserve">          4134 - NON-TAXABLE SALES-SODA</v>
      </c>
      <c r="C30" s="11"/>
      <c r="D30" s="2">
        <f t="shared" si="8"/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--45.53</f>
        <v>45.53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45.53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--59.25</f>
        <v>59.25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59.25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--3332.21</f>
        <v>3332.21</v>
      </c>
      <c r="E32" s="2"/>
      <c r="F32" s="19"/>
      <c r="G32" s="2"/>
      <c r="H32" s="2">
        <f>--3114.74</f>
        <v>3114.74</v>
      </c>
      <c r="I32" s="2"/>
      <c r="J32" s="19"/>
      <c r="K32" s="2"/>
      <c r="L32" s="2">
        <f t="shared" si="0"/>
        <v>217.47000000000025</v>
      </c>
      <c r="M32" s="2"/>
      <c r="N32" s="19">
        <f t="shared" si="1"/>
        <v>6.981963181517567E-2</v>
      </c>
      <c r="O32" s="11"/>
      <c r="P32" s="2">
        <f>--17361.51</f>
        <v>17361.509999999998</v>
      </c>
      <c r="Q32" s="2"/>
      <c r="R32" s="19"/>
      <c r="S32" s="2"/>
      <c r="T32" s="2">
        <f>--8257.7</f>
        <v>8257.7000000000007</v>
      </c>
      <c r="U32" s="2"/>
      <c r="V32" s="19"/>
      <c r="W32" s="2"/>
      <c r="X32" s="2">
        <f t="shared" si="2"/>
        <v>9103.8099999999977</v>
      </c>
      <c r="Y32" s="2"/>
      <c r="Z32" s="19">
        <f t="shared" si="3"/>
        <v>1.1024631556002273</v>
      </c>
    </row>
    <row r="33" spans="1:26" s="24" customFormat="1" hidden="1" outlineLevel="1" x14ac:dyDescent="0.25">
      <c r="A33" s="44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--555.74</f>
        <v>555.74</v>
      </c>
      <c r="E33" s="2"/>
      <c r="F33" s="19"/>
      <c r="G33" s="2"/>
      <c r="H33" s="2">
        <f>--144.99</f>
        <v>144.99</v>
      </c>
      <c r="I33" s="2"/>
      <c r="J33" s="19"/>
      <c r="K33" s="2"/>
      <c r="L33" s="2">
        <f t="shared" si="0"/>
        <v>410.75</v>
      </c>
      <c r="M33" s="2"/>
      <c r="N33" s="19">
        <f t="shared" si="1"/>
        <v>2.8329539968273671</v>
      </c>
      <c r="O33" s="11"/>
      <c r="P33" s="2">
        <f>--2487.49</f>
        <v>2487.4899999999998</v>
      </c>
      <c r="Q33" s="2"/>
      <c r="R33" s="19"/>
      <c r="S33" s="2"/>
      <c r="T33" s="2">
        <f>--661.89</f>
        <v>661.89</v>
      </c>
      <c r="U33" s="2"/>
      <c r="V33" s="19"/>
      <c r="W33" s="2"/>
      <c r="X33" s="2">
        <f t="shared" si="2"/>
        <v>1825.6</v>
      </c>
      <c r="Y33" s="2"/>
      <c r="Z33" s="19">
        <f t="shared" si="3"/>
        <v>2.7581622323951107</v>
      </c>
    </row>
    <row r="34" spans="1:26" s="24" customFormat="1" hidden="1" outlineLevel="1" x14ac:dyDescent="0.25">
      <c r="A34" s="44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--30.16</f>
        <v>30.16</v>
      </c>
      <c r="E34" s="2"/>
      <c r="F34" s="19"/>
      <c r="G34" s="2"/>
      <c r="H34" s="2">
        <f>--516.4</f>
        <v>516.4</v>
      </c>
      <c r="I34" s="2"/>
      <c r="J34" s="19"/>
      <c r="K34" s="2"/>
      <c r="L34" s="2">
        <f t="shared" si="0"/>
        <v>-486.23999999999995</v>
      </c>
      <c r="M34" s="2"/>
      <c r="N34" s="19">
        <f t="shared" si="1"/>
        <v>-0.9415956622773044</v>
      </c>
      <c r="O34" s="11"/>
      <c r="P34" s="2">
        <f>--1003.75</f>
        <v>1003.75</v>
      </c>
      <c r="Q34" s="2"/>
      <c r="R34" s="19"/>
      <c r="S34" s="2"/>
      <c r="T34" s="2">
        <f>--821.53</f>
        <v>821.53</v>
      </c>
      <c r="U34" s="2"/>
      <c r="V34" s="19"/>
      <c r="W34" s="2"/>
      <c r="X34" s="2">
        <f t="shared" si="2"/>
        <v>182.22000000000003</v>
      </c>
      <c r="Y34" s="2"/>
      <c r="Z34" s="19">
        <f t="shared" si="3"/>
        <v>0.22180565530169322</v>
      </c>
    </row>
    <row r="35" spans="1:26" s="24" customFormat="1" hidden="1" outlineLevel="1" x14ac:dyDescent="0.25">
      <c r="A35" s="44"/>
      <c r="B35" s="11" t="str">
        <f>CONCATENATE("          ", "4143", " - ", "NON-TAXABLE SALES-CARDS")</f>
        <v xml:space="preserve">          4143 - NON-TAXABLE SALES-CARDS</v>
      </c>
      <c r="C35" s="11"/>
      <c r="D35" s="2">
        <f>0</f>
        <v>0</v>
      </c>
      <c r="E35" s="2"/>
      <c r="F35" s="19"/>
      <c r="G35" s="2"/>
      <c r="H35" s="2">
        <f t="shared" ref="H35:H39" si="9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--19.98</f>
        <v>19.98</v>
      </c>
      <c r="Q35" s="2"/>
      <c r="R35" s="19"/>
      <c r="S35" s="2"/>
      <c r="T35" s="2">
        <f>0</f>
        <v>0</v>
      </c>
      <c r="U35" s="2"/>
      <c r="V35" s="19"/>
      <c r="W35" s="2"/>
      <c r="X35" s="2">
        <f t="shared" si="2"/>
        <v>19.98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--59.95</f>
        <v>59.95</v>
      </c>
      <c r="E36" s="2"/>
      <c r="F36" s="19"/>
      <c r="G36" s="2"/>
      <c r="H36" s="2">
        <f t="shared" si="9"/>
        <v>0</v>
      </c>
      <c r="I36" s="2"/>
      <c r="J36" s="19"/>
      <c r="K36" s="2"/>
      <c r="L36" s="2">
        <f t="shared" si="0"/>
        <v>59.95</v>
      </c>
      <c r="M36" s="2"/>
      <c r="N36" s="19">
        <f t="shared" si="1"/>
        <v>0</v>
      </c>
      <c r="O36" s="11"/>
      <c r="P36" s="2">
        <f>--215.75</f>
        <v>215.75</v>
      </c>
      <c r="Q36" s="2"/>
      <c r="R36" s="19"/>
      <c r="S36" s="2"/>
      <c r="T36" s="2">
        <f>--139.76</f>
        <v>139.76</v>
      </c>
      <c r="U36" s="2"/>
      <c r="V36" s="19"/>
      <c r="W36" s="2"/>
      <c r="X36" s="2">
        <f t="shared" si="2"/>
        <v>75.990000000000009</v>
      </c>
      <c r="Y36" s="2"/>
      <c r="Z36" s="19">
        <f t="shared" si="3"/>
        <v>0.54371780194619357</v>
      </c>
    </row>
    <row r="37" spans="1:26" s="24" customFormat="1" hidden="1" outlineLevel="1" x14ac:dyDescent="0.25">
      <c r="A37" s="44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 t="shared" ref="D37:D38" si="10">0</f>
        <v>0</v>
      </c>
      <c r="E37" s="2"/>
      <c r="F37" s="19"/>
      <c r="G37" s="2"/>
      <c r="H37" s="2">
        <f t="shared" si="9"/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>--35839</f>
        <v>35839</v>
      </c>
      <c r="Q37" s="2"/>
      <c r="R37" s="19"/>
      <c r="S37" s="2"/>
      <c r="T37" s="2">
        <f>--90</f>
        <v>90</v>
      </c>
      <c r="U37" s="2"/>
      <c r="V37" s="19"/>
      <c r="W37" s="2"/>
      <c r="X37" s="2">
        <f t="shared" si="2"/>
        <v>35749</v>
      </c>
      <c r="Y37" s="2"/>
      <c r="Z37" s="19">
        <f t="shared" si="3"/>
        <v>397.21111111111111</v>
      </c>
    </row>
    <row r="38" spans="1:26" s="24" customFormat="1" hidden="1" outlineLevel="1" x14ac:dyDescent="0.25">
      <c r="A38" s="44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10"/>
        <v>0</v>
      </c>
      <c r="E38" s="2"/>
      <c r="F38" s="19"/>
      <c r="G38" s="2"/>
      <c r="H38" s="2">
        <f t="shared" si="9"/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-6.38</f>
        <v>-6.38</v>
      </c>
      <c r="Q38" s="2"/>
      <c r="R38" s="19"/>
      <c r="S38" s="2"/>
      <c r="T38" s="2">
        <f t="shared" ref="T38:T39" si="11">0</f>
        <v>0</v>
      </c>
      <c r="U38" s="2"/>
      <c r="V38" s="19"/>
      <c r="W38" s="2"/>
      <c r="X38" s="2">
        <f t="shared" si="2"/>
        <v>-6.38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-132.71</f>
        <v>-132.71</v>
      </c>
      <c r="E39" s="2"/>
      <c r="F39" s="19"/>
      <c r="G39" s="2"/>
      <c r="H39" s="2">
        <f t="shared" si="9"/>
        <v>0</v>
      </c>
      <c r="I39" s="2"/>
      <c r="J39" s="19"/>
      <c r="K39" s="2"/>
      <c r="L39" s="2">
        <f t="shared" si="0"/>
        <v>-132.71</v>
      </c>
      <c r="M39" s="2"/>
      <c r="N39" s="19">
        <f t="shared" si="1"/>
        <v>0</v>
      </c>
      <c r="O39" s="11"/>
      <c r="P39" s="2">
        <f>-378.7</f>
        <v>-378.7</v>
      </c>
      <c r="Q39" s="2"/>
      <c r="R39" s="19"/>
      <c r="S39" s="2"/>
      <c r="T39" s="2">
        <f t="shared" si="11"/>
        <v>0</v>
      </c>
      <c r="U39" s="2"/>
      <c r="V39" s="19"/>
      <c r="W39" s="2"/>
      <c r="X39" s="2">
        <f t="shared" si="2"/>
        <v>-378.7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-2999.36</f>
        <v>-2999.36</v>
      </c>
      <c r="E40" s="2"/>
      <c r="F40" s="19"/>
      <c r="G40" s="2"/>
      <c r="H40" s="2">
        <f>-8248.29</f>
        <v>-8248.2900000000009</v>
      </c>
      <c r="I40" s="2"/>
      <c r="J40" s="19"/>
      <c r="K40" s="2"/>
      <c r="L40" s="2">
        <f t="shared" si="0"/>
        <v>5248.93</v>
      </c>
      <c r="M40" s="2"/>
      <c r="N40" s="19">
        <f t="shared" si="1"/>
        <v>-0.63636584067727975</v>
      </c>
      <c r="O40" s="11"/>
      <c r="P40" s="2">
        <f>-9706.08</f>
        <v>-9706.08</v>
      </c>
      <c r="Q40" s="2"/>
      <c r="R40" s="19"/>
      <c r="S40" s="2"/>
      <c r="T40" s="2">
        <f>-16436.94</f>
        <v>-16436.939999999999</v>
      </c>
      <c r="U40" s="2"/>
      <c r="V40" s="19"/>
      <c r="W40" s="2"/>
      <c r="X40" s="2">
        <f t="shared" si="2"/>
        <v>6730.8599999999988</v>
      </c>
      <c r="Y40" s="2"/>
      <c r="Z40" s="19">
        <f t="shared" si="3"/>
        <v>-0.40949592807420354</v>
      </c>
    </row>
    <row r="41" spans="1:26" s="24" customFormat="1" hidden="1" outlineLevel="1" x14ac:dyDescent="0.25">
      <c r="A41" s="44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-722.72</f>
        <v>-722.72</v>
      </c>
      <c r="E41" s="2"/>
      <c r="F41" s="19"/>
      <c r="G41" s="2"/>
      <c r="H41" s="2">
        <f>-210.33</f>
        <v>-210.33</v>
      </c>
      <c r="I41" s="2"/>
      <c r="J41" s="19"/>
      <c r="K41" s="2"/>
      <c r="L41" s="2">
        <f t="shared" si="0"/>
        <v>-512.39</v>
      </c>
      <c r="M41" s="2"/>
      <c r="N41" s="19">
        <f t="shared" si="1"/>
        <v>2.4361241858032612</v>
      </c>
      <c r="O41" s="11"/>
      <c r="P41" s="2">
        <f>-1466.76</f>
        <v>-1466.76</v>
      </c>
      <c r="Q41" s="2"/>
      <c r="R41" s="19"/>
      <c r="S41" s="2"/>
      <c r="T41" s="2">
        <f>-1100.63</f>
        <v>-1100.6300000000001</v>
      </c>
      <c r="U41" s="2"/>
      <c r="V41" s="19"/>
      <c r="W41" s="2"/>
      <c r="X41" s="2">
        <f t="shared" si="2"/>
        <v>-366.12999999999988</v>
      </c>
      <c r="Y41" s="2"/>
      <c r="Z41" s="19">
        <f t="shared" si="3"/>
        <v>0.33265493399234969</v>
      </c>
    </row>
    <row r="42" spans="1:26" s="24" customFormat="1" hidden="1" outlineLevel="1" x14ac:dyDescent="0.25">
      <c r="A42" s="44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-397.83</f>
        <v>-397.83</v>
      </c>
      <c r="E42" s="2"/>
      <c r="F42" s="19"/>
      <c r="G42" s="2"/>
      <c r="H42" s="2">
        <f>-74.81</f>
        <v>-74.81</v>
      </c>
      <c r="I42" s="2"/>
      <c r="J42" s="19"/>
      <c r="K42" s="2"/>
      <c r="L42" s="2">
        <f t="shared" si="0"/>
        <v>-323.02</v>
      </c>
      <c r="M42" s="2"/>
      <c r="N42" s="19">
        <f t="shared" si="1"/>
        <v>4.3178719422537091</v>
      </c>
      <c r="O42" s="11"/>
      <c r="P42" s="2">
        <f>-950.74</f>
        <v>-950.74</v>
      </c>
      <c r="Q42" s="2"/>
      <c r="R42" s="19"/>
      <c r="S42" s="2"/>
      <c r="T42" s="2">
        <f>-739.13</f>
        <v>-739.13</v>
      </c>
      <c r="U42" s="2"/>
      <c r="V42" s="19"/>
      <c r="W42" s="2"/>
      <c r="X42" s="2">
        <f t="shared" si="2"/>
        <v>-211.61</v>
      </c>
      <c r="Y42" s="2"/>
      <c r="Z42" s="19">
        <f t="shared" si="3"/>
        <v>0.28629605076238285</v>
      </c>
    </row>
    <row r="43" spans="1:26" s="24" customFormat="1" hidden="1" outlineLevel="1" x14ac:dyDescent="0.25">
      <c r="A43" s="44"/>
      <c r="B43" s="11" t="str">
        <f>CONCATENATE("          ", "4243", " - ", "SALES RETURN TAXABLE-CARDS")</f>
        <v xml:space="preserve">          4243 - SALES RETURN TAXABLE-CARDS</v>
      </c>
      <c r="C43" s="11"/>
      <c r="D43" s="2">
        <f>-59.94</f>
        <v>-59.94</v>
      </c>
      <c r="E43" s="2"/>
      <c r="F43" s="19"/>
      <c r="G43" s="2"/>
      <c r="H43" s="2">
        <f>-4.5</f>
        <v>-4.5</v>
      </c>
      <c r="I43" s="2"/>
      <c r="J43" s="19"/>
      <c r="K43" s="2"/>
      <c r="L43" s="2">
        <f t="shared" si="0"/>
        <v>-55.44</v>
      </c>
      <c r="M43" s="2"/>
      <c r="N43" s="19">
        <f t="shared" si="1"/>
        <v>12.32</v>
      </c>
      <c r="O43" s="11"/>
      <c r="P43" s="2">
        <f>-153.37</f>
        <v>-153.37</v>
      </c>
      <c r="Q43" s="2"/>
      <c r="R43" s="19"/>
      <c r="S43" s="2"/>
      <c r="T43" s="2">
        <f>-4.5</f>
        <v>-4.5</v>
      </c>
      <c r="U43" s="2"/>
      <c r="V43" s="19"/>
      <c r="W43" s="2"/>
      <c r="X43" s="2">
        <f t="shared" si="2"/>
        <v>-148.87</v>
      </c>
      <c r="Y43" s="2"/>
      <c r="Z43" s="19">
        <f t="shared" si="3"/>
        <v>33.082222222222221</v>
      </c>
    </row>
    <row r="44" spans="1:26" s="24" customFormat="1" hidden="1" outlineLevel="1" x14ac:dyDescent="0.25">
      <c r="A44" s="44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-60</f>
        <v>-60</v>
      </c>
      <c r="E44" s="2"/>
      <c r="F44" s="19"/>
      <c r="G44" s="2"/>
      <c r="H44" s="2">
        <f>-704.04</f>
        <v>-704.04</v>
      </c>
      <c r="I44" s="2"/>
      <c r="J44" s="19"/>
      <c r="K44" s="2"/>
      <c r="L44" s="2">
        <f t="shared" si="0"/>
        <v>644.04</v>
      </c>
      <c r="M44" s="2"/>
      <c r="N44" s="19">
        <f t="shared" si="1"/>
        <v>-0.91477756945628086</v>
      </c>
      <c r="O44" s="11"/>
      <c r="P44" s="2">
        <f>-410.99</f>
        <v>-410.99</v>
      </c>
      <c r="Q44" s="2"/>
      <c r="R44" s="19"/>
      <c r="S44" s="2"/>
      <c r="T44" s="2">
        <f>-1231.56</f>
        <v>-1231.56</v>
      </c>
      <c r="U44" s="2"/>
      <c r="V44" s="19"/>
      <c r="W44" s="2"/>
      <c r="X44" s="2">
        <f t="shared" si="2"/>
        <v>820.56999999999994</v>
      </c>
      <c r="Y44" s="2"/>
      <c r="Z44" s="19">
        <f t="shared" si="3"/>
        <v>-0.66628503686381502</v>
      </c>
    </row>
    <row r="45" spans="1:26" s="24" customFormat="1" hidden="1" outlineLevel="1" x14ac:dyDescent="0.25">
      <c r="A45" s="44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-3.99</f>
        <v>-3.99</v>
      </c>
      <c r="E45" s="2"/>
      <c r="F45" s="19"/>
      <c r="G45" s="2"/>
      <c r="H45" s="2">
        <f>-71.98</f>
        <v>-71.98</v>
      </c>
      <c r="I45" s="2"/>
      <c r="J45" s="19"/>
      <c r="K45" s="2"/>
      <c r="L45" s="2">
        <f t="shared" si="0"/>
        <v>67.990000000000009</v>
      </c>
      <c r="M45" s="2"/>
      <c r="N45" s="19">
        <f t="shared" si="1"/>
        <v>-0.94456793553764939</v>
      </c>
      <c r="O45" s="11"/>
      <c r="P45" s="2">
        <f>-1175.95</f>
        <v>-1175.95</v>
      </c>
      <c r="Q45" s="2"/>
      <c r="R45" s="19"/>
      <c r="S45" s="2"/>
      <c r="T45" s="2">
        <f>-81.97</f>
        <v>-81.97</v>
      </c>
      <c r="U45" s="2"/>
      <c r="V45" s="19"/>
      <c r="W45" s="2"/>
      <c r="X45" s="2">
        <f t="shared" si="2"/>
        <v>-1093.98</v>
      </c>
      <c r="Y45" s="2"/>
      <c r="Z45" s="19">
        <f t="shared" si="3"/>
        <v>13.346102232524094</v>
      </c>
    </row>
    <row r="46" spans="1:26" s="24" customFormat="1" hidden="1" outlineLevel="1" x14ac:dyDescent="0.25">
      <c r="A46" s="44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-36.9</f>
        <v>-36.9</v>
      </c>
      <c r="E46" s="2"/>
      <c r="F46" s="19"/>
      <c r="G46" s="2"/>
      <c r="H46" s="2">
        <f>-24.95</f>
        <v>-24.95</v>
      </c>
      <c r="I46" s="2"/>
      <c r="J46" s="19"/>
      <c r="K46" s="2"/>
      <c r="L46" s="2">
        <f t="shared" si="0"/>
        <v>-11.95</v>
      </c>
      <c r="M46" s="2"/>
      <c r="N46" s="19">
        <f t="shared" si="1"/>
        <v>0.47895791583166331</v>
      </c>
      <c r="O46" s="11"/>
      <c r="P46" s="2">
        <f>-541.04</f>
        <v>-541.04</v>
      </c>
      <c r="Q46" s="2"/>
      <c r="R46" s="19"/>
      <c r="S46" s="2"/>
      <c r="T46" s="2">
        <f>-293.45</f>
        <v>-293.45</v>
      </c>
      <c r="U46" s="2"/>
      <c r="V46" s="19"/>
      <c r="W46" s="2"/>
      <c r="X46" s="2">
        <f t="shared" si="2"/>
        <v>-247.58999999999997</v>
      </c>
      <c r="Y46" s="2"/>
      <c r="Z46" s="19">
        <f t="shared" si="3"/>
        <v>0.84372124723121478</v>
      </c>
    </row>
    <row r="47" spans="1:26" s="24" customFormat="1" hidden="1" outlineLevel="1" x14ac:dyDescent="0.25">
      <c r="A47" s="44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>-129.95</f>
        <v>-129.94999999999999</v>
      </c>
      <c r="E47" s="2"/>
      <c r="F47" s="19"/>
      <c r="G47" s="2"/>
      <c r="H47" s="2">
        <f>0</f>
        <v>0</v>
      </c>
      <c r="I47" s="2"/>
      <c r="J47" s="19"/>
      <c r="K47" s="2"/>
      <c r="L47" s="2">
        <f t="shared" si="0"/>
        <v>-129.94999999999999</v>
      </c>
      <c r="M47" s="2"/>
      <c r="N47" s="19">
        <f t="shared" si="1"/>
        <v>0</v>
      </c>
      <c r="O47" s="11"/>
      <c r="P47" s="2">
        <f>-146.9</f>
        <v>-146.9</v>
      </c>
      <c r="Q47" s="2"/>
      <c r="R47" s="19"/>
      <c r="S47" s="2"/>
      <c r="T47" s="2">
        <f>-3.95</f>
        <v>-3.95</v>
      </c>
      <c r="U47" s="2"/>
      <c r="V47" s="19"/>
      <c r="W47" s="2"/>
      <c r="X47" s="2">
        <f t="shared" si="2"/>
        <v>-142.95000000000002</v>
      </c>
      <c r="Y47" s="2"/>
      <c r="Z47" s="19">
        <f t="shared" si="3"/>
        <v>36.189873417721522</v>
      </c>
    </row>
    <row r="48" spans="1:26" s="24" customFormat="1" hidden="1" outlineLevel="1" x14ac:dyDescent="0.25">
      <c r="A48" s="44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>-24.95</f>
        <v>-24.95</v>
      </c>
      <c r="E48" s="2"/>
      <c r="F48" s="19"/>
      <c r="G48" s="2"/>
      <c r="H48" s="2">
        <f>-10</f>
        <v>-10</v>
      </c>
      <c r="I48" s="2"/>
      <c r="J48" s="19"/>
      <c r="K48" s="2"/>
      <c r="L48" s="2">
        <f t="shared" si="0"/>
        <v>-14.95</v>
      </c>
      <c r="M48" s="2"/>
      <c r="N48" s="19">
        <f t="shared" si="1"/>
        <v>1.4949999999999999</v>
      </c>
      <c r="O48" s="11"/>
      <c r="P48" s="2">
        <f>-118.7</f>
        <v>-118.7</v>
      </c>
      <c r="Q48" s="2"/>
      <c r="R48" s="19"/>
      <c r="S48" s="2"/>
      <c r="T48" s="2">
        <f>-10</f>
        <v>-10</v>
      </c>
      <c r="U48" s="2"/>
      <c r="V48" s="19"/>
      <c r="W48" s="2"/>
      <c r="X48" s="2">
        <f t="shared" si="2"/>
        <v>-108.7</v>
      </c>
      <c r="Y48" s="2"/>
      <c r="Z48" s="19">
        <f t="shared" si="3"/>
        <v>10.870000000000001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6" t="s">
        <v>8</v>
      </c>
      <c r="C50" s="10"/>
      <c r="D50" s="4">
        <f>SUM(OSRRefD16x_0)</f>
        <v>59318.60000000002</v>
      </c>
      <c r="E50" s="4"/>
      <c r="F50" s="12">
        <f t="shared" ref="F50:F67" si="12">IF(D$12=0,0,D50/D$12)</f>
        <v>0.63238521996000718</v>
      </c>
      <c r="G50" s="4"/>
      <c r="H50" s="4">
        <f>SUM(OSRRefH16x_0)</f>
        <v>123485.38</v>
      </c>
      <c r="I50" s="4"/>
      <c r="J50" s="12">
        <f t="shared" ref="J50:J67" si="13">IF(H$12=0,0,H50/H$12)</f>
        <v>0.45354199469715406</v>
      </c>
      <c r="K50" s="4"/>
      <c r="L50" s="4">
        <f t="shared" ref="L50:L67" si="14">+D50-H50</f>
        <v>-64166.779999999984</v>
      </c>
      <c r="M50" s="4"/>
      <c r="N50" s="12">
        <f t="shared" ref="N50:N67" si="15">IF(H50=0,0,L50/H50)</f>
        <v>-0.51963058298885245</v>
      </c>
      <c r="O50" s="10"/>
      <c r="P50" s="4">
        <f>SUM(OSRRefP16x_0)</f>
        <v>331274.54000000004</v>
      </c>
      <c r="Q50" s="4"/>
      <c r="R50" s="12">
        <f t="shared" ref="R50:R67" si="16">IF(P$12=0,0,P50/P$12)</f>
        <v>0.6250894212627196</v>
      </c>
      <c r="S50" s="4"/>
      <c r="T50" s="4">
        <f>SUM(OSRRefT16x_0)</f>
        <v>325008.66000000009</v>
      </c>
      <c r="U50" s="4"/>
      <c r="V50" s="12">
        <f t="shared" ref="V50:V67" si="17">IF(T$12=0,0,T50/T$12)</f>
        <v>0.46032302541272319</v>
      </c>
      <c r="W50" s="4"/>
      <c r="X50" s="4">
        <f t="shared" ref="X50:X67" si="18">+P50-T50</f>
        <v>6265.8799999999464</v>
      </c>
      <c r="Y50" s="4"/>
      <c r="Z50" s="12">
        <f t="shared" ref="Z50:Z67" si="19">IF(T50=0,0,X50/T50)</f>
        <v>1.9279117054911536E-2</v>
      </c>
    </row>
    <row r="51" spans="1:26" s="24" customFormat="1" hidden="1" outlineLevel="1" x14ac:dyDescent="0.25">
      <c r="A51" s="44"/>
      <c r="B51" s="11" t="str">
        <f>CONCATENATE("          ", "5027", " - ", "PURCHASES @ COST-SCHOOL SUPPLI")</f>
        <v xml:space="preserve">          5027 - PURCHASES @ COST-SCHOOL SUPPLI</v>
      </c>
      <c r="C51" s="11"/>
      <c r="D51" s="2"/>
      <c r="E51" s="2"/>
      <c r="F51" s="19">
        <f t="shared" si="12"/>
        <v>0</v>
      </c>
      <c r="G51" s="2"/>
      <c r="H51" s="2"/>
      <c r="I51" s="2"/>
      <c r="J51" s="19">
        <f t="shared" si="13"/>
        <v>0</v>
      </c>
      <c r="K51" s="2"/>
      <c r="L51" s="2">
        <f t="shared" si="14"/>
        <v>0</v>
      </c>
      <c r="M51" s="2"/>
      <c r="N51" s="19">
        <f t="shared" si="15"/>
        <v>0</v>
      </c>
      <c r="O51" s="11"/>
      <c r="P51" s="2">
        <v>8503.4</v>
      </c>
      <c r="Q51" s="2"/>
      <c r="R51" s="19">
        <f t="shared" si="16"/>
        <v>1.6045257763441189E-2</v>
      </c>
      <c r="S51" s="2"/>
      <c r="T51" s="2"/>
      <c r="U51" s="2"/>
      <c r="V51" s="19">
        <f t="shared" si="17"/>
        <v>0</v>
      </c>
      <c r="W51" s="2"/>
      <c r="X51" s="2">
        <f t="shared" si="18"/>
        <v>8503.4</v>
      </c>
      <c r="Y51" s="2"/>
      <c r="Z51" s="19">
        <f t="shared" si="19"/>
        <v>0</v>
      </c>
    </row>
    <row r="52" spans="1:26" s="24" customFormat="1" hidden="1" outlineLevel="1" x14ac:dyDescent="0.25">
      <c r="A52" s="44"/>
      <c r="B52" s="11" t="str">
        <f>CONCATENATE("          ", "5028", " - ", "PURCHASES @ COST-ART/TECH")</f>
        <v xml:space="preserve">          5028 - PURCHASES @ COST-ART/TECH</v>
      </c>
      <c r="C52" s="11"/>
      <c r="D52" s="2">
        <v>-83.4</v>
      </c>
      <c r="E52" s="2"/>
      <c r="F52" s="19">
        <f t="shared" si="12"/>
        <v>-8.8911281359749857E-4</v>
      </c>
      <c r="G52" s="2"/>
      <c r="H52" s="2"/>
      <c r="I52" s="2"/>
      <c r="J52" s="19">
        <f t="shared" si="13"/>
        <v>0</v>
      </c>
      <c r="K52" s="2"/>
      <c r="L52" s="2">
        <f t="shared" si="14"/>
        <v>-83.4</v>
      </c>
      <c r="M52" s="2"/>
      <c r="N52" s="19">
        <f t="shared" si="15"/>
        <v>0</v>
      </c>
      <c r="O52" s="11"/>
      <c r="P52" s="2">
        <v>-83.4</v>
      </c>
      <c r="Q52" s="2"/>
      <c r="R52" s="19">
        <f t="shared" si="16"/>
        <v>-1.5736934608168442E-4</v>
      </c>
      <c r="S52" s="2"/>
      <c r="T52" s="2"/>
      <c r="U52" s="2"/>
      <c r="V52" s="19">
        <f t="shared" si="17"/>
        <v>0</v>
      </c>
      <c r="W52" s="2"/>
      <c r="X52" s="2">
        <f t="shared" si="18"/>
        <v>-83.4</v>
      </c>
      <c r="Y52" s="2"/>
      <c r="Z52" s="19">
        <f t="shared" si="19"/>
        <v>0</v>
      </c>
    </row>
    <row r="53" spans="1:26" s="24" customFormat="1" hidden="1" outlineLevel="1" x14ac:dyDescent="0.25">
      <c r="A53" s="44"/>
      <c r="B53" s="11" t="str">
        <f>CONCATENATE("          ", "5031", " - ", "PURCHASES @ COST-FOOD")</f>
        <v xml:space="preserve">          5031 - PURCHASES @ COST-FOOD</v>
      </c>
      <c r="C53" s="11"/>
      <c r="D53" s="2">
        <v>1183.51</v>
      </c>
      <c r="E53" s="2"/>
      <c r="F53" s="19">
        <f t="shared" si="12"/>
        <v>1.2617193117755101E-2</v>
      </c>
      <c r="G53" s="2"/>
      <c r="H53" s="2"/>
      <c r="I53" s="2"/>
      <c r="J53" s="19">
        <f t="shared" si="13"/>
        <v>0</v>
      </c>
      <c r="K53" s="2"/>
      <c r="L53" s="2">
        <f t="shared" si="14"/>
        <v>1183.51</v>
      </c>
      <c r="M53" s="2"/>
      <c r="N53" s="19">
        <f t="shared" si="15"/>
        <v>0</v>
      </c>
      <c r="O53" s="11"/>
      <c r="P53" s="2">
        <v>1183.51</v>
      </c>
      <c r="Q53" s="2"/>
      <c r="R53" s="19">
        <f t="shared" si="16"/>
        <v>2.2331917839464544E-3</v>
      </c>
      <c r="S53" s="2"/>
      <c r="T53" s="2"/>
      <c r="U53" s="2"/>
      <c r="V53" s="19">
        <f t="shared" si="17"/>
        <v>0</v>
      </c>
      <c r="W53" s="2"/>
      <c r="X53" s="2">
        <f t="shared" si="18"/>
        <v>1183.51</v>
      </c>
      <c r="Y53" s="2"/>
      <c r="Z53" s="19">
        <f t="shared" si="19"/>
        <v>0</v>
      </c>
    </row>
    <row r="54" spans="1:26" s="24" customFormat="1" hidden="1" outlineLevel="1" x14ac:dyDescent="0.25">
      <c r="A54" s="44"/>
      <c r="B54" s="11" t="str">
        <f>CONCATENATE("          ", "5040", " - ", "PURCHASES @ COST-LOGO CLOTHING")</f>
        <v xml:space="preserve">          5040 - PURCHASES @ COST-LOGO CLOTHING</v>
      </c>
      <c r="C54" s="11"/>
      <c r="D54" s="2">
        <v>4398.1499999999996</v>
      </c>
      <c r="E54" s="2"/>
      <c r="F54" s="19">
        <f t="shared" si="12"/>
        <v>4.688790792714434E-2</v>
      </c>
      <c r="G54" s="2"/>
      <c r="H54" s="2">
        <v>123711.69000000002</v>
      </c>
      <c r="I54" s="2"/>
      <c r="J54" s="19">
        <f t="shared" si="13"/>
        <v>0.45437319502888496</v>
      </c>
      <c r="K54" s="2"/>
      <c r="L54" s="2">
        <f t="shared" si="14"/>
        <v>-119313.54000000002</v>
      </c>
      <c r="M54" s="2"/>
      <c r="N54" s="19">
        <f t="shared" si="15"/>
        <v>-0.96444838802218291</v>
      </c>
      <c r="O54" s="11"/>
      <c r="P54" s="2">
        <v>13750.05</v>
      </c>
      <c r="Q54" s="2"/>
      <c r="R54" s="19">
        <f t="shared" si="16"/>
        <v>2.5945280300844899E-2</v>
      </c>
      <c r="S54" s="2"/>
      <c r="T54" s="2">
        <v>251429.50000000003</v>
      </c>
      <c r="U54" s="2"/>
      <c r="V54" s="19">
        <f t="shared" si="17"/>
        <v>0.3561098590973184</v>
      </c>
      <c r="W54" s="2"/>
      <c r="X54" s="2">
        <f t="shared" si="18"/>
        <v>-237679.45000000004</v>
      </c>
      <c r="Y54" s="2"/>
      <c r="Z54" s="19">
        <f t="shared" si="19"/>
        <v>-0.94531250310723292</v>
      </c>
    </row>
    <row r="55" spans="1:26" s="24" customFormat="1" hidden="1" outlineLevel="1" x14ac:dyDescent="0.25">
      <c r="A55" s="44"/>
      <c r="B55" s="11" t="str">
        <f>CONCATENATE("          ", "5041", " - ", "PURCHASES @ COST-LOGO GIFTS")</f>
        <v xml:space="preserve">          5041 - PURCHASES @ COST-LOGO GIFTS</v>
      </c>
      <c r="C55" s="11"/>
      <c r="D55" s="2">
        <v>868</v>
      </c>
      <c r="E55" s="2"/>
      <c r="F55" s="19">
        <f t="shared" si="12"/>
        <v>9.2535961894799606E-3</v>
      </c>
      <c r="G55" s="2"/>
      <c r="H55" s="2">
        <v>11249.19</v>
      </c>
      <c r="I55" s="2"/>
      <c r="J55" s="19">
        <f t="shared" si="13"/>
        <v>4.131647059212417E-2</v>
      </c>
      <c r="K55" s="2"/>
      <c r="L55" s="2">
        <f t="shared" si="14"/>
        <v>-10381.19</v>
      </c>
      <c r="M55" s="2"/>
      <c r="N55" s="19">
        <f t="shared" si="15"/>
        <v>-0.92283888884444121</v>
      </c>
      <c r="O55" s="11"/>
      <c r="P55" s="2">
        <v>1997.54</v>
      </c>
      <c r="Q55" s="2"/>
      <c r="R55" s="19">
        <f t="shared" si="16"/>
        <v>3.7692034001439792E-3</v>
      </c>
      <c r="S55" s="2"/>
      <c r="T55" s="2">
        <v>31311.73</v>
      </c>
      <c r="U55" s="2"/>
      <c r="V55" s="19">
        <f t="shared" si="17"/>
        <v>4.4348080708084277E-2</v>
      </c>
      <c r="W55" s="2"/>
      <c r="X55" s="2">
        <f t="shared" si="18"/>
        <v>-29314.19</v>
      </c>
      <c r="Y55" s="2"/>
      <c r="Z55" s="19">
        <f t="shared" si="19"/>
        <v>-0.93620473860754416</v>
      </c>
    </row>
    <row r="56" spans="1:26" s="24" customFormat="1" hidden="1" outlineLevel="1" x14ac:dyDescent="0.25">
      <c r="A56" s="44"/>
      <c r="B56" s="11" t="str">
        <f>CONCATENATE("          ", "5042", " - ", "PURCHASES @ COST-EVERYDAY GIFT")</f>
        <v xml:space="preserve">          5042 - PURCHASES @ COST-EVERYDAY GIFT</v>
      </c>
      <c r="C56" s="11"/>
      <c r="D56" s="2">
        <v>522</v>
      </c>
      <c r="E56" s="2"/>
      <c r="F56" s="19">
        <f t="shared" si="12"/>
        <v>5.5649507038116816E-3</v>
      </c>
      <c r="G56" s="2"/>
      <c r="H56" s="2">
        <v>10312.81</v>
      </c>
      <c r="I56" s="2"/>
      <c r="J56" s="19">
        <f t="shared" si="13"/>
        <v>3.7877297039801451E-2</v>
      </c>
      <c r="K56" s="2"/>
      <c r="L56" s="2">
        <f t="shared" si="14"/>
        <v>-9790.81</v>
      </c>
      <c r="M56" s="2"/>
      <c r="N56" s="19">
        <f t="shared" si="15"/>
        <v>-0.94938333974930211</v>
      </c>
      <c r="O56" s="11"/>
      <c r="P56" s="2">
        <v>1491.15</v>
      </c>
      <c r="Q56" s="2"/>
      <c r="R56" s="19">
        <f t="shared" si="16"/>
        <v>2.8136846571906919E-3</v>
      </c>
      <c r="S56" s="2"/>
      <c r="T56" s="2">
        <v>27656.510000000002</v>
      </c>
      <c r="U56" s="2"/>
      <c r="V56" s="19">
        <f t="shared" si="17"/>
        <v>3.9171043490217244E-2</v>
      </c>
      <c r="W56" s="2"/>
      <c r="X56" s="2">
        <f t="shared" si="18"/>
        <v>-26165.360000000001</v>
      </c>
      <c r="Y56" s="2"/>
      <c r="Z56" s="19">
        <f t="shared" si="19"/>
        <v>-0.94608321874307344</v>
      </c>
    </row>
    <row r="57" spans="1:26" s="24" customFormat="1" hidden="1" outlineLevel="1" x14ac:dyDescent="0.25">
      <c r="A57" s="44"/>
      <c r="B57" s="11" t="str">
        <f>CONCATENATE("          ", "5043", " - ", "PURCHASES @ COST-CARDS")</f>
        <v xml:space="preserve">          5043 - PURCHASES @ COST-CARDS</v>
      </c>
      <c r="C57" s="11"/>
      <c r="D57" s="2">
        <v>1401</v>
      </c>
      <c r="E57" s="2"/>
      <c r="F57" s="19">
        <f t="shared" si="12"/>
        <v>1.4935815969425606E-2</v>
      </c>
      <c r="G57" s="2"/>
      <c r="H57" s="2">
        <v>495.49</v>
      </c>
      <c r="I57" s="2"/>
      <c r="J57" s="19">
        <f t="shared" si="13"/>
        <v>1.8198552974651157E-3</v>
      </c>
      <c r="K57" s="2"/>
      <c r="L57" s="2">
        <f t="shared" si="14"/>
        <v>905.51</v>
      </c>
      <c r="M57" s="2"/>
      <c r="N57" s="19">
        <f t="shared" si="15"/>
        <v>1.8275040868635088</v>
      </c>
      <c r="O57" s="11"/>
      <c r="P57" s="2">
        <v>3116.25</v>
      </c>
      <c r="Q57" s="2"/>
      <c r="R57" s="19">
        <f t="shared" si="16"/>
        <v>5.8801225986456719E-3</v>
      </c>
      <c r="S57" s="2"/>
      <c r="T57" s="2">
        <v>1008.99</v>
      </c>
      <c r="U57" s="2"/>
      <c r="V57" s="19">
        <f t="shared" si="17"/>
        <v>1.4290737034858808E-3</v>
      </c>
      <c r="W57" s="2"/>
      <c r="X57" s="2">
        <f t="shared" si="18"/>
        <v>2107.2600000000002</v>
      </c>
      <c r="Y57" s="2"/>
      <c r="Z57" s="19">
        <f t="shared" si="19"/>
        <v>2.0884845241280887</v>
      </c>
    </row>
    <row r="58" spans="1:26" s="24" customFormat="1" hidden="1" outlineLevel="1" x14ac:dyDescent="0.25">
      <c r="A58" s="44"/>
      <c r="B58" s="11" t="str">
        <f>CONCATENATE("          ", "5044", " - ", "PURCHASES @ COST-ACCESSORIES")</f>
        <v xml:space="preserve">          5044 - PURCHASES @ COST-ACCESSORIES</v>
      </c>
      <c r="C58" s="11"/>
      <c r="D58" s="2"/>
      <c r="E58" s="2"/>
      <c r="F58" s="19">
        <f t="shared" si="12"/>
        <v>0</v>
      </c>
      <c r="G58" s="2"/>
      <c r="H58" s="2">
        <v>2061.4299999999998</v>
      </c>
      <c r="I58" s="2"/>
      <c r="J58" s="19">
        <f t="shared" si="13"/>
        <v>7.571301753523811E-3</v>
      </c>
      <c r="K58" s="2"/>
      <c r="L58" s="2">
        <f t="shared" si="14"/>
        <v>-2061.4299999999998</v>
      </c>
      <c r="M58" s="2"/>
      <c r="N58" s="19">
        <f t="shared" si="15"/>
        <v>-1</v>
      </c>
      <c r="O58" s="11"/>
      <c r="P58" s="2"/>
      <c r="Q58" s="2"/>
      <c r="R58" s="19">
        <f t="shared" si="16"/>
        <v>0</v>
      </c>
      <c r="S58" s="2"/>
      <c r="T58" s="2">
        <v>18656.22</v>
      </c>
      <c r="U58" s="2"/>
      <c r="V58" s="19">
        <f t="shared" si="17"/>
        <v>2.6423565554115857E-2</v>
      </c>
      <c r="W58" s="2"/>
      <c r="X58" s="2">
        <f t="shared" si="18"/>
        <v>-18656.22</v>
      </c>
      <c r="Y58" s="2"/>
      <c r="Z58" s="19">
        <f t="shared" si="19"/>
        <v>-1</v>
      </c>
    </row>
    <row r="59" spans="1:26" s="24" customFormat="1" hidden="1" outlineLevel="1" x14ac:dyDescent="0.25">
      <c r="A59" s="44"/>
      <c r="B59" s="11" t="str">
        <f>CONCATENATE("          ", "5045", " - ", "PURCHASES @ COST-SPECIAL ORDER")</f>
        <v xml:space="preserve">          5045 - PURCHASES @ COST-SPECIAL ORDER</v>
      </c>
      <c r="C59" s="11"/>
      <c r="D59" s="2">
        <v>52784.12</v>
      </c>
      <c r="E59" s="2"/>
      <c r="F59" s="19">
        <f t="shared" si="12"/>
        <v>0.56272227154038368</v>
      </c>
      <c r="G59" s="2"/>
      <c r="H59" s="2">
        <v>5585.6</v>
      </c>
      <c r="I59" s="2"/>
      <c r="J59" s="19">
        <f t="shared" si="13"/>
        <v>2.0515012915540476E-2</v>
      </c>
      <c r="K59" s="2"/>
      <c r="L59" s="2">
        <f t="shared" si="14"/>
        <v>47198.520000000004</v>
      </c>
      <c r="M59" s="2"/>
      <c r="N59" s="19">
        <f t="shared" si="15"/>
        <v>8.4500358063592103</v>
      </c>
      <c r="O59" s="11"/>
      <c r="P59" s="2">
        <v>61174.290000000008</v>
      </c>
      <c r="Q59" s="2"/>
      <c r="R59" s="19">
        <f t="shared" si="16"/>
        <v>0.11543115125073533</v>
      </c>
      <c r="S59" s="2"/>
      <c r="T59" s="2">
        <v>25432.230000000003</v>
      </c>
      <c r="U59" s="2"/>
      <c r="V59" s="19">
        <f t="shared" si="17"/>
        <v>3.6020704976268074E-2</v>
      </c>
      <c r="W59" s="2"/>
      <c r="X59" s="2">
        <f t="shared" si="18"/>
        <v>35742.060000000005</v>
      </c>
      <c r="Y59" s="2"/>
      <c r="Z59" s="19">
        <f t="shared" si="19"/>
        <v>1.4053844275551142</v>
      </c>
    </row>
    <row r="60" spans="1:26" s="24" customFormat="1" hidden="1" outlineLevel="1" x14ac:dyDescent="0.25">
      <c r="A60" s="44"/>
      <c r="B60" s="11" t="str">
        <f>CONCATENATE("          ", "5200", " - ", "PURCHASES OFFSET")</f>
        <v xml:space="preserve">          5200 - PURCHASES OFFSET</v>
      </c>
      <c r="C60" s="11"/>
      <c r="D60" s="2">
        <v>-61907.239999999991</v>
      </c>
      <c r="E60" s="2"/>
      <c r="F60" s="19">
        <f t="shared" si="12"/>
        <v>-0.65998225825486323</v>
      </c>
      <c r="G60" s="2"/>
      <c r="H60" s="2">
        <v>-156307</v>
      </c>
      <c r="I60" s="2"/>
      <c r="J60" s="19">
        <f t="shared" si="13"/>
        <v>-0.57409054063831733</v>
      </c>
      <c r="K60" s="2"/>
      <c r="L60" s="2">
        <f t="shared" si="14"/>
        <v>94399.760000000009</v>
      </c>
      <c r="M60" s="2"/>
      <c r="N60" s="19">
        <f t="shared" si="15"/>
        <v>-0.60393814736384177</v>
      </c>
      <c r="O60" s="11"/>
      <c r="P60" s="2">
        <v>-93556.88</v>
      </c>
      <c r="Q60" s="2"/>
      <c r="R60" s="19">
        <f t="shared" si="16"/>
        <v>-0.17653459265039112</v>
      </c>
      <c r="S60" s="2"/>
      <c r="T60" s="2">
        <v>-361895</v>
      </c>
      <c r="U60" s="2"/>
      <c r="V60" s="19">
        <f t="shared" si="17"/>
        <v>-0.51256665370620402</v>
      </c>
      <c r="W60" s="2"/>
      <c r="X60" s="2">
        <f t="shared" si="18"/>
        <v>268338.12</v>
      </c>
      <c r="Y60" s="2"/>
      <c r="Z60" s="19">
        <f t="shared" si="19"/>
        <v>-0.74148059520026521</v>
      </c>
    </row>
    <row r="61" spans="1:26" s="24" customFormat="1" hidden="1" outlineLevel="1" x14ac:dyDescent="0.25">
      <c r="A61" s="44"/>
      <c r="B61" s="11" t="str">
        <f>CONCATENATE("          ", "5300", " - ", "COG$ OFFSET")</f>
        <v xml:space="preserve">          5300 - COG$ OFFSET</v>
      </c>
      <c r="C61" s="11"/>
      <c r="D61" s="2">
        <v>59402</v>
      </c>
      <c r="E61" s="2"/>
      <c r="F61" s="19">
        <f t="shared" si="12"/>
        <v>0.63327433277360445</v>
      </c>
      <c r="G61" s="2"/>
      <c r="H61" s="2">
        <v>123486.00000000001</v>
      </c>
      <c r="I61" s="2"/>
      <c r="J61" s="19">
        <f t="shared" si="13"/>
        <v>0.45354427185771118</v>
      </c>
      <c r="K61" s="2"/>
      <c r="L61" s="2">
        <f t="shared" si="14"/>
        <v>-64084.000000000015</v>
      </c>
      <c r="M61" s="2"/>
      <c r="N61" s="19">
        <f t="shared" si="15"/>
        <v>-0.51895761462837897</v>
      </c>
      <c r="O61" s="11"/>
      <c r="P61" s="2">
        <v>330358</v>
      </c>
      <c r="Q61" s="2"/>
      <c r="R61" s="19">
        <f t="shared" si="16"/>
        <v>0.62335998120926972</v>
      </c>
      <c r="S61" s="2"/>
      <c r="T61" s="2">
        <v>325011</v>
      </c>
      <c r="U61" s="2"/>
      <c r="V61" s="19">
        <f t="shared" si="17"/>
        <v>0.46032633965019432</v>
      </c>
      <c r="W61" s="2"/>
      <c r="X61" s="2">
        <f t="shared" si="18"/>
        <v>5347</v>
      </c>
      <c r="Y61" s="2"/>
      <c r="Z61" s="19">
        <f t="shared" si="19"/>
        <v>1.6451750863816918E-2</v>
      </c>
    </row>
    <row r="62" spans="1:26" s="24" customFormat="1" hidden="1" outlineLevel="1" x14ac:dyDescent="0.25">
      <c r="A62" s="44"/>
      <c r="B62" s="11" t="str">
        <f>CONCATENATE("          ", "5540", " - ", "FREIGHT-IN-LOGO CLOTHING")</f>
        <v xml:space="preserve">          5540 - FREIGHT-IN-LOGO CLOTHING</v>
      </c>
      <c r="C62" s="11"/>
      <c r="D62" s="2">
        <v>234.23</v>
      </c>
      <c r="E62" s="2"/>
      <c r="F62" s="19">
        <f t="shared" si="12"/>
        <v>2.4970850638961878E-3</v>
      </c>
      <c r="G62" s="2"/>
      <c r="H62" s="2">
        <v>2672.92</v>
      </c>
      <c r="I62" s="2"/>
      <c r="J62" s="19">
        <f t="shared" si="13"/>
        <v>9.8172064455396817E-3</v>
      </c>
      <c r="K62" s="2"/>
      <c r="L62" s="2">
        <f t="shared" si="14"/>
        <v>-2438.69</v>
      </c>
      <c r="M62" s="2"/>
      <c r="N62" s="19">
        <f t="shared" si="15"/>
        <v>-0.91236924412253262</v>
      </c>
      <c r="O62" s="11"/>
      <c r="P62" s="2">
        <v>2165.7600000000002</v>
      </c>
      <c r="Q62" s="2"/>
      <c r="R62" s="19">
        <f t="shared" si="16"/>
        <v>4.08662152242049E-3</v>
      </c>
      <c r="S62" s="2"/>
      <c r="T62" s="2">
        <v>5004.8599999999997</v>
      </c>
      <c r="U62" s="2"/>
      <c r="V62" s="19">
        <f t="shared" si="17"/>
        <v>7.0885874147695663E-3</v>
      </c>
      <c r="W62" s="2"/>
      <c r="X62" s="2">
        <f t="shared" si="18"/>
        <v>-2839.0999999999995</v>
      </c>
      <c r="Y62" s="2"/>
      <c r="Z62" s="19">
        <f t="shared" si="19"/>
        <v>-0.56726861490631098</v>
      </c>
    </row>
    <row r="63" spans="1:26" s="24" customFormat="1" hidden="1" outlineLevel="1" x14ac:dyDescent="0.25">
      <c r="A63" s="44"/>
      <c r="B63" s="11" t="str">
        <f>CONCATENATE("          ", "5541", " - ", "FREIGHT-IN-LOGO GIFTS")</f>
        <v xml:space="preserve">          5541 - FREIGHT-IN-LOGO GIFTS</v>
      </c>
      <c r="C63" s="11"/>
      <c r="D63" s="2">
        <v>154.41</v>
      </c>
      <c r="E63" s="2"/>
      <c r="F63" s="19">
        <f t="shared" si="12"/>
        <v>1.6461380041677427E-3</v>
      </c>
      <c r="G63" s="2"/>
      <c r="H63" s="2">
        <v>97.6</v>
      </c>
      <c r="I63" s="2"/>
      <c r="J63" s="19">
        <f t="shared" si="13"/>
        <v>3.5846914575994528E-4</v>
      </c>
      <c r="K63" s="2"/>
      <c r="L63" s="2">
        <f t="shared" si="14"/>
        <v>56.81</v>
      </c>
      <c r="M63" s="2"/>
      <c r="N63" s="19">
        <f t="shared" si="15"/>
        <v>0.58206967213114758</v>
      </c>
      <c r="O63" s="11"/>
      <c r="P63" s="2">
        <v>361.11</v>
      </c>
      <c r="Q63" s="2"/>
      <c r="R63" s="19">
        <f t="shared" si="16"/>
        <v>6.8138662546231483E-4</v>
      </c>
      <c r="S63" s="2"/>
      <c r="T63" s="2">
        <v>818.01</v>
      </c>
      <c r="U63" s="2"/>
      <c r="V63" s="19">
        <f t="shared" si="17"/>
        <v>1.1585809375598225E-3</v>
      </c>
      <c r="W63" s="2"/>
      <c r="X63" s="2">
        <f t="shared" si="18"/>
        <v>-456.9</v>
      </c>
      <c r="Y63" s="2"/>
      <c r="Z63" s="19">
        <f t="shared" si="19"/>
        <v>-0.55855062896541607</v>
      </c>
    </row>
    <row r="64" spans="1:26" s="24" customFormat="1" hidden="1" outlineLevel="1" x14ac:dyDescent="0.25">
      <c r="A64" s="44"/>
      <c r="B64" s="11" t="str">
        <f>CONCATENATE("          ", "5542", " - ", "FREIGHT-IN-EVERYDAY GIFTS")</f>
        <v xml:space="preserve">          5542 - FREIGHT-IN-EVERYDAY GIFTS</v>
      </c>
      <c r="C64" s="11"/>
      <c r="D64" s="2">
        <v>65.44</v>
      </c>
      <c r="E64" s="2"/>
      <c r="F64" s="19">
        <f t="shared" si="12"/>
        <v>6.9764439474604681E-4</v>
      </c>
      <c r="G64" s="2"/>
      <c r="H64" s="2">
        <v>58.91</v>
      </c>
      <c r="I64" s="2"/>
      <c r="J64" s="19">
        <f t="shared" si="13"/>
        <v>2.1636698131883582E-4</v>
      </c>
      <c r="K64" s="2"/>
      <c r="L64" s="2">
        <f t="shared" si="14"/>
        <v>6.5300000000000011</v>
      </c>
      <c r="M64" s="2"/>
      <c r="N64" s="19">
        <f t="shared" si="15"/>
        <v>0.11084705482940081</v>
      </c>
      <c r="O64" s="11"/>
      <c r="P64" s="2">
        <v>71.38</v>
      </c>
      <c r="Q64" s="2"/>
      <c r="R64" s="19">
        <f t="shared" si="16"/>
        <v>1.3468853625072701E-4</v>
      </c>
      <c r="S64" s="2"/>
      <c r="T64" s="2">
        <v>171.68</v>
      </c>
      <c r="U64" s="2"/>
      <c r="V64" s="19">
        <f t="shared" si="17"/>
        <v>2.4315738849191372E-4</v>
      </c>
      <c r="W64" s="2"/>
      <c r="X64" s="2">
        <f t="shared" si="18"/>
        <v>-100.30000000000001</v>
      </c>
      <c r="Y64" s="2"/>
      <c r="Z64" s="19">
        <f t="shared" si="19"/>
        <v>-0.58422646784715759</v>
      </c>
    </row>
    <row r="65" spans="1:26" s="24" customFormat="1" hidden="1" outlineLevel="1" x14ac:dyDescent="0.25">
      <c r="A65" s="44"/>
      <c r="B65" s="11" t="str">
        <f>CONCATENATE("          ", "5543", " - ", "FREIGHT-IN-CARDS")</f>
        <v xml:space="preserve">          5543 - FREIGHT-IN-CARDS</v>
      </c>
      <c r="C65" s="11"/>
      <c r="D65" s="2">
        <v>81.77</v>
      </c>
      <c r="E65" s="2"/>
      <c r="F65" s="19">
        <f t="shared" si="12"/>
        <v>8.7173566867946586E-4</v>
      </c>
      <c r="G65" s="2"/>
      <c r="H65" s="2"/>
      <c r="I65" s="2"/>
      <c r="J65" s="19">
        <f t="shared" si="13"/>
        <v>0</v>
      </c>
      <c r="K65" s="2"/>
      <c r="L65" s="2">
        <f t="shared" si="14"/>
        <v>81.77</v>
      </c>
      <c r="M65" s="2"/>
      <c r="N65" s="19">
        <f t="shared" si="15"/>
        <v>0</v>
      </c>
      <c r="O65" s="11"/>
      <c r="P65" s="2">
        <v>81.77</v>
      </c>
      <c r="Q65" s="2"/>
      <c r="R65" s="19">
        <f t="shared" si="16"/>
        <v>1.5429366221941646E-4</v>
      </c>
      <c r="S65" s="2"/>
      <c r="T65" s="2">
        <v>4.58</v>
      </c>
      <c r="U65" s="2"/>
      <c r="V65" s="19">
        <f t="shared" si="17"/>
        <v>6.4868408626104656E-6</v>
      </c>
      <c r="W65" s="2"/>
      <c r="X65" s="2">
        <f t="shared" si="18"/>
        <v>77.19</v>
      </c>
      <c r="Y65" s="2"/>
      <c r="Z65" s="19">
        <f t="shared" si="19"/>
        <v>16.853711790393014</v>
      </c>
    </row>
    <row r="66" spans="1:26" s="24" customFormat="1" hidden="1" outlineLevel="1" x14ac:dyDescent="0.25">
      <c r="A66" s="44"/>
      <c r="B66" s="11" t="str">
        <f>CONCATENATE("          ", "5544", " - ", "FREIGHT-IN-ACCESSORIES")</f>
        <v xml:space="preserve">          5544 - FREIGHT-IN-ACCESSORIES</v>
      </c>
      <c r="C66" s="11"/>
      <c r="D66" s="2"/>
      <c r="E66" s="2"/>
      <c r="F66" s="19">
        <f t="shared" si="12"/>
        <v>0</v>
      </c>
      <c r="G66" s="2"/>
      <c r="H66" s="2">
        <v>34.18</v>
      </c>
      <c r="I66" s="2"/>
      <c r="J66" s="19">
        <f t="shared" si="13"/>
        <v>1.2553765780814479E-4</v>
      </c>
      <c r="K66" s="2"/>
      <c r="L66" s="2">
        <f t="shared" si="14"/>
        <v>-34.18</v>
      </c>
      <c r="M66" s="2"/>
      <c r="N66" s="19">
        <f t="shared" si="15"/>
        <v>-1</v>
      </c>
      <c r="O66" s="11"/>
      <c r="P66" s="2"/>
      <c r="Q66" s="2"/>
      <c r="R66" s="19">
        <f t="shared" si="16"/>
        <v>0</v>
      </c>
      <c r="S66" s="2"/>
      <c r="T66" s="2">
        <v>135.84</v>
      </c>
      <c r="U66" s="2"/>
      <c r="V66" s="19">
        <f t="shared" si="17"/>
        <v>1.9239573423078727E-4</v>
      </c>
      <c r="W66" s="2"/>
      <c r="X66" s="2">
        <f t="shared" si="18"/>
        <v>-135.84</v>
      </c>
      <c r="Y66" s="2"/>
      <c r="Z66" s="19">
        <f t="shared" si="19"/>
        <v>-1</v>
      </c>
    </row>
    <row r="67" spans="1:26" s="24" customFormat="1" hidden="1" outlineLevel="1" x14ac:dyDescent="0.25">
      <c r="A67" s="44"/>
      <c r="B67" s="11" t="str">
        <f>CONCATENATE("          ", "5545", " - ", "FREIGHT-IN-SPECIAL ORDERS")</f>
        <v xml:space="preserve">          5545 - FREIGHT-IN-SPECIAL ORDERS</v>
      </c>
      <c r="C67" s="11"/>
      <c r="D67" s="2">
        <v>214.61</v>
      </c>
      <c r="E67" s="2"/>
      <c r="F67" s="19">
        <f t="shared" si="12"/>
        <v>2.287919675373611E-3</v>
      </c>
      <c r="G67" s="2"/>
      <c r="H67" s="2">
        <v>26.56</v>
      </c>
      <c r="I67" s="2"/>
      <c r="J67" s="19">
        <f t="shared" si="13"/>
        <v>9.7550619993690027E-5</v>
      </c>
      <c r="K67" s="2"/>
      <c r="L67" s="2">
        <f t="shared" si="14"/>
        <v>188.05</v>
      </c>
      <c r="M67" s="2"/>
      <c r="N67" s="19">
        <f t="shared" si="15"/>
        <v>7.0801957831325311</v>
      </c>
      <c r="O67" s="11"/>
      <c r="P67" s="2">
        <v>660.61</v>
      </c>
      <c r="Q67" s="2"/>
      <c r="R67" s="19">
        <f t="shared" si="16"/>
        <v>1.2465199486213613E-3</v>
      </c>
      <c r="S67" s="2"/>
      <c r="T67" s="2">
        <v>262.51</v>
      </c>
      <c r="U67" s="2"/>
      <c r="V67" s="19">
        <f t="shared" si="17"/>
        <v>3.7180362332835663E-4</v>
      </c>
      <c r="W67" s="2"/>
      <c r="X67" s="2">
        <f t="shared" si="18"/>
        <v>398.1</v>
      </c>
      <c r="Y67" s="2"/>
      <c r="Z67" s="19">
        <f t="shared" si="19"/>
        <v>1.516513656622605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6</v>
      </c>
      <c r="C69" s="25"/>
      <c r="D69" s="22">
        <f>D12-D50</f>
        <v>34482.76999999999</v>
      </c>
      <c r="E69" s="13"/>
      <c r="F69" s="21">
        <f>IF(D$12=0,0,D69/D$12)</f>
        <v>0.36761478003999287</v>
      </c>
      <c r="G69" s="13"/>
      <c r="H69" s="22">
        <f>H12-H50</f>
        <v>148783.52000000008</v>
      </c>
      <c r="I69" s="13"/>
      <c r="J69" s="21">
        <f>IF(H$12=0,0,H69/H$12)</f>
        <v>0.54645800530284594</v>
      </c>
      <c r="K69" s="15"/>
      <c r="L69" s="22">
        <f>+D69-H69</f>
        <v>-114300.75000000009</v>
      </c>
      <c r="M69" s="15"/>
      <c r="N69" s="21">
        <f>IF(H69=0,0,L69/H69)</f>
        <v>-0.76823528573594724</v>
      </c>
      <c r="O69" s="26"/>
      <c r="P69" s="22">
        <f>P12-P50</f>
        <v>198688.90000000002</v>
      </c>
      <c r="Q69" s="13"/>
      <c r="R69" s="21">
        <f>IF(P$12=0,0,P69/P$12)</f>
        <v>0.37491057873728045</v>
      </c>
      <c r="S69" s="13"/>
      <c r="T69" s="22">
        <f>T12-T50</f>
        <v>381036.10000000003</v>
      </c>
      <c r="U69" s="13"/>
      <c r="V69" s="21">
        <f>IF(T$12=0,0,T69/T$12)</f>
        <v>0.53967697458727681</v>
      </c>
      <c r="W69" s="15"/>
      <c r="X69" s="22">
        <f>+P69-T69</f>
        <v>-182347.2</v>
      </c>
      <c r="Y69" s="15"/>
      <c r="Z69" s="21">
        <f>IF(T69=0,0,X69/T69)</f>
        <v>-0.47855623128622193</v>
      </c>
    </row>
    <row r="70" spans="1:26" x14ac:dyDescent="0.25">
      <c r="A70" s="9"/>
      <c r="B70" s="10"/>
      <c r="C70" s="9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6" t="s">
        <v>9</v>
      </c>
      <c r="C71" s="10"/>
      <c r="D71" s="20">
        <f>SUM(OSRRefD22x_0)</f>
        <v>47093.98000000001</v>
      </c>
      <c r="E71" s="20"/>
      <c r="F71" s="36">
        <f t="shared" ref="F71:F80" si="20">IF(D$12=0,0,D71/D$12)</f>
        <v>0.50206068418830141</v>
      </c>
      <c r="G71" s="20"/>
      <c r="H71" s="20">
        <f>SUM(OSRRefH22x_0)</f>
        <v>49071.69999999999</v>
      </c>
      <c r="I71" s="20"/>
      <c r="J71" s="36">
        <f t="shared" ref="J71:J80" si="21">IF(H$12=0,0,H71/H$12)</f>
        <v>0.18023248340151951</v>
      </c>
      <c r="K71" s="4"/>
      <c r="L71" s="20">
        <f t="shared" ref="L71:L80" si="22">+D71-H71</f>
        <v>-1977.7199999999793</v>
      </c>
      <c r="M71" s="4"/>
      <c r="N71" s="36">
        <f t="shared" ref="N71:N80" si="23">IF(H71=0,0,L71/H71)</f>
        <v>-4.0302659170152647E-2</v>
      </c>
      <c r="O71" s="10"/>
      <c r="P71" s="20">
        <f>SUM(OSRRefP22x_0)</f>
        <v>146903.75999999998</v>
      </c>
      <c r="Q71" s="20"/>
      <c r="R71" s="36">
        <f t="shared" ref="R71:R80" si="24">IF(P$12=0,0,P71/P$12)</f>
        <v>0.27719602695612355</v>
      </c>
      <c r="S71" s="20"/>
      <c r="T71" s="20">
        <f>SUM(OSRRefT22x_0)</f>
        <v>156074.66000000003</v>
      </c>
      <c r="U71" s="20"/>
      <c r="V71" s="36">
        <f t="shared" ref="V71:V80" si="25">IF(T$12=0,0,T71/T$12)</f>
        <v>0.22105490875677627</v>
      </c>
      <c r="W71" s="4"/>
      <c r="X71" s="20">
        <f t="shared" ref="X71:X80" si="26">+P71-T71</f>
        <v>-9170.9000000000524</v>
      </c>
      <c r="Y71" s="4"/>
      <c r="Z71" s="36">
        <f t="shared" ref="Z71:Z80" si="27">IF(T71=0,0,X71/T71)</f>
        <v>-5.8759698723675265E-2</v>
      </c>
    </row>
    <row r="72" spans="1:26" s="27" customFormat="1" outlineLevel="1" collapsed="1" x14ac:dyDescent="0.25">
      <c r="A72" s="29"/>
      <c r="B72" s="14" t="str">
        <f>CONCATENATE("     ","*Benefits                                         ")</f>
        <v xml:space="preserve">     *Benefits                                         </v>
      </c>
      <c r="C72" s="14"/>
      <c r="D72" s="1">
        <f>SUM(OSRRefD22_0x_0)</f>
        <v>13960.140000000001</v>
      </c>
      <c r="E72" s="1"/>
      <c r="F72" s="5">
        <f t="shared" si="20"/>
        <v>0.14882661095461611</v>
      </c>
      <c r="G72" s="1"/>
      <c r="H72" s="1">
        <f>SUM(OSRRefH22_0x_0)</f>
        <v>7193.2</v>
      </c>
      <c r="I72" s="1"/>
      <c r="J72" s="5">
        <f t="shared" si="21"/>
        <v>2.6419469869676623E-2</v>
      </c>
      <c r="K72" s="1"/>
      <c r="L72" s="1">
        <f t="shared" si="22"/>
        <v>6766.9400000000014</v>
      </c>
      <c r="M72" s="1"/>
      <c r="N72" s="5">
        <f t="shared" si="23"/>
        <v>0.94074125563031774</v>
      </c>
      <c r="O72" s="14"/>
      <c r="P72" s="1">
        <f>SUM(OSRRefP22_0x_0)</f>
        <v>33231.71</v>
      </c>
      <c r="Q72" s="1"/>
      <c r="R72" s="5">
        <f t="shared" si="24"/>
        <v>6.2705665130409746E-2</v>
      </c>
      <c r="S72" s="1"/>
      <c r="T72" s="1">
        <f>SUM(OSRRefT22_0x_0)</f>
        <v>21716.639999999999</v>
      </c>
      <c r="U72" s="1"/>
      <c r="V72" s="5">
        <f t="shared" si="25"/>
        <v>3.0758163264323349E-2</v>
      </c>
      <c r="W72" s="1"/>
      <c r="X72" s="1">
        <f t="shared" si="26"/>
        <v>11515.07</v>
      </c>
      <c r="Y72" s="1"/>
      <c r="Z72" s="5">
        <f t="shared" si="27"/>
        <v>0.53024178694309987</v>
      </c>
    </row>
    <row r="73" spans="1:26" s="24" customFormat="1" hidden="1" outlineLevel="2" x14ac:dyDescent="0.25">
      <c r="A73" s="28"/>
      <c r="B73" s="11" t="str">
        <f>CONCATENATE("          ", "6111", " - ", "F.I.C.A.")</f>
        <v xml:space="preserve">          6111 - F.I.C.A.</v>
      </c>
      <c r="C73" s="11"/>
      <c r="D73" s="7">
        <v>5204.29</v>
      </c>
      <c r="E73" s="2"/>
      <c r="F73" s="6">
        <f t="shared" si="20"/>
        <v>5.5482025475747307E-2</v>
      </c>
      <c r="G73" s="2"/>
      <c r="H73" s="7">
        <v>1039.95</v>
      </c>
      <c r="I73" s="2"/>
      <c r="J73" s="6">
        <f t="shared" si="21"/>
        <v>3.8195695505435978E-3</v>
      </c>
      <c r="K73" s="2"/>
      <c r="L73" s="7">
        <f t="shared" si="22"/>
        <v>4164.34</v>
      </c>
      <c r="M73" s="2"/>
      <c r="N73" s="6">
        <f t="shared" si="23"/>
        <v>4.0043655944997356</v>
      </c>
      <c r="O73" s="11"/>
      <c r="P73" s="7">
        <v>8618.4599999999991</v>
      </c>
      <c r="Q73" s="2"/>
      <c r="R73" s="6">
        <f t="shared" si="24"/>
        <v>1.6262367079510235E-2</v>
      </c>
      <c r="S73" s="2"/>
      <c r="T73" s="7">
        <v>4437.76</v>
      </c>
      <c r="U73" s="2"/>
      <c r="V73" s="6">
        <f t="shared" si="25"/>
        <v>6.2853805472616207E-3</v>
      </c>
      <c r="W73" s="2"/>
      <c r="X73" s="7">
        <f t="shared" si="26"/>
        <v>4180.6999999999989</v>
      </c>
      <c r="Y73" s="2"/>
      <c r="Z73" s="6">
        <f t="shared" si="27"/>
        <v>0.94207437986732012</v>
      </c>
    </row>
    <row r="74" spans="1:26" s="24" customFormat="1" hidden="1" outlineLevel="2" x14ac:dyDescent="0.25">
      <c r="A74" s="28"/>
      <c r="B74" s="11" t="str">
        <f>CONCATENATE("          ", "6112", " - ", "COMPENSATION INSURANCE")</f>
        <v xml:space="preserve">          6112 - COMPENSATION INSURANCE</v>
      </c>
      <c r="C74" s="11"/>
      <c r="D74" s="7">
        <v>2465.87</v>
      </c>
      <c r="E74" s="2"/>
      <c r="F74" s="6">
        <f t="shared" si="20"/>
        <v>2.6288208796950402E-2</v>
      </c>
      <c r="G74" s="2"/>
      <c r="H74" s="7">
        <v>479.18</v>
      </c>
      <c r="I74" s="2"/>
      <c r="J74" s="6">
        <f t="shared" si="21"/>
        <v>1.7599512834554365E-3</v>
      </c>
      <c r="K74" s="2"/>
      <c r="L74" s="7">
        <f t="shared" si="22"/>
        <v>1986.6899999999998</v>
      </c>
      <c r="M74" s="2"/>
      <c r="N74" s="6">
        <f t="shared" si="23"/>
        <v>4.1460202846529484</v>
      </c>
      <c r="O74" s="11"/>
      <c r="P74" s="7">
        <v>3428.21</v>
      </c>
      <c r="Q74" s="2"/>
      <c r="R74" s="6">
        <f t="shared" si="24"/>
        <v>6.4687669775862272E-3</v>
      </c>
      <c r="S74" s="2"/>
      <c r="T74" s="7">
        <v>1361.29</v>
      </c>
      <c r="U74" s="2"/>
      <c r="V74" s="6">
        <f t="shared" si="25"/>
        <v>1.9280505672189957E-3</v>
      </c>
      <c r="W74" s="2"/>
      <c r="X74" s="7">
        <f t="shared" si="26"/>
        <v>2066.92</v>
      </c>
      <c r="Y74" s="2"/>
      <c r="Z74" s="6">
        <f t="shared" si="27"/>
        <v>1.5183539143018756</v>
      </c>
    </row>
    <row r="75" spans="1:26" s="24" customFormat="1" hidden="1" outlineLevel="2" x14ac:dyDescent="0.25">
      <c r="A75" s="28"/>
      <c r="B75" s="11" t="str">
        <f>CONCATENATE("          ", "6113", " - ", "GROUP INSURANCE")</f>
        <v xml:space="preserve">          6113 - GROUP INSURANCE</v>
      </c>
      <c r="C75" s="11"/>
      <c r="D75" s="7">
        <v>2826.13</v>
      </c>
      <c r="E75" s="2"/>
      <c r="F75" s="6">
        <f t="shared" si="20"/>
        <v>3.0128877648588712E-2</v>
      </c>
      <c r="G75" s="2"/>
      <c r="H75" s="7">
        <v>3221.63</v>
      </c>
      <c r="I75" s="2"/>
      <c r="J75" s="6">
        <f t="shared" si="21"/>
        <v>1.1832530266952999E-2</v>
      </c>
      <c r="K75" s="2"/>
      <c r="L75" s="7">
        <f t="shared" si="22"/>
        <v>-395.5</v>
      </c>
      <c r="M75" s="2"/>
      <c r="N75" s="6">
        <f t="shared" si="23"/>
        <v>-0.12276394247632409</v>
      </c>
      <c r="O75" s="11"/>
      <c r="P75" s="7">
        <v>9314.61</v>
      </c>
      <c r="Q75" s="2"/>
      <c r="R75" s="6">
        <f t="shared" si="24"/>
        <v>1.7575948257864731E-2</v>
      </c>
      <c r="S75" s="2"/>
      <c r="T75" s="7">
        <v>7794.29</v>
      </c>
      <c r="U75" s="2"/>
      <c r="V75" s="6">
        <f t="shared" si="25"/>
        <v>1.1039370931667276E-2</v>
      </c>
      <c r="W75" s="2"/>
      <c r="X75" s="7">
        <f t="shared" si="26"/>
        <v>1520.3200000000006</v>
      </c>
      <c r="Y75" s="2"/>
      <c r="Z75" s="6">
        <f t="shared" si="27"/>
        <v>0.19505561122308776</v>
      </c>
    </row>
    <row r="76" spans="1:26" s="24" customFormat="1" hidden="1" outlineLevel="2" x14ac:dyDescent="0.25">
      <c r="A76" s="28"/>
      <c r="B76" s="11" t="str">
        <f>CONCATENATE("          ", "6114", " - ", "STATE UNEMPLOYMENT INSURANCE")</f>
        <v xml:space="preserve">          6114 - STATE UNEMPLOYMENT INSURANCE</v>
      </c>
      <c r="C76" s="11"/>
      <c r="D76" s="7">
        <v>192.55</v>
      </c>
      <c r="E76" s="2"/>
      <c r="F76" s="6">
        <f t="shared" si="20"/>
        <v>2.0527418735995008E-3</v>
      </c>
      <c r="G76" s="2"/>
      <c r="H76" s="7">
        <v>65.569999999999993</v>
      </c>
      <c r="I76" s="2"/>
      <c r="J76" s="6">
        <f t="shared" si="21"/>
        <v>2.4082809310942225E-4</v>
      </c>
      <c r="K76" s="2"/>
      <c r="L76" s="7">
        <f t="shared" si="22"/>
        <v>126.98000000000002</v>
      </c>
      <c r="M76" s="2"/>
      <c r="N76" s="6">
        <f t="shared" si="23"/>
        <v>1.93655635199024</v>
      </c>
      <c r="O76" s="11"/>
      <c r="P76" s="7">
        <v>308.02999999999997</v>
      </c>
      <c r="Q76" s="2"/>
      <c r="R76" s="6">
        <f t="shared" si="24"/>
        <v>5.812287730640437E-4</v>
      </c>
      <c r="S76" s="2"/>
      <c r="T76" s="7">
        <v>177.55</v>
      </c>
      <c r="U76" s="2"/>
      <c r="V76" s="6">
        <f t="shared" si="25"/>
        <v>2.5147130898613281E-4</v>
      </c>
      <c r="W76" s="2"/>
      <c r="X76" s="7">
        <f t="shared" si="26"/>
        <v>130.47999999999996</v>
      </c>
      <c r="Y76" s="2"/>
      <c r="Z76" s="6">
        <f t="shared" si="27"/>
        <v>0.73489157983666542</v>
      </c>
    </row>
    <row r="77" spans="1:26" s="24" customFormat="1" hidden="1" outlineLevel="2" x14ac:dyDescent="0.25">
      <c r="A77" s="28"/>
      <c r="B77" s="11" t="str">
        <f>CONCATENATE("          ", "6115", " - ", "P.E.R.S.")</f>
        <v xml:space="preserve">          6115 - P.E.R.S.</v>
      </c>
      <c r="C77" s="11"/>
      <c r="D77" s="7">
        <v>1302.07</v>
      </c>
      <c r="E77" s="2"/>
      <c r="F77" s="6">
        <f t="shared" si="20"/>
        <v>1.3881140541977156E-2</v>
      </c>
      <c r="G77" s="2"/>
      <c r="H77" s="7">
        <v>902.12</v>
      </c>
      <c r="I77" s="2"/>
      <c r="J77" s="6">
        <f t="shared" si="21"/>
        <v>3.3133420673459204E-3</v>
      </c>
      <c r="K77" s="2"/>
      <c r="L77" s="7">
        <f t="shared" si="22"/>
        <v>399.94999999999993</v>
      </c>
      <c r="M77" s="2"/>
      <c r="N77" s="6">
        <f t="shared" si="23"/>
        <v>0.44334456613310858</v>
      </c>
      <c r="O77" s="11"/>
      <c r="P77" s="7">
        <v>4798.43</v>
      </c>
      <c r="Q77" s="2"/>
      <c r="R77" s="6">
        <f t="shared" si="24"/>
        <v>9.0542660829584769E-3</v>
      </c>
      <c r="S77" s="2"/>
      <c r="T77" s="7">
        <v>2266.91</v>
      </c>
      <c r="U77" s="2"/>
      <c r="V77" s="6">
        <f t="shared" si="25"/>
        <v>3.210717122240238E-3</v>
      </c>
      <c r="W77" s="2"/>
      <c r="X77" s="7">
        <f t="shared" si="26"/>
        <v>2531.5200000000004</v>
      </c>
      <c r="Y77" s="2"/>
      <c r="Z77" s="6">
        <f t="shared" si="27"/>
        <v>1.1167271748768151</v>
      </c>
    </row>
    <row r="78" spans="1:26" s="24" customFormat="1" hidden="1" outlineLevel="2" x14ac:dyDescent="0.25">
      <c r="A78" s="28"/>
      <c r="B78" s="11" t="str">
        <f>CONCATENATE("          ", "6118", " - ", "VACATION")</f>
        <v xml:space="preserve">          6118 - VACATION</v>
      </c>
      <c r="C78" s="11"/>
      <c r="D78" s="7">
        <v>886.6</v>
      </c>
      <c r="E78" s="2"/>
      <c r="F78" s="6">
        <f t="shared" si="20"/>
        <v>9.4518875363973891E-3</v>
      </c>
      <c r="G78" s="2"/>
      <c r="H78" s="7">
        <v>753.6</v>
      </c>
      <c r="I78" s="2"/>
      <c r="J78" s="6">
        <f t="shared" si="21"/>
        <v>2.7678519287366271E-3</v>
      </c>
      <c r="K78" s="2"/>
      <c r="L78" s="7">
        <f t="shared" si="22"/>
        <v>133</v>
      </c>
      <c r="M78" s="2"/>
      <c r="N78" s="6">
        <f t="shared" si="23"/>
        <v>0.17648619957537154</v>
      </c>
      <c r="O78" s="11"/>
      <c r="P78" s="7">
        <v>3460.34</v>
      </c>
      <c r="Q78" s="2"/>
      <c r="R78" s="6">
        <f t="shared" si="24"/>
        <v>6.5293938012025883E-3</v>
      </c>
      <c r="S78" s="2"/>
      <c r="T78" s="7">
        <v>2272.61</v>
      </c>
      <c r="U78" s="2"/>
      <c r="V78" s="6">
        <f t="shared" si="25"/>
        <v>3.2187902647985091E-3</v>
      </c>
      <c r="W78" s="2"/>
      <c r="X78" s="7">
        <f t="shared" si="26"/>
        <v>1187.73</v>
      </c>
      <c r="Y78" s="2"/>
      <c r="Z78" s="6">
        <f t="shared" si="27"/>
        <v>0.52262816761344888</v>
      </c>
    </row>
    <row r="79" spans="1:26" s="24" customFormat="1" hidden="1" outlineLevel="2" x14ac:dyDescent="0.25">
      <c r="A79" s="28"/>
      <c r="B79" s="11" t="str">
        <f>CONCATENATE("          ", "6119", " - ", "SICK LEAVE")</f>
        <v xml:space="preserve">          6119 - SICK LEAVE</v>
      </c>
      <c r="C79" s="11"/>
      <c r="D79" s="7">
        <v>777.18</v>
      </c>
      <c r="E79" s="2"/>
      <c r="F79" s="6">
        <f t="shared" si="20"/>
        <v>8.2853800536175515E-3</v>
      </c>
      <c r="G79" s="2"/>
      <c r="H79" s="7">
        <v>465.7</v>
      </c>
      <c r="I79" s="2"/>
      <c r="J79" s="6">
        <f t="shared" si="21"/>
        <v>1.7104414055369522E-3</v>
      </c>
      <c r="K79" s="2"/>
      <c r="L79" s="7">
        <f t="shared" si="22"/>
        <v>311.47999999999996</v>
      </c>
      <c r="M79" s="2"/>
      <c r="N79" s="6">
        <f t="shared" si="23"/>
        <v>0.66884260253382</v>
      </c>
      <c r="O79" s="11"/>
      <c r="P79" s="7">
        <v>2427.48</v>
      </c>
      <c r="Q79" s="2"/>
      <c r="R79" s="6">
        <f t="shared" si="24"/>
        <v>4.5804669091890557E-3</v>
      </c>
      <c r="S79" s="2"/>
      <c r="T79" s="7">
        <v>2846.2</v>
      </c>
      <c r="U79" s="2"/>
      <c r="V79" s="6">
        <f t="shared" si="25"/>
        <v>4.0311891840964864E-3</v>
      </c>
      <c r="W79" s="2"/>
      <c r="X79" s="7">
        <f t="shared" si="26"/>
        <v>-418.7199999999998</v>
      </c>
      <c r="Y79" s="2"/>
      <c r="Z79" s="6">
        <f t="shared" si="27"/>
        <v>-0.14711545218185645</v>
      </c>
    </row>
    <row r="80" spans="1:26" s="24" customFormat="1" hidden="1" outlineLevel="2" x14ac:dyDescent="0.25">
      <c r="A80" s="28"/>
      <c r="B80" s="11" t="str">
        <f>CONCATENATE("          ", "6156", " - ", "EMPLOYEE MEALS")</f>
        <v xml:space="preserve">          6156 - EMPLOYEE MEALS</v>
      </c>
      <c r="C80" s="11"/>
      <c r="D80" s="7">
        <v>305.45</v>
      </c>
      <c r="E80" s="2"/>
      <c r="F80" s="6">
        <f t="shared" si="20"/>
        <v>3.2563490277380805E-3</v>
      </c>
      <c r="G80" s="2"/>
      <c r="H80" s="7">
        <v>265.45</v>
      </c>
      <c r="I80" s="2"/>
      <c r="J80" s="6">
        <f t="shared" si="21"/>
        <v>9.7495527399567088E-4</v>
      </c>
      <c r="K80" s="2"/>
      <c r="L80" s="7">
        <f t="shared" si="22"/>
        <v>40</v>
      </c>
      <c r="M80" s="2"/>
      <c r="N80" s="6">
        <f t="shared" si="23"/>
        <v>0.15068751177246187</v>
      </c>
      <c r="O80" s="11"/>
      <c r="P80" s="7">
        <v>876.15</v>
      </c>
      <c r="Q80" s="2"/>
      <c r="R80" s="6">
        <f t="shared" si="24"/>
        <v>1.6532272490343859E-3</v>
      </c>
      <c r="S80" s="2"/>
      <c r="T80" s="7">
        <v>560.03</v>
      </c>
      <c r="U80" s="2"/>
      <c r="V80" s="6">
        <f t="shared" si="25"/>
        <v>7.9319333805409143E-4</v>
      </c>
      <c r="W80" s="2"/>
      <c r="X80" s="7">
        <f t="shared" si="26"/>
        <v>316.12</v>
      </c>
      <c r="Y80" s="2"/>
      <c r="Z80" s="6">
        <f t="shared" si="27"/>
        <v>0.56446976054854203</v>
      </c>
    </row>
    <row r="81" spans="1:26" s="27" customFormat="1" outlineLevel="1" collapsed="1" x14ac:dyDescent="0.25">
      <c r="A81" s="29"/>
      <c r="B81" s="14" t="str">
        <f>CONCATENATE("     ","*Payroll                                          ")</f>
        <v xml:space="preserve">     *Payroll                                          </v>
      </c>
      <c r="C81" s="14"/>
      <c r="D81" s="1">
        <f>SUM(OSRRefD22_1x_0)</f>
        <v>30854.230000000003</v>
      </c>
      <c r="E81" s="1"/>
      <c r="F81" s="5">
        <f t="shared" ref="F81:F86" si="28">IF(D$12=0,0,D81/D$12)</f>
        <v>0.32893154972043587</v>
      </c>
      <c r="G81" s="1"/>
      <c r="H81" s="1">
        <f>SUM(OSRRefH22_1x_0)</f>
        <v>26800.68</v>
      </c>
      <c r="I81" s="1"/>
      <c r="J81" s="5">
        <f t="shared" ref="J81:J86" si="29">IF(H$12=0,0,H81/H$12)</f>
        <v>9.843459903059068E-2</v>
      </c>
      <c r="K81" s="1"/>
      <c r="L81" s="1">
        <f t="shared" ref="L81:L86" si="30">+D81-H81</f>
        <v>4053.5500000000029</v>
      </c>
      <c r="M81" s="1"/>
      <c r="N81" s="5">
        <f t="shared" ref="N81:N86" si="31">IF(H81=0,0,L81/H81)</f>
        <v>0.15124802803510967</v>
      </c>
      <c r="O81" s="14"/>
      <c r="P81" s="1">
        <f>SUM(OSRRefP22_1x_0)</f>
        <v>88713.78</v>
      </c>
      <c r="Q81" s="1"/>
      <c r="R81" s="5">
        <f t="shared" ref="R81:R86" si="32">IF(P$12=0,0,P81/P$12)</f>
        <v>0.16739603773422557</v>
      </c>
      <c r="S81" s="1"/>
      <c r="T81" s="1">
        <f>SUM(OSRRefT22_1x_0)</f>
        <v>75932.75</v>
      </c>
      <c r="U81" s="1"/>
      <c r="V81" s="5">
        <f t="shared" ref="V81:V86" si="33">IF(T$12=0,0,T81/T$12)</f>
        <v>0.10754665185816263</v>
      </c>
      <c r="W81" s="1"/>
      <c r="X81" s="1">
        <f t="shared" ref="X81:X86" si="34">+P81-T81</f>
        <v>12781.029999999999</v>
      </c>
      <c r="Y81" s="1"/>
      <c r="Z81" s="5">
        <f t="shared" ref="Z81:Z86" si="35">IF(T81=0,0,X81/T81)</f>
        <v>0.16832038876505853</v>
      </c>
    </row>
    <row r="82" spans="1:26" s="24" customFormat="1" hidden="1" outlineLevel="2" x14ac:dyDescent="0.25">
      <c r="A82" s="28"/>
      <c r="B82" s="11" t="str">
        <f>CONCATENATE("          ", "6002", " - ", "STAFF SALARIES")</f>
        <v xml:space="preserve">          6002 - STAFF SALARIES</v>
      </c>
      <c r="C82" s="11"/>
      <c r="D82" s="7">
        <v>10829.86</v>
      </c>
      <c r="E82" s="2"/>
      <c r="F82" s="6">
        <f t="shared" si="28"/>
        <v>0.11545524335092333</v>
      </c>
      <c r="G82" s="2"/>
      <c r="H82" s="7">
        <v>11099.56</v>
      </c>
      <c r="I82" s="2"/>
      <c r="J82" s="6">
        <f t="shared" si="29"/>
        <v>4.0766903601549775E-2</v>
      </c>
      <c r="K82" s="2"/>
      <c r="L82" s="7">
        <f t="shared" si="30"/>
        <v>-269.69999999999891</v>
      </c>
      <c r="M82" s="2"/>
      <c r="N82" s="6">
        <f t="shared" si="31"/>
        <v>-2.4298260471586165E-2</v>
      </c>
      <c r="O82" s="11"/>
      <c r="P82" s="7">
        <v>40462.959999999999</v>
      </c>
      <c r="Q82" s="2"/>
      <c r="R82" s="6">
        <f t="shared" si="32"/>
        <v>7.6350474289320777E-2</v>
      </c>
      <c r="S82" s="2"/>
      <c r="T82" s="7">
        <v>26719.63</v>
      </c>
      <c r="U82" s="2"/>
      <c r="V82" s="6">
        <f t="shared" si="33"/>
        <v>3.7844102121797486E-2</v>
      </c>
      <c r="W82" s="2"/>
      <c r="X82" s="7">
        <f t="shared" si="34"/>
        <v>13743.329999999998</v>
      </c>
      <c r="Y82" s="2"/>
      <c r="Z82" s="6">
        <f t="shared" si="35"/>
        <v>0.51435330504202337</v>
      </c>
    </row>
    <row r="83" spans="1:26" s="24" customFormat="1" hidden="1" outlineLevel="2" x14ac:dyDescent="0.25">
      <c r="A83" s="28"/>
      <c r="B83" s="11" t="str">
        <f>CONCATENATE("          ", "6004", " - ", "STAFF HOURLY")</f>
        <v xml:space="preserve">          6004 - STAFF HOURLY</v>
      </c>
      <c r="C83" s="11"/>
      <c r="D83" s="7">
        <v>9691.51</v>
      </c>
      <c r="E83" s="2"/>
      <c r="F83" s="6">
        <f t="shared" si="28"/>
        <v>0.10331949309482366</v>
      </c>
      <c r="G83" s="2"/>
      <c r="H83" s="7"/>
      <c r="I83" s="2"/>
      <c r="J83" s="6">
        <f t="shared" si="29"/>
        <v>0</v>
      </c>
      <c r="K83" s="2"/>
      <c r="L83" s="7">
        <f t="shared" si="30"/>
        <v>9691.51</v>
      </c>
      <c r="M83" s="2"/>
      <c r="N83" s="6">
        <f t="shared" si="31"/>
        <v>0</v>
      </c>
      <c r="O83" s="11"/>
      <c r="P83" s="7">
        <v>23803.550000000003</v>
      </c>
      <c r="Q83" s="2"/>
      <c r="R83" s="6">
        <f t="shared" si="32"/>
        <v>4.491545680962445E-2</v>
      </c>
      <c r="S83" s="2"/>
      <c r="T83" s="7"/>
      <c r="U83" s="2"/>
      <c r="V83" s="6">
        <f t="shared" si="33"/>
        <v>0</v>
      </c>
      <c r="W83" s="2"/>
      <c r="X83" s="7">
        <f t="shared" si="34"/>
        <v>23803.550000000003</v>
      </c>
      <c r="Y83" s="2"/>
      <c r="Z83" s="6">
        <f t="shared" si="35"/>
        <v>0</v>
      </c>
    </row>
    <row r="84" spans="1:26" s="24" customFormat="1" hidden="1" outlineLevel="2" x14ac:dyDescent="0.25">
      <c r="A84" s="28"/>
      <c r="B84" s="11" t="str">
        <f>CONCATENATE("          ", "6005", " - ", "TEMPORARY WAGES-HOURLY")</f>
        <v xml:space="preserve">          6005 - TEMPORARY WAGES-HOURLY</v>
      </c>
      <c r="C84" s="11"/>
      <c r="D84" s="7">
        <v>5283.11</v>
      </c>
      <c r="E84" s="2"/>
      <c r="F84" s="6">
        <f t="shared" si="28"/>
        <v>5.6322311710372663E-2</v>
      </c>
      <c r="G84" s="2"/>
      <c r="H84" s="7">
        <v>2687.6</v>
      </c>
      <c r="I84" s="2"/>
      <c r="J84" s="6">
        <f t="shared" si="29"/>
        <v>9.8711237309880018E-3</v>
      </c>
      <c r="K84" s="2"/>
      <c r="L84" s="7">
        <f t="shared" si="30"/>
        <v>2595.5099999999998</v>
      </c>
      <c r="M84" s="2"/>
      <c r="N84" s="6">
        <f t="shared" si="31"/>
        <v>0.96573522845661552</v>
      </c>
      <c r="O84" s="11"/>
      <c r="P84" s="7">
        <v>9409.18</v>
      </c>
      <c r="Q84" s="2"/>
      <c r="R84" s="6">
        <f t="shared" si="32"/>
        <v>1.7754394529554716E-2</v>
      </c>
      <c r="S84" s="2"/>
      <c r="T84" s="7">
        <v>10352.19</v>
      </c>
      <c r="U84" s="2"/>
      <c r="V84" s="6">
        <f t="shared" si="33"/>
        <v>1.4662229063211232E-2</v>
      </c>
      <c r="W84" s="2"/>
      <c r="X84" s="7">
        <f t="shared" si="34"/>
        <v>-943.01000000000022</v>
      </c>
      <c r="Y84" s="2"/>
      <c r="Z84" s="6">
        <f t="shared" si="35"/>
        <v>-9.1092802585733088E-2</v>
      </c>
    </row>
    <row r="85" spans="1:26" s="24" customFormat="1" hidden="1" outlineLevel="2" x14ac:dyDescent="0.25">
      <c r="A85" s="28"/>
      <c r="B85" s="11" t="str">
        <f>CONCATENATE("          ", "6007", " - ", "STUDENT HOURLY")</f>
        <v xml:space="preserve">          6007 - STUDENT HOURLY</v>
      </c>
      <c r="C85" s="11"/>
      <c r="D85" s="7">
        <v>4365.2299999999996</v>
      </c>
      <c r="E85" s="2"/>
      <c r="F85" s="6">
        <f t="shared" si="28"/>
        <v>4.6536953564750697E-2</v>
      </c>
      <c r="G85" s="2"/>
      <c r="H85" s="7">
        <v>13013.52</v>
      </c>
      <c r="I85" s="2"/>
      <c r="J85" s="6">
        <f t="shared" si="29"/>
        <v>4.7796571698052903E-2</v>
      </c>
      <c r="K85" s="2"/>
      <c r="L85" s="7">
        <f t="shared" si="30"/>
        <v>-8648.2900000000009</v>
      </c>
      <c r="M85" s="2"/>
      <c r="N85" s="6">
        <f t="shared" si="31"/>
        <v>-0.66456193251326312</v>
      </c>
      <c r="O85" s="11"/>
      <c r="P85" s="7">
        <v>14014.53</v>
      </c>
      <c r="Q85" s="2"/>
      <c r="R85" s="6">
        <f t="shared" si="32"/>
        <v>2.6444333594030561E-2</v>
      </c>
      <c r="S85" s="2"/>
      <c r="T85" s="7">
        <v>38665.93</v>
      </c>
      <c r="U85" s="2"/>
      <c r="V85" s="6">
        <f t="shared" si="33"/>
        <v>5.4764134217213073E-2</v>
      </c>
      <c r="W85" s="2"/>
      <c r="X85" s="7">
        <f t="shared" si="34"/>
        <v>-24651.4</v>
      </c>
      <c r="Y85" s="2"/>
      <c r="Z85" s="6">
        <f t="shared" si="35"/>
        <v>-0.63754835329190329</v>
      </c>
    </row>
    <row r="86" spans="1:26" s="24" customFormat="1" hidden="1" outlineLevel="2" x14ac:dyDescent="0.25">
      <c r="A86" s="28"/>
      <c r="B86" s="11" t="str">
        <f>CONCATENATE("          ", "6008", " - ", "STUDENT HOURLY-FICA EXEMPT")</f>
        <v xml:space="preserve">          6008 - STUDENT HOURLY-FICA EXEMPT</v>
      </c>
      <c r="C86" s="11"/>
      <c r="D86" s="7">
        <v>684.52</v>
      </c>
      <c r="E86" s="2"/>
      <c r="F86" s="6">
        <f t="shared" si="28"/>
        <v>7.297547999565464E-3</v>
      </c>
      <c r="G86" s="2"/>
      <c r="H86" s="7"/>
      <c r="I86" s="2"/>
      <c r="J86" s="6">
        <f t="shared" si="29"/>
        <v>0</v>
      </c>
      <c r="K86" s="2"/>
      <c r="L86" s="7">
        <f t="shared" si="30"/>
        <v>684.52</v>
      </c>
      <c r="M86" s="2"/>
      <c r="N86" s="6">
        <f t="shared" si="31"/>
        <v>0</v>
      </c>
      <c r="O86" s="11"/>
      <c r="P86" s="7">
        <v>1023.56</v>
      </c>
      <c r="Q86" s="2"/>
      <c r="R86" s="6">
        <f t="shared" si="32"/>
        <v>1.9313785116950705E-3</v>
      </c>
      <c r="S86" s="2"/>
      <c r="T86" s="7">
        <v>195</v>
      </c>
      <c r="U86" s="2"/>
      <c r="V86" s="6">
        <f t="shared" si="33"/>
        <v>2.7618645594083862E-4</v>
      </c>
      <c r="W86" s="2"/>
      <c r="X86" s="7">
        <f t="shared" si="34"/>
        <v>828.56</v>
      </c>
      <c r="Y86" s="2"/>
      <c r="Z86" s="6">
        <f t="shared" si="35"/>
        <v>4.2490256410256411</v>
      </c>
    </row>
    <row r="87" spans="1:26" s="27" customFormat="1" outlineLevel="1" collapsed="1" x14ac:dyDescent="0.25">
      <c r="A87" s="29"/>
      <c r="B87" s="14" t="str">
        <f>CONCATENATE("     ","Advertising/Promo                                 ")</f>
        <v xml:space="preserve">     Advertising/Promo                                 </v>
      </c>
      <c r="C87" s="14"/>
      <c r="D87" s="1">
        <f>SUM(OSRRefD22_2x_0)</f>
        <v>391.39</v>
      </c>
      <c r="E87" s="1"/>
      <c r="F87" s="5">
        <f t="shared" ref="F87:F91" si="36">IF(D$12=0,0,D87/D$12)</f>
        <v>4.1725403370974209E-3</v>
      </c>
      <c r="G87" s="1"/>
      <c r="H87" s="1">
        <f>SUM(OSRRefH22_2x_0)</f>
        <v>396.33</v>
      </c>
      <c r="I87" s="1"/>
      <c r="J87" s="5">
        <f t="shared" ref="J87:J91" si="37">IF(H$12=0,0,H87/H$12)</f>
        <v>1.4556565219163843E-3</v>
      </c>
      <c r="K87" s="1"/>
      <c r="L87" s="1">
        <f t="shared" ref="L87:L91" si="38">+D87-H87</f>
        <v>-4.9399999999999977</v>
      </c>
      <c r="M87" s="1"/>
      <c r="N87" s="5">
        <f t="shared" ref="N87:N91" si="39">IF(H87=0,0,L87/H87)</f>
        <v>-1.2464360507657755E-2</v>
      </c>
      <c r="O87" s="14"/>
      <c r="P87" s="1">
        <f>SUM(OSRRefP22_2x_0)</f>
        <v>11033.71</v>
      </c>
      <c r="Q87" s="1"/>
      <c r="R87" s="5">
        <f t="shared" ref="R87:R91" si="40">IF(P$12=0,0,P87/P$12)</f>
        <v>2.0819756925119209E-2</v>
      </c>
      <c r="S87" s="1"/>
      <c r="T87" s="1">
        <f>SUM(OSRRefT22_2x_0)</f>
        <v>2762.11</v>
      </c>
      <c r="U87" s="1"/>
      <c r="V87" s="5">
        <f t="shared" ref="V87:V91" si="41">IF(T$12=0,0,T87/T$12)</f>
        <v>3.912089086249999E-3</v>
      </c>
      <c r="W87" s="1"/>
      <c r="X87" s="1">
        <f t="shared" ref="X87:X91" si="42">+P87-T87</f>
        <v>8271.5999999999985</v>
      </c>
      <c r="Y87" s="1"/>
      <c r="Z87" s="5">
        <f t="shared" ref="Z87:Z91" si="43">IF(T87=0,0,X87/T87)</f>
        <v>2.9946671204260507</v>
      </c>
    </row>
    <row r="88" spans="1:26" s="24" customFormat="1" hidden="1" outlineLevel="2" x14ac:dyDescent="0.25">
      <c r="A88" s="28"/>
      <c r="B88" s="11" t="str">
        <f>CONCATENATE("          ", "6362", " - ", "ADVERTISING EXPENSE")</f>
        <v xml:space="preserve">          6362 - ADVERTISING EXPENSE</v>
      </c>
      <c r="C88" s="11"/>
      <c r="D88" s="7">
        <v>391.39</v>
      </c>
      <c r="E88" s="2"/>
      <c r="F88" s="6">
        <f t="shared" si="36"/>
        <v>4.1725403370974209E-3</v>
      </c>
      <c r="G88" s="2"/>
      <c r="H88" s="7">
        <v>396.33</v>
      </c>
      <c r="I88" s="2"/>
      <c r="J88" s="6">
        <f t="shared" si="37"/>
        <v>1.4556565219163843E-3</v>
      </c>
      <c r="K88" s="2"/>
      <c r="L88" s="7">
        <f t="shared" si="38"/>
        <v>-4.9399999999999977</v>
      </c>
      <c r="M88" s="2"/>
      <c r="N88" s="6">
        <f t="shared" si="39"/>
        <v>-1.2464360507657755E-2</v>
      </c>
      <c r="O88" s="11"/>
      <c r="P88" s="7">
        <v>11033.71</v>
      </c>
      <c r="Q88" s="2"/>
      <c r="R88" s="6">
        <f t="shared" si="40"/>
        <v>2.0819756925119209E-2</v>
      </c>
      <c r="S88" s="2"/>
      <c r="T88" s="7">
        <v>2762.11</v>
      </c>
      <c r="U88" s="2"/>
      <c r="V88" s="6">
        <f t="shared" si="41"/>
        <v>3.912089086249999E-3</v>
      </c>
      <c r="W88" s="2"/>
      <c r="X88" s="7">
        <f t="shared" si="42"/>
        <v>8271.5999999999985</v>
      </c>
      <c r="Y88" s="2"/>
      <c r="Z88" s="6">
        <f t="shared" si="43"/>
        <v>2.9946671204260507</v>
      </c>
    </row>
    <row r="89" spans="1:26" s="27" customFormat="1" outlineLevel="1" collapsed="1" x14ac:dyDescent="0.25">
      <c r="A89" s="29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SUM(OSRRefD22_3x_0)</f>
        <v>0</v>
      </c>
      <c r="E89" s="1"/>
      <c r="F89" s="5">
        <f t="shared" si="36"/>
        <v>0</v>
      </c>
      <c r="G89" s="1"/>
      <c r="H89" s="1">
        <f>SUM(OSRRefH22_3x_0)</f>
        <v>9940.4499999999989</v>
      </c>
      <c r="I89" s="1"/>
      <c r="J89" s="5">
        <f t="shared" si="37"/>
        <v>3.650967848329352E-2</v>
      </c>
      <c r="K89" s="1"/>
      <c r="L89" s="1">
        <f t="shared" si="38"/>
        <v>-9940.4499999999989</v>
      </c>
      <c r="M89" s="1"/>
      <c r="N89" s="5">
        <f t="shared" si="39"/>
        <v>-1</v>
      </c>
      <c r="O89" s="14"/>
      <c r="P89" s="1">
        <f>SUM(OSRRefP22_3x_0)</f>
        <v>0</v>
      </c>
      <c r="Q89" s="1"/>
      <c r="R89" s="5">
        <f t="shared" si="40"/>
        <v>0</v>
      </c>
      <c r="S89" s="1"/>
      <c r="T89" s="1">
        <f>SUM(OSRRefT22_3x_0)</f>
        <v>38235.449999999997</v>
      </c>
      <c r="U89" s="1"/>
      <c r="V89" s="5">
        <f t="shared" si="41"/>
        <v>5.4154427829759676E-2</v>
      </c>
      <c r="W89" s="1"/>
      <c r="X89" s="1">
        <f t="shared" si="42"/>
        <v>-38235.449999999997</v>
      </c>
      <c r="Y89" s="1"/>
      <c r="Z89" s="5">
        <f t="shared" si="43"/>
        <v>-1</v>
      </c>
    </row>
    <row r="90" spans="1:26" s="24" customFormat="1" hidden="1" outlineLevel="2" x14ac:dyDescent="0.25">
      <c r="A90" s="28"/>
      <c r="B90" s="11" t="str">
        <f>CONCATENATE("          ", "6382", " - ", "DISCOUNTS/MARK DOWNS")</f>
        <v xml:space="preserve">          6382 - DISCOUNTS/MARK DOWNS</v>
      </c>
      <c r="C90" s="11"/>
      <c r="D90" s="7"/>
      <c r="E90" s="2"/>
      <c r="F90" s="6">
        <f t="shared" si="36"/>
        <v>0</v>
      </c>
      <c r="G90" s="2"/>
      <c r="H90" s="7">
        <v>9978.7099999999991</v>
      </c>
      <c r="I90" s="2"/>
      <c r="J90" s="6">
        <f t="shared" si="37"/>
        <v>3.6650201326703109E-2</v>
      </c>
      <c r="K90" s="2"/>
      <c r="L90" s="7">
        <f t="shared" si="38"/>
        <v>-9978.7099999999991</v>
      </c>
      <c r="M90" s="2"/>
      <c r="N90" s="6">
        <f t="shared" si="39"/>
        <v>-1</v>
      </c>
      <c r="O90" s="11"/>
      <c r="P90" s="7"/>
      <c r="Q90" s="2"/>
      <c r="R90" s="6">
        <f t="shared" si="40"/>
        <v>0</v>
      </c>
      <c r="S90" s="2"/>
      <c r="T90" s="7">
        <v>38273.71</v>
      </c>
      <c r="U90" s="2"/>
      <c r="V90" s="6">
        <f t="shared" si="41"/>
        <v>5.4208617028756068E-2</v>
      </c>
      <c r="W90" s="2"/>
      <c r="X90" s="7">
        <f t="shared" si="42"/>
        <v>-38273.71</v>
      </c>
      <c r="Y90" s="2"/>
      <c r="Z90" s="6">
        <f t="shared" si="43"/>
        <v>-1</v>
      </c>
    </row>
    <row r="91" spans="1:26" s="24" customFormat="1" hidden="1" outlineLevel="2" x14ac:dyDescent="0.25">
      <c r="A91" s="28"/>
      <c r="B91" s="11" t="str">
        <f>CONCATENATE("          ", "9175", " - ", "EARNED DISCOUNTS")</f>
        <v xml:space="preserve">          9175 - EARNED DISCOUNTS</v>
      </c>
      <c r="C91" s="11"/>
      <c r="D91" s="7"/>
      <c r="E91" s="2"/>
      <c r="F91" s="6">
        <f t="shared" si="36"/>
        <v>0</v>
      </c>
      <c r="G91" s="2"/>
      <c r="H91" s="7">
        <v>-38.26</v>
      </c>
      <c r="I91" s="2"/>
      <c r="J91" s="6">
        <f t="shared" si="37"/>
        <v>-1.4052284340958511E-4</v>
      </c>
      <c r="K91" s="2"/>
      <c r="L91" s="7">
        <f t="shared" si="38"/>
        <v>38.26</v>
      </c>
      <c r="M91" s="2"/>
      <c r="N91" s="6">
        <f t="shared" si="39"/>
        <v>-1</v>
      </c>
      <c r="O91" s="11"/>
      <c r="P91" s="7"/>
      <c r="Q91" s="2"/>
      <c r="R91" s="6">
        <f t="shared" si="40"/>
        <v>0</v>
      </c>
      <c r="S91" s="2"/>
      <c r="T91" s="7">
        <v>-38.26</v>
      </c>
      <c r="U91" s="2"/>
      <c r="V91" s="6">
        <f t="shared" si="41"/>
        <v>-5.4189198996392226E-5</v>
      </c>
      <c r="W91" s="2"/>
      <c r="X91" s="7">
        <f t="shared" si="42"/>
        <v>38.26</v>
      </c>
      <c r="Y91" s="2"/>
      <c r="Z91" s="6">
        <f t="shared" si="43"/>
        <v>-1</v>
      </c>
    </row>
    <row r="92" spans="1:26" s="27" customFormat="1" outlineLevel="1" collapsed="1" x14ac:dyDescent="0.25">
      <c r="A92" s="29"/>
      <c r="B92" s="14" t="str">
        <f>CONCATENATE("     ","Employees' Appreciation                           ")</f>
        <v xml:space="preserve">     Employees' Appreciation                           </v>
      </c>
      <c r="C92" s="14"/>
      <c r="D92" s="1">
        <f>SUM(OSRRefD22_4x_0)</f>
        <v>0</v>
      </c>
      <c r="E92" s="1"/>
      <c r="F92" s="5">
        <f t="shared" ref="F92:F100" si="44">IF(D$12=0,0,D92/D$12)</f>
        <v>0</v>
      </c>
      <c r="G92" s="1"/>
      <c r="H92" s="1">
        <f>SUM(OSRRefH22_4x_0)</f>
        <v>0</v>
      </c>
      <c r="I92" s="1"/>
      <c r="J92" s="5">
        <f t="shared" ref="J92:J100" si="45">IF(H$12=0,0,H92/H$12)</f>
        <v>0</v>
      </c>
      <c r="K92" s="1"/>
      <c r="L92" s="1">
        <f t="shared" ref="L92:L100" si="46">+D92-H92</f>
        <v>0</v>
      </c>
      <c r="M92" s="1"/>
      <c r="N92" s="5">
        <f t="shared" ref="N92:N100" si="47">IF(H92=0,0,L92/H92)</f>
        <v>0</v>
      </c>
      <c r="O92" s="14"/>
      <c r="P92" s="1">
        <f>SUM(OSRRefP22_4x_0)</f>
        <v>0</v>
      </c>
      <c r="Q92" s="1"/>
      <c r="R92" s="5">
        <f t="shared" ref="R92:R100" si="48">IF(P$12=0,0,P92/P$12)</f>
        <v>0</v>
      </c>
      <c r="S92" s="1"/>
      <c r="T92" s="1">
        <f>SUM(OSRRefT22_4x_0)</f>
        <v>12.98</v>
      </c>
      <c r="U92" s="1"/>
      <c r="V92" s="5">
        <f t="shared" ref="V92:V100" si="49">IF(T$12=0,0,T92/T$12)</f>
        <v>1.8384103580061976E-5</v>
      </c>
      <c r="W92" s="1"/>
      <c r="X92" s="1">
        <f t="shared" ref="X92:X100" si="50">+P92-T92</f>
        <v>-12.98</v>
      </c>
      <c r="Y92" s="1"/>
      <c r="Z92" s="5">
        <f t="shared" ref="Z92:Z100" si="51">IF(T92=0,0,X92/T92)</f>
        <v>-1</v>
      </c>
    </row>
    <row r="93" spans="1:26" s="24" customFormat="1" hidden="1" outlineLevel="2" x14ac:dyDescent="0.25">
      <c r="A93" s="28"/>
      <c r="B93" s="11" t="str">
        <f>CONCATENATE("          ", "6277", " - ", "EMPLOYEE APPRECIATION")</f>
        <v xml:space="preserve">          6277 - EMPLOYEE APPRECIATION</v>
      </c>
      <c r="C93" s="11"/>
      <c r="D93" s="7"/>
      <c r="E93" s="2"/>
      <c r="F93" s="6">
        <f t="shared" si="44"/>
        <v>0</v>
      </c>
      <c r="G93" s="2"/>
      <c r="H93" s="7"/>
      <c r="I93" s="2"/>
      <c r="J93" s="6">
        <f t="shared" si="45"/>
        <v>0</v>
      </c>
      <c r="K93" s="2"/>
      <c r="L93" s="7">
        <f t="shared" si="46"/>
        <v>0</v>
      </c>
      <c r="M93" s="2"/>
      <c r="N93" s="6">
        <f t="shared" si="47"/>
        <v>0</v>
      </c>
      <c r="O93" s="11"/>
      <c r="P93" s="7"/>
      <c r="Q93" s="2"/>
      <c r="R93" s="6">
        <f t="shared" si="48"/>
        <v>0</v>
      </c>
      <c r="S93" s="2"/>
      <c r="T93" s="7">
        <v>12.98</v>
      </c>
      <c r="U93" s="2"/>
      <c r="V93" s="6">
        <f t="shared" si="49"/>
        <v>1.8384103580061976E-5</v>
      </c>
      <c r="W93" s="2"/>
      <c r="X93" s="7">
        <f t="shared" si="50"/>
        <v>-12.98</v>
      </c>
      <c r="Y93" s="2"/>
      <c r="Z93" s="6">
        <f t="shared" si="51"/>
        <v>-1</v>
      </c>
    </row>
    <row r="94" spans="1:26" s="27" customFormat="1" outlineLevel="1" collapsed="1" x14ac:dyDescent="0.25">
      <c r="A94" s="29"/>
      <c r="B94" s="14" t="str">
        <f>CONCATENATE("     ","Freight out/Postage                               ")</f>
        <v xml:space="preserve">     Freight out/Postage                               </v>
      </c>
      <c r="C94" s="14"/>
      <c r="D94" s="1">
        <f>SUM(OSRRefD22_5x_0)</f>
        <v>30.66</v>
      </c>
      <c r="E94" s="1"/>
      <c r="F94" s="5">
        <f t="shared" si="44"/>
        <v>3.2686089766066314E-4</v>
      </c>
      <c r="G94" s="1"/>
      <c r="H94" s="1">
        <f>SUM(OSRRefH22_5x_0)</f>
        <v>0</v>
      </c>
      <c r="I94" s="1"/>
      <c r="J94" s="5">
        <f t="shared" si="45"/>
        <v>0</v>
      </c>
      <c r="K94" s="1"/>
      <c r="L94" s="1">
        <f t="shared" si="46"/>
        <v>30.66</v>
      </c>
      <c r="M94" s="1"/>
      <c r="N94" s="5">
        <f t="shared" si="47"/>
        <v>0</v>
      </c>
      <c r="O94" s="14"/>
      <c r="P94" s="1">
        <f>SUM(OSRRefP22_5x_0)</f>
        <v>81.11</v>
      </c>
      <c r="Q94" s="1"/>
      <c r="R94" s="5">
        <f t="shared" si="48"/>
        <v>1.5304829329359021E-4</v>
      </c>
      <c r="S94" s="1"/>
      <c r="T94" s="1">
        <f>SUM(OSRRefT22_5x_0)</f>
        <v>0</v>
      </c>
      <c r="U94" s="1"/>
      <c r="V94" s="5">
        <f t="shared" si="49"/>
        <v>0</v>
      </c>
      <c r="W94" s="1"/>
      <c r="X94" s="1">
        <f t="shared" si="50"/>
        <v>81.11</v>
      </c>
      <c r="Y94" s="1"/>
      <c r="Z94" s="5">
        <f t="shared" si="51"/>
        <v>0</v>
      </c>
    </row>
    <row r="95" spans="1:26" s="24" customFormat="1" hidden="1" outlineLevel="2" x14ac:dyDescent="0.25">
      <c r="A95" s="28"/>
      <c r="B95" s="11" t="str">
        <f>CONCATENATE("          ", "6305", " - ", "FREIGHT OUT")</f>
        <v xml:space="preserve">          6305 - FREIGHT OUT</v>
      </c>
      <c r="C95" s="11"/>
      <c r="D95" s="7">
        <v>30.66</v>
      </c>
      <c r="E95" s="2"/>
      <c r="F95" s="6">
        <f t="shared" si="44"/>
        <v>3.2686089766066314E-4</v>
      </c>
      <c r="G95" s="2"/>
      <c r="H95" s="7"/>
      <c r="I95" s="2"/>
      <c r="J95" s="6">
        <f t="shared" si="45"/>
        <v>0</v>
      </c>
      <c r="K95" s="2"/>
      <c r="L95" s="7">
        <f t="shared" si="46"/>
        <v>30.66</v>
      </c>
      <c r="M95" s="2"/>
      <c r="N95" s="6">
        <f t="shared" si="47"/>
        <v>0</v>
      </c>
      <c r="O95" s="11"/>
      <c r="P95" s="7">
        <v>81.11</v>
      </c>
      <c r="Q95" s="2"/>
      <c r="R95" s="6">
        <f t="shared" si="48"/>
        <v>1.5304829329359021E-4</v>
      </c>
      <c r="S95" s="2"/>
      <c r="T95" s="7"/>
      <c r="U95" s="2"/>
      <c r="V95" s="6">
        <f t="shared" si="49"/>
        <v>0</v>
      </c>
      <c r="W95" s="2"/>
      <c r="X95" s="7">
        <f t="shared" si="50"/>
        <v>81.11</v>
      </c>
      <c r="Y95" s="2"/>
      <c r="Z95" s="6">
        <f t="shared" si="51"/>
        <v>0</v>
      </c>
    </row>
    <row r="96" spans="1:26" s="27" customFormat="1" outlineLevel="1" collapsed="1" x14ac:dyDescent="0.25">
      <c r="A96" s="29"/>
      <c r="B96" s="14" t="str">
        <f>CONCATENATE("     ","Inventory Adjustment                              ")</f>
        <v xml:space="preserve">     Inventory Adjustment                              </v>
      </c>
      <c r="C96" s="14"/>
      <c r="D96" s="1">
        <f>SUM(OSRRefD22_6x_0)</f>
        <v>1000</v>
      </c>
      <c r="E96" s="1"/>
      <c r="F96" s="5">
        <f t="shared" si="44"/>
        <v>1.0660825103087513E-2</v>
      </c>
      <c r="G96" s="1"/>
      <c r="H96" s="1">
        <f>SUM(OSRRefH22_6x_0)</f>
        <v>2850</v>
      </c>
      <c r="I96" s="1"/>
      <c r="J96" s="5">
        <f t="shared" si="45"/>
        <v>1.0467592883359059E-2</v>
      </c>
      <c r="K96" s="1"/>
      <c r="L96" s="1">
        <f t="shared" si="46"/>
        <v>-1850</v>
      </c>
      <c r="M96" s="1"/>
      <c r="N96" s="5">
        <f t="shared" si="47"/>
        <v>-0.64912280701754388</v>
      </c>
      <c r="O96" s="14"/>
      <c r="P96" s="1">
        <f>SUM(OSRRefP22_6x_0)</f>
        <v>3000</v>
      </c>
      <c r="Q96" s="1"/>
      <c r="R96" s="5">
        <f t="shared" si="48"/>
        <v>5.6607678446649072E-3</v>
      </c>
      <c r="S96" s="1"/>
      <c r="T96" s="1">
        <f>SUM(OSRRefT22_6x_0)</f>
        <v>8550</v>
      </c>
      <c r="U96" s="1"/>
      <c r="V96" s="5">
        <f t="shared" si="49"/>
        <v>1.2109713837406E-2</v>
      </c>
      <c r="W96" s="1"/>
      <c r="X96" s="1">
        <f t="shared" si="50"/>
        <v>-5550</v>
      </c>
      <c r="Y96" s="1"/>
      <c r="Z96" s="5">
        <f t="shared" si="51"/>
        <v>-0.64912280701754388</v>
      </c>
    </row>
    <row r="97" spans="1:26" s="24" customFormat="1" hidden="1" outlineLevel="2" x14ac:dyDescent="0.25">
      <c r="A97" s="28"/>
      <c r="B97" s="11" t="str">
        <f>CONCATENATE("          ", "6408", " - ", "INVENTORY ADJUSTMENT")</f>
        <v xml:space="preserve">          6408 - INVENTORY ADJUSTMENT</v>
      </c>
      <c r="C97" s="11"/>
      <c r="D97" s="7">
        <v>1000</v>
      </c>
      <c r="E97" s="2"/>
      <c r="F97" s="6">
        <f t="shared" si="44"/>
        <v>1.0660825103087513E-2</v>
      </c>
      <c r="G97" s="2"/>
      <c r="H97" s="7">
        <v>2850</v>
      </c>
      <c r="I97" s="2"/>
      <c r="J97" s="6">
        <f t="shared" si="45"/>
        <v>1.0467592883359059E-2</v>
      </c>
      <c r="K97" s="2"/>
      <c r="L97" s="7">
        <f t="shared" si="46"/>
        <v>-1850</v>
      </c>
      <c r="M97" s="2"/>
      <c r="N97" s="6">
        <f t="shared" si="47"/>
        <v>-0.64912280701754388</v>
      </c>
      <c r="O97" s="11"/>
      <c r="P97" s="7">
        <v>3000</v>
      </c>
      <c r="Q97" s="2"/>
      <c r="R97" s="6">
        <f t="shared" si="48"/>
        <v>5.6607678446649072E-3</v>
      </c>
      <c r="S97" s="2"/>
      <c r="T97" s="7">
        <v>8550</v>
      </c>
      <c r="U97" s="2"/>
      <c r="V97" s="6">
        <f t="shared" si="49"/>
        <v>1.2109713837406E-2</v>
      </c>
      <c r="W97" s="2"/>
      <c r="X97" s="7">
        <f t="shared" si="50"/>
        <v>-5550</v>
      </c>
      <c r="Y97" s="2"/>
      <c r="Z97" s="6">
        <f t="shared" si="51"/>
        <v>-0.64912280701754388</v>
      </c>
    </row>
    <row r="98" spans="1:26" s="27" customFormat="1" outlineLevel="1" collapsed="1" x14ac:dyDescent="0.25">
      <c r="A98" s="29"/>
      <c r="B98" s="14" t="str">
        <f>CONCATENATE("     ","Royalty &amp; Commissions                             ")</f>
        <v xml:space="preserve">     Royalty &amp; Commissions                             </v>
      </c>
      <c r="C98" s="14"/>
      <c r="D98" s="1">
        <f>SUM(OSRRefD22_7x_0)</f>
        <v>0</v>
      </c>
      <c r="E98" s="1"/>
      <c r="F98" s="5">
        <f t="shared" si="44"/>
        <v>0</v>
      </c>
      <c r="G98" s="1"/>
      <c r="H98" s="1">
        <f>SUM(OSRRefH22_7x_0)</f>
        <v>365.38</v>
      </c>
      <c r="I98" s="1"/>
      <c r="J98" s="5">
        <f t="shared" si="45"/>
        <v>1.3419821360427131E-3</v>
      </c>
      <c r="K98" s="1"/>
      <c r="L98" s="1">
        <f t="shared" si="46"/>
        <v>-365.38</v>
      </c>
      <c r="M98" s="1"/>
      <c r="N98" s="5">
        <f t="shared" si="47"/>
        <v>-1</v>
      </c>
      <c r="O98" s="14"/>
      <c r="P98" s="1">
        <f>SUM(OSRRefP22_7x_0)</f>
        <v>7922.2</v>
      </c>
      <c r="Q98" s="1"/>
      <c r="R98" s="5">
        <f t="shared" si="48"/>
        <v>1.4948578339668108E-2</v>
      </c>
      <c r="S98" s="1"/>
      <c r="T98" s="1">
        <f>SUM(OSRRefT22_7x_0)</f>
        <v>4982.82</v>
      </c>
      <c r="U98" s="1"/>
      <c r="V98" s="5">
        <f t="shared" si="49"/>
        <v>7.057371263544253E-3</v>
      </c>
      <c r="W98" s="1"/>
      <c r="X98" s="1">
        <f t="shared" si="50"/>
        <v>2939.38</v>
      </c>
      <c r="Y98" s="1"/>
      <c r="Z98" s="5">
        <f t="shared" si="51"/>
        <v>0.58990290638634357</v>
      </c>
    </row>
    <row r="99" spans="1:26" s="24" customFormat="1" hidden="1" outlineLevel="2" x14ac:dyDescent="0.25">
      <c r="A99" s="28"/>
      <c r="B99" s="11" t="str">
        <f>CONCATENATE("          ", "6253", " - ", "ROYALTY DUE ATHLETICS-LRG")</f>
        <v xml:space="preserve">          6253 - ROYALTY DUE ATHLETICS-LRG</v>
      </c>
      <c r="C99" s="11"/>
      <c r="D99" s="7"/>
      <c r="E99" s="2"/>
      <c r="F99" s="6">
        <f t="shared" si="44"/>
        <v>0</v>
      </c>
      <c r="G99" s="2"/>
      <c r="H99" s="7"/>
      <c r="I99" s="2"/>
      <c r="J99" s="6">
        <f t="shared" si="45"/>
        <v>0</v>
      </c>
      <c r="K99" s="2"/>
      <c r="L99" s="7">
        <f t="shared" si="46"/>
        <v>0</v>
      </c>
      <c r="M99" s="2"/>
      <c r="N99" s="6">
        <f t="shared" si="47"/>
        <v>0</v>
      </c>
      <c r="O99" s="11"/>
      <c r="P99" s="7">
        <v>7922.2</v>
      </c>
      <c r="Q99" s="2"/>
      <c r="R99" s="6">
        <f t="shared" si="48"/>
        <v>1.4948578339668108E-2</v>
      </c>
      <c r="S99" s="2"/>
      <c r="T99" s="7">
        <v>4366.95</v>
      </c>
      <c r="U99" s="2"/>
      <c r="V99" s="6">
        <f t="shared" si="49"/>
        <v>6.1850894552351026E-3</v>
      </c>
      <c r="W99" s="2"/>
      <c r="X99" s="7">
        <f t="shared" si="50"/>
        <v>3555.25</v>
      </c>
      <c r="Y99" s="2"/>
      <c r="Z99" s="6">
        <f t="shared" si="51"/>
        <v>0.81412656430689612</v>
      </c>
    </row>
    <row r="100" spans="1:26" s="24" customFormat="1" hidden="1" outlineLevel="2" x14ac:dyDescent="0.25">
      <c r="A100" s="28"/>
      <c r="B100" s="11" t="str">
        <f>CONCATENATE("          ", "6254", " - ", "ROYALTY &amp; COMMISSIONS")</f>
        <v xml:space="preserve">          6254 - ROYALTY &amp; COMMISSIONS</v>
      </c>
      <c r="C100" s="11"/>
      <c r="D100" s="7"/>
      <c r="E100" s="2"/>
      <c r="F100" s="6">
        <f t="shared" si="44"/>
        <v>0</v>
      </c>
      <c r="G100" s="2"/>
      <c r="H100" s="7">
        <v>365.38</v>
      </c>
      <c r="I100" s="2"/>
      <c r="J100" s="6">
        <f t="shared" si="45"/>
        <v>1.3419821360427131E-3</v>
      </c>
      <c r="K100" s="2"/>
      <c r="L100" s="7">
        <f t="shared" si="46"/>
        <v>-365.38</v>
      </c>
      <c r="M100" s="2"/>
      <c r="N100" s="6">
        <f t="shared" si="47"/>
        <v>-1</v>
      </c>
      <c r="O100" s="11"/>
      <c r="P100" s="7"/>
      <c r="Q100" s="2"/>
      <c r="R100" s="6">
        <f t="shared" si="48"/>
        <v>0</v>
      </c>
      <c r="S100" s="2"/>
      <c r="T100" s="7">
        <v>615.87</v>
      </c>
      <c r="U100" s="2"/>
      <c r="V100" s="6">
        <f t="shared" si="49"/>
        <v>8.7228180830915011E-4</v>
      </c>
      <c r="W100" s="2"/>
      <c r="X100" s="7">
        <f t="shared" si="50"/>
        <v>-615.87</v>
      </c>
      <c r="Y100" s="2"/>
      <c r="Z100" s="6">
        <f t="shared" si="51"/>
        <v>-1</v>
      </c>
    </row>
    <row r="101" spans="1:26" s="27" customFormat="1" outlineLevel="1" collapsed="1" x14ac:dyDescent="0.25">
      <c r="A101" s="29"/>
      <c r="B101" s="14" t="str">
        <f>CONCATENATE("     ","Subscriptions &amp; Dues                              ")</f>
        <v xml:space="preserve">     Subscriptions &amp; Dues                              </v>
      </c>
      <c r="C101" s="14"/>
      <c r="D101" s="1">
        <f>SUM(OSRRefD22_8x_0)</f>
        <v>75.73</v>
      </c>
      <c r="E101" s="1"/>
      <c r="F101" s="5">
        <f t="shared" ref="F101:F107" si="52">IF(D$12=0,0,D101/D$12)</f>
        <v>8.0734428505681733E-4</v>
      </c>
      <c r="G101" s="1"/>
      <c r="H101" s="1">
        <f>SUM(OSRRefH22_8x_0)</f>
        <v>296.64</v>
      </c>
      <c r="I101" s="1"/>
      <c r="J101" s="5">
        <f t="shared" ref="J101:J107" si="53">IF(H$12=0,0,H101/H$12)</f>
        <v>1.0895111413753091E-3</v>
      </c>
      <c r="K101" s="1"/>
      <c r="L101" s="1">
        <f t="shared" ref="L101:L107" si="54">+D101-H101</f>
        <v>-220.90999999999997</v>
      </c>
      <c r="M101" s="1"/>
      <c r="N101" s="5">
        <f t="shared" ref="N101:N107" si="55">IF(H101=0,0,L101/H101)</f>
        <v>-0.74470738942826309</v>
      </c>
      <c r="O101" s="14"/>
      <c r="P101" s="1">
        <f>SUM(OSRRefP22_8x_0)</f>
        <v>75.73</v>
      </c>
      <c r="Q101" s="1"/>
      <c r="R101" s="5">
        <f t="shared" ref="R101:R107" si="56">IF(P$12=0,0,P101/P$12)</f>
        <v>1.4289664962549115E-4</v>
      </c>
      <c r="S101" s="1"/>
      <c r="T101" s="1">
        <f>SUM(OSRRefT22_8x_0)</f>
        <v>296.64</v>
      </c>
      <c r="U101" s="1"/>
      <c r="V101" s="5">
        <f t="shared" ref="V101:V107" si="57">IF(T$12=0,0,T101/T$12)</f>
        <v>4.2014333482200182E-4</v>
      </c>
      <c r="W101" s="1"/>
      <c r="X101" s="1">
        <f t="shared" ref="X101:X107" si="58">+P101-T101</f>
        <v>-220.90999999999997</v>
      </c>
      <c r="Y101" s="1"/>
      <c r="Z101" s="5">
        <f t="shared" ref="Z101:Z107" si="59">IF(T101=0,0,X101/T101)</f>
        <v>-0.74470738942826309</v>
      </c>
    </row>
    <row r="102" spans="1:26" s="24" customFormat="1" hidden="1" outlineLevel="2" x14ac:dyDescent="0.25">
      <c r="A102" s="28"/>
      <c r="B102" s="11" t="str">
        <f>CONCATENATE("          ", "6275", " - ", "SUBSCRIPTIONS")</f>
        <v xml:space="preserve">          6275 - SUBSCRIPTIONS</v>
      </c>
      <c r="C102" s="11"/>
      <c r="D102" s="7">
        <v>75.73</v>
      </c>
      <c r="E102" s="2"/>
      <c r="F102" s="6">
        <f t="shared" si="52"/>
        <v>8.0734428505681733E-4</v>
      </c>
      <c r="G102" s="2"/>
      <c r="H102" s="7">
        <v>296.64</v>
      </c>
      <c r="I102" s="2"/>
      <c r="J102" s="6">
        <f t="shared" si="53"/>
        <v>1.0895111413753091E-3</v>
      </c>
      <c r="K102" s="2"/>
      <c r="L102" s="7">
        <f t="shared" si="54"/>
        <v>-220.90999999999997</v>
      </c>
      <c r="M102" s="2"/>
      <c r="N102" s="6">
        <f t="shared" si="55"/>
        <v>-0.74470738942826309</v>
      </c>
      <c r="O102" s="11"/>
      <c r="P102" s="7">
        <v>75.73</v>
      </c>
      <c r="Q102" s="2"/>
      <c r="R102" s="6">
        <f t="shared" si="56"/>
        <v>1.4289664962549115E-4</v>
      </c>
      <c r="S102" s="2"/>
      <c r="T102" s="7">
        <v>296.64</v>
      </c>
      <c r="U102" s="2"/>
      <c r="V102" s="6">
        <f t="shared" si="57"/>
        <v>4.2014333482200182E-4</v>
      </c>
      <c r="W102" s="2"/>
      <c r="X102" s="7">
        <f t="shared" si="58"/>
        <v>-220.90999999999997</v>
      </c>
      <c r="Y102" s="2"/>
      <c r="Z102" s="6">
        <f t="shared" si="59"/>
        <v>-0.74470738942826309</v>
      </c>
    </row>
    <row r="103" spans="1:26" s="27" customFormat="1" outlineLevel="1" collapsed="1" x14ac:dyDescent="0.25">
      <c r="A103" s="29"/>
      <c r="B103" s="14" t="str">
        <f>CONCATENATE("     ","Supplies                                          ")</f>
        <v xml:space="preserve">     Supplies                                          </v>
      </c>
      <c r="C103" s="14"/>
      <c r="D103" s="1">
        <f>SUM(OSRRefD22_9x_0)</f>
        <v>31.83</v>
      </c>
      <c r="E103" s="1"/>
      <c r="F103" s="5">
        <f t="shared" si="52"/>
        <v>3.3933406303127551E-4</v>
      </c>
      <c r="G103" s="1"/>
      <c r="H103" s="1">
        <f>SUM(OSRRefH22_9x_0)</f>
        <v>290.02</v>
      </c>
      <c r="I103" s="1"/>
      <c r="J103" s="5">
        <f t="shared" si="53"/>
        <v>1.0651969431690505E-3</v>
      </c>
      <c r="K103" s="1"/>
      <c r="L103" s="1">
        <f t="shared" si="54"/>
        <v>-258.19</v>
      </c>
      <c r="M103" s="1"/>
      <c r="N103" s="5">
        <f t="shared" si="55"/>
        <v>-0.89024894834838986</v>
      </c>
      <c r="O103" s="14"/>
      <c r="P103" s="1">
        <f>SUM(OSRRefP22_9x_0)</f>
        <v>1099.74</v>
      </c>
      <c r="Q103" s="1"/>
      <c r="R103" s="5">
        <f t="shared" si="56"/>
        <v>2.0751242764972615E-3</v>
      </c>
      <c r="S103" s="1"/>
      <c r="T103" s="1">
        <f>SUM(OSRRefT22_9x_0)</f>
        <v>1433.25</v>
      </c>
      <c r="U103" s="1"/>
      <c r="V103" s="5">
        <f t="shared" si="57"/>
        <v>2.0299704511651637E-3</v>
      </c>
      <c r="W103" s="1"/>
      <c r="X103" s="1">
        <f t="shared" si="58"/>
        <v>-333.51</v>
      </c>
      <c r="Y103" s="1"/>
      <c r="Z103" s="5">
        <f t="shared" si="59"/>
        <v>-0.23269492412349554</v>
      </c>
    </row>
    <row r="104" spans="1:26" s="24" customFormat="1" hidden="1" outlineLevel="2" x14ac:dyDescent="0.25">
      <c r="A104" s="28"/>
      <c r="B104" s="11" t="str">
        <f>CONCATENATE("          ", "6234", " - ", "EXPENDABLE SUPPLIES &amp; EQUIPMEN")</f>
        <v xml:space="preserve">          6234 - EXPENDABLE SUPPLIES &amp; EQUIPMEN</v>
      </c>
      <c r="C104" s="11"/>
      <c r="D104" s="7"/>
      <c r="E104" s="2"/>
      <c r="F104" s="6">
        <f t="shared" si="52"/>
        <v>0</v>
      </c>
      <c r="G104" s="2"/>
      <c r="H104" s="7"/>
      <c r="I104" s="2"/>
      <c r="J104" s="6">
        <f t="shared" si="53"/>
        <v>0</v>
      </c>
      <c r="K104" s="2"/>
      <c r="L104" s="7">
        <f t="shared" si="54"/>
        <v>0</v>
      </c>
      <c r="M104" s="2"/>
      <c r="N104" s="6">
        <f t="shared" si="55"/>
        <v>0</v>
      </c>
      <c r="O104" s="11"/>
      <c r="P104" s="7"/>
      <c r="Q104" s="2"/>
      <c r="R104" s="6">
        <f t="shared" si="56"/>
        <v>0</v>
      </c>
      <c r="S104" s="2"/>
      <c r="T104" s="7">
        <v>-15.95</v>
      </c>
      <c r="U104" s="2"/>
      <c r="V104" s="6">
        <f t="shared" si="57"/>
        <v>-2.25906357551609E-5</v>
      </c>
      <c r="W104" s="2"/>
      <c r="X104" s="7">
        <f t="shared" si="58"/>
        <v>15.95</v>
      </c>
      <c r="Y104" s="2"/>
      <c r="Z104" s="6">
        <f t="shared" si="59"/>
        <v>-1</v>
      </c>
    </row>
    <row r="105" spans="1:26" s="24" customFormat="1" hidden="1" outlineLevel="2" x14ac:dyDescent="0.25">
      <c r="A105" s="28"/>
      <c r="B105" s="11" t="str">
        <f>CONCATENATE("          ", "6235", " - ", "COVID-19 EXPENSES")</f>
        <v xml:space="preserve">          6235 - COVID-19 EXPENSES</v>
      </c>
      <c r="C105" s="11"/>
      <c r="D105" s="7"/>
      <c r="E105" s="2"/>
      <c r="F105" s="6">
        <f t="shared" si="52"/>
        <v>0</v>
      </c>
      <c r="G105" s="2"/>
      <c r="H105" s="7"/>
      <c r="I105" s="2"/>
      <c r="J105" s="6">
        <f t="shared" si="53"/>
        <v>0</v>
      </c>
      <c r="K105" s="2"/>
      <c r="L105" s="7">
        <f t="shared" si="54"/>
        <v>0</v>
      </c>
      <c r="M105" s="2"/>
      <c r="N105" s="6">
        <f t="shared" si="55"/>
        <v>0</v>
      </c>
      <c r="O105" s="11"/>
      <c r="P105" s="7">
        <v>961.38</v>
      </c>
      <c r="Q105" s="2"/>
      <c r="R105" s="6">
        <f t="shared" si="56"/>
        <v>1.814049663501316E-3</v>
      </c>
      <c r="S105" s="2"/>
      <c r="T105" s="7"/>
      <c r="U105" s="2"/>
      <c r="V105" s="6">
        <f t="shared" si="57"/>
        <v>0</v>
      </c>
      <c r="W105" s="2"/>
      <c r="X105" s="7">
        <f t="shared" si="58"/>
        <v>961.38</v>
      </c>
      <c r="Y105" s="2"/>
      <c r="Z105" s="6">
        <f t="shared" si="59"/>
        <v>0</v>
      </c>
    </row>
    <row r="106" spans="1:26" s="24" customFormat="1" hidden="1" outlineLevel="2" x14ac:dyDescent="0.25">
      <c r="A106" s="28"/>
      <c r="B106" s="11" t="str">
        <f>CONCATENATE("          ", "6241", " - ", "OFFICE EXPENSE")</f>
        <v xml:space="preserve">          6241 - OFFICE EXPENSE</v>
      </c>
      <c r="C106" s="11"/>
      <c r="D106" s="7">
        <v>31.83</v>
      </c>
      <c r="E106" s="2"/>
      <c r="F106" s="6">
        <f t="shared" si="52"/>
        <v>3.3933406303127551E-4</v>
      </c>
      <c r="G106" s="2"/>
      <c r="H106" s="7">
        <v>137.38</v>
      </c>
      <c r="I106" s="2"/>
      <c r="J106" s="6">
        <f t="shared" si="53"/>
        <v>5.0457470537398853E-4</v>
      </c>
      <c r="K106" s="2"/>
      <c r="L106" s="7">
        <f t="shared" si="54"/>
        <v>-105.55</v>
      </c>
      <c r="M106" s="2"/>
      <c r="N106" s="6">
        <f t="shared" si="55"/>
        <v>-0.76830688600960839</v>
      </c>
      <c r="O106" s="11"/>
      <c r="P106" s="7">
        <v>138.36000000000001</v>
      </c>
      <c r="Q106" s="2"/>
      <c r="R106" s="6">
        <f t="shared" si="56"/>
        <v>2.6107461299594554E-4</v>
      </c>
      <c r="S106" s="2"/>
      <c r="T106" s="7">
        <v>1269.57</v>
      </c>
      <c r="U106" s="2"/>
      <c r="V106" s="6">
        <f t="shared" si="57"/>
        <v>1.7981437890708229E-3</v>
      </c>
      <c r="W106" s="2"/>
      <c r="X106" s="7">
        <f t="shared" si="58"/>
        <v>-1131.21</v>
      </c>
      <c r="Y106" s="2"/>
      <c r="Z106" s="6">
        <f t="shared" si="59"/>
        <v>-0.89101821876698417</v>
      </c>
    </row>
    <row r="107" spans="1:26" s="24" customFormat="1" hidden="1" outlineLevel="2" x14ac:dyDescent="0.25">
      <c r="A107" s="28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52"/>
        <v>0</v>
      </c>
      <c r="G107" s="2"/>
      <c r="H107" s="7">
        <v>152.63999999999999</v>
      </c>
      <c r="I107" s="2"/>
      <c r="J107" s="6">
        <f t="shared" si="53"/>
        <v>5.6062223779506195E-4</v>
      </c>
      <c r="K107" s="2"/>
      <c r="L107" s="7">
        <f t="shared" si="54"/>
        <v>-152.63999999999999</v>
      </c>
      <c r="M107" s="2"/>
      <c r="N107" s="6">
        <f t="shared" si="55"/>
        <v>-1</v>
      </c>
      <c r="O107" s="11"/>
      <c r="P107" s="7"/>
      <c r="Q107" s="2"/>
      <c r="R107" s="6">
        <f t="shared" si="56"/>
        <v>0</v>
      </c>
      <c r="S107" s="2"/>
      <c r="T107" s="7">
        <v>179.63</v>
      </c>
      <c r="U107" s="2"/>
      <c r="V107" s="6">
        <f t="shared" si="57"/>
        <v>2.5441729784950174E-4</v>
      </c>
      <c r="W107" s="2"/>
      <c r="X107" s="7">
        <f t="shared" si="58"/>
        <v>-179.63</v>
      </c>
      <c r="Y107" s="2"/>
      <c r="Z107" s="6">
        <f t="shared" si="59"/>
        <v>-1</v>
      </c>
    </row>
    <row r="108" spans="1:26" s="27" customFormat="1" outlineLevel="1" collapsed="1" x14ac:dyDescent="0.25">
      <c r="A108" s="29"/>
      <c r="B108" s="14" t="str">
        <f>CONCATENATE("     ","Telephone/Data Lines                              ")</f>
        <v xml:space="preserve">     Telephone/Data Lines                              </v>
      </c>
      <c r="C108" s="14"/>
      <c r="D108" s="1">
        <f>SUM(OSRRefD22_10x_0)</f>
        <v>750</v>
      </c>
      <c r="E108" s="1"/>
      <c r="F108" s="5">
        <f t="shared" ref="F108:F111" si="60">IF(D$12=0,0,D108/D$12)</f>
        <v>7.9956188273156339E-3</v>
      </c>
      <c r="G108" s="1"/>
      <c r="H108" s="1">
        <f>SUM(OSRRefH22_10x_0)</f>
        <v>939</v>
      </c>
      <c r="I108" s="1"/>
      <c r="J108" s="5">
        <f t="shared" ref="J108:J111" si="61">IF(H$12=0,0,H108/H$12)</f>
        <v>3.448796392096195E-3</v>
      </c>
      <c r="K108" s="1"/>
      <c r="L108" s="1">
        <f t="shared" ref="L108:L111" si="62">+D108-H108</f>
        <v>-189</v>
      </c>
      <c r="M108" s="1"/>
      <c r="N108" s="5">
        <f t="shared" ref="N108:N111" si="63">IF(H108=0,0,L108/H108)</f>
        <v>-0.2012779552715655</v>
      </c>
      <c r="O108" s="14"/>
      <c r="P108" s="1">
        <f>SUM(OSRRefP22_10x_0)</f>
        <v>1745.78</v>
      </c>
      <c r="Q108" s="1"/>
      <c r="R108" s="5">
        <f t="shared" ref="R108:R111" si="64">IF(P$12=0,0,P108/P$12)</f>
        <v>3.2941517626197004E-3</v>
      </c>
      <c r="S108" s="1"/>
      <c r="T108" s="1">
        <f>SUM(OSRRefT22_10x_0)</f>
        <v>2048.52</v>
      </c>
      <c r="U108" s="1"/>
      <c r="V108" s="5">
        <f t="shared" ref="V108:V111" si="65">IF(T$12=0,0,T108/T$12)</f>
        <v>2.901402454994496E-3</v>
      </c>
      <c r="W108" s="1"/>
      <c r="X108" s="1">
        <f t="shared" ref="X108:X111" si="66">+P108-T108</f>
        <v>-302.74</v>
      </c>
      <c r="Y108" s="1"/>
      <c r="Z108" s="5">
        <f t="shared" ref="Z108:Z111" si="67">IF(T108=0,0,X108/T108)</f>
        <v>-0.14778474215531212</v>
      </c>
    </row>
    <row r="109" spans="1:26" s="24" customFormat="1" hidden="1" outlineLevel="2" x14ac:dyDescent="0.25">
      <c r="A109" s="28"/>
      <c r="B109" s="11" t="str">
        <f>CONCATENATE("          ", "6309", " - ", "TELEPHONE")</f>
        <v xml:space="preserve">          6309 - TELEPHONE</v>
      </c>
      <c r="C109" s="11"/>
      <c r="D109" s="7">
        <v>750</v>
      </c>
      <c r="E109" s="2"/>
      <c r="F109" s="6">
        <f t="shared" si="60"/>
        <v>7.9956188273156339E-3</v>
      </c>
      <c r="G109" s="2"/>
      <c r="H109" s="7">
        <v>939</v>
      </c>
      <c r="I109" s="2"/>
      <c r="J109" s="6">
        <f t="shared" si="61"/>
        <v>3.448796392096195E-3</v>
      </c>
      <c r="K109" s="2"/>
      <c r="L109" s="7">
        <f t="shared" si="62"/>
        <v>-189</v>
      </c>
      <c r="M109" s="2"/>
      <c r="N109" s="6">
        <f t="shared" si="63"/>
        <v>-0.2012779552715655</v>
      </c>
      <c r="O109" s="11"/>
      <c r="P109" s="7">
        <v>1745.78</v>
      </c>
      <c r="Q109" s="2"/>
      <c r="R109" s="6">
        <f t="shared" si="64"/>
        <v>3.2941517626197004E-3</v>
      </c>
      <c r="S109" s="2"/>
      <c r="T109" s="7">
        <v>2048.52</v>
      </c>
      <c r="U109" s="2"/>
      <c r="V109" s="6">
        <f t="shared" si="65"/>
        <v>2.901402454994496E-3</v>
      </c>
      <c r="W109" s="2"/>
      <c r="X109" s="7">
        <f t="shared" si="66"/>
        <v>-302.74</v>
      </c>
      <c r="Y109" s="2"/>
      <c r="Z109" s="6">
        <f t="shared" si="67"/>
        <v>-0.14778474215531212</v>
      </c>
    </row>
    <row r="110" spans="1:26" s="27" customFormat="1" outlineLevel="1" collapsed="1" x14ac:dyDescent="0.25">
      <c r="A110" s="29"/>
      <c r="B110" s="14" t="str">
        <f>CONCATENATE("     ","Training                                          ")</f>
        <v xml:space="preserve">     Training                                          </v>
      </c>
      <c r="C110" s="14"/>
      <c r="D110" s="1">
        <f>SUM(OSRRefD22_11x_0)</f>
        <v>0</v>
      </c>
      <c r="E110" s="1"/>
      <c r="F110" s="5">
        <f t="shared" si="60"/>
        <v>0</v>
      </c>
      <c r="G110" s="1"/>
      <c r="H110" s="1">
        <f>SUM(OSRRefH22_11x_0)</f>
        <v>0</v>
      </c>
      <c r="I110" s="1"/>
      <c r="J110" s="5">
        <f t="shared" si="61"/>
        <v>0</v>
      </c>
      <c r="K110" s="1"/>
      <c r="L110" s="1">
        <f t="shared" si="62"/>
        <v>0</v>
      </c>
      <c r="M110" s="1"/>
      <c r="N110" s="5">
        <f t="shared" si="63"/>
        <v>0</v>
      </c>
      <c r="O110" s="14"/>
      <c r="P110" s="1">
        <f>SUM(OSRRefP22_11x_0)</f>
        <v>0</v>
      </c>
      <c r="Q110" s="1"/>
      <c r="R110" s="5">
        <f t="shared" si="64"/>
        <v>0</v>
      </c>
      <c r="S110" s="1"/>
      <c r="T110" s="1">
        <f>SUM(OSRRefT22_11x_0)</f>
        <v>103.5</v>
      </c>
      <c r="U110" s="1"/>
      <c r="V110" s="5">
        <f t="shared" si="65"/>
        <v>1.4659127276859895E-4</v>
      </c>
      <c r="W110" s="1"/>
      <c r="X110" s="1">
        <f t="shared" si="66"/>
        <v>-103.5</v>
      </c>
      <c r="Y110" s="1"/>
      <c r="Z110" s="5">
        <f t="shared" si="67"/>
        <v>-1</v>
      </c>
    </row>
    <row r="111" spans="1:26" s="24" customFormat="1" hidden="1" outlineLevel="2" x14ac:dyDescent="0.25">
      <c r="A111" s="28"/>
      <c r="B111" s="11" t="str">
        <f>CONCATENATE("          ", "6376", " - ", "TRAINING")</f>
        <v xml:space="preserve">          6376 - TRAINING</v>
      </c>
      <c r="C111" s="11"/>
      <c r="D111" s="7"/>
      <c r="E111" s="2"/>
      <c r="F111" s="6">
        <f t="shared" si="60"/>
        <v>0</v>
      </c>
      <c r="G111" s="2"/>
      <c r="H111" s="7"/>
      <c r="I111" s="2"/>
      <c r="J111" s="6">
        <f t="shared" si="61"/>
        <v>0</v>
      </c>
      <c r="K111" s="2"/>
      <c r="L111" s="7">
        <f t="shared" si="62"/>
        <v>0</v>
      </c>
      <c r="M111" s="2"/>
      <c r="N111" s="6">
        <f t="shared" si="63"/>
        <v>0</v>
      </c>
      <c r="O111" s="11"/>
      <c r="P111" s="7"/>
      <c r="Q111" s="2"/>
      <c r="R111" s="6">
        <f t="shared" si="64"/>
        <v>0</v>
      </c>
      <c r="S111" s="2"/>
      <c r="T111" s="7">
        <v>103.5</v>
      </c>
      <c r="U111" s="2"/>
      <c r="V111" s="6">
        <f t="shared" si="65"/>
        <v>1.4659127276859895E-4</v>
      </c>
      <c r="W111" s="2"/>
      <c r="X111" s="7">
        <f t="shared" si="66"/>
        <v>-103.5</v>
      </c>
      <c r="Y111" s="2"/>
      <c r="Z111" s="6">
        <f t="shared" si="67"/>
        <v>-1</v>
      </c>
    </row>
    <row r="112" spans="1:26" s="60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6" t="s">
        <v>0</v>
      </c>
      <c r="C113" s="10"/>
      <c r="D113" s="4">
        <f>SUM(OSRRefD25x_0)</f>
        <v>0</v>
      </c>
      <c r="E113" s="4"/>
      <c r="F113" s="12">
        <f t="shared" ref="F113:F115" si="68">IF(D$12=0,0,D113/D$12)</f>
        <v>0</v>
      </c>
      <c r="G113" s="4"/>
      <c r="H113" s="4">
        <f>SUM(OSRRefH25x_0)</f>
        <v>0</v>
      </c>
      <c r="I113" s="4"/>
      <c r="J113" s="12">
        <f t="shared" ref="J113:J115" si="69">IF(H$12=0,0,H113/H$12)</f>
        <v>0</v>
      </c>
      <c r="K113" s="4"/>
      <c r="L113" s="4">
        <f t="shared" ref="L113:L115" si="70">+D113-H113</f>
        <v>0</v>
      </c>
      <c r="M113" s="4"/>
      <c r="N113" s="12">
        <f t="shared" ref="N113:N115" si="71">IF(H113=0,0,L113/H113)</f>
        <v>0</v>
      </c>
      <c r="O113" s="10"/>
      <c r="P113" s="4">
        <f>SUM(OSRRefP25x_0)</f>
        <v>172008.31</v>
      </c>
      <c r="Q113" s="4"/>
      <c r="R113" s="12">
        <f t="shared" ref="R113:R115" si="72">IF(P$12=0,0,P113/P$12)</f>
        <v>0.32456637008771771</v>
      </c>
      <c r="S113" s="4"/>
      <c r="T113" s="4">
        <f>SUM(OSRRefT25x_0)</f>
        <v>14396.98</v>
      </c>
      <c r="U113" s="4"/>
      <c r="V113" s="12">
        <f t="shared" ref="V113:V115" si="73">IF(T$12=0,0,T113/T$12)</f>
        <v>2.0391030166416073E-2</v>
      </c>
      <c r="W113" s="4"/>
      <c r="X113" s="4">
        <f t="shared" ref="X113:X115" si="74">+P113-T113</f>
        <v>157611.32999999999</v>
      </c>
      <c r="Y113" s="4"/>
      <c r="Z113" s="12">
        <f t="shared" ref="Z113:Z115" si="75">IF(T113=0,0,X113/T113)</f>
        <v>10.947527189730067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 t="shared" ref="D114:D115" si="76">0</f>
        <v>0</v>
      </c>
      <c r="E114" s="2"/>
      <c r="F114" s="19">
        <f t="shared" si="68"/>
        <v>0</v>
      </c>
      <c r="G114" s="2"/>
      <c r="H114" s="2">
        <f t="shared" ref="H114:H115" si="77">0</f>
        <v>0</v>
      </c>
      <c r="I114" s="2"/>
      <c r="J114" s="19">
        <f t="shared" si="69"/>
        <v>0</v>
      </c>
      <c r="K114" s="2"/>
      <c r="L114" s="2">
        <f t="shared" si="70"/>
        <v>0</v>
      </c>
      <c r="M114" s="2"/>
      <c r="N114" s="19">
        <f t="shared" si="71"/>
        <v>0</v>
      </c>
      <c r="O114" s="11"/>
      <c r="P114" s="2">
        <f>--11344.41</f>
        <v>11344.41</v>
      </c>
      <c r="Q114" s="2"/>
      <c r="R114" s="19">
        <f t="shared" si="72"/>
        <v>2.1406023781565003E-2</v>
      </c>
      <c r="S114" s="2"/>
      <c r="T114" s="2">
        <f>--14396.98</f>
        <v>14396.98</v>
      </c>
      <c r="U114" s="2"/>
      <c r="V114" s="19">
        <f t="shared" si="73"/>
        <v>2.0391030166416073E-2</v>
      </c>
      <c r="W114" s="2"/>
      <c r="X114" s="2">
        <f t="shared" si="74"/>
        <v>-3052.5699999999997</v>
      </c>
      <c r="Y114" s="2"/>
      <c r="Z114" s="19">
        <f t="shared" si="75"/>
        <v>-0.21202849486489525</v>
      </c>
    </row>
    <row r="115" spans="1:26" s="24" customFormat="1" hidden="1" outlineLevel="1" x14ac:dyDescent="0.25">
      <c r="A115" s="44"/>
      <c r="B115" s="11" t="str">
        <f>CONCATENATE("          ", "9163", " - ", "MISC. INCOME")</f>
        <v xml:space="preserve">          9163 - MISC. INCOME</v>
      </c>
      <c r="C115" s="11"/>
      <c r="D115" s="2">
        <f t="shared" si="76"/>
        <v>0</v>
      </c>
      <c r="E115" s="2"/>
      <c r="F115" s="19">
        <f t="shared" si="68"/>
        <v>0</v>
      </c>
      <c r="G115" s="2"/>
      <c r="H115" s="2">
        <f t="shared" si="77"/>
        <v>0</v>
      </c>
      <c r="I115" s="2"/>
      <c r="J115" s="19">
        <f t="shared" si="69"/>
        <v>0</v>
      </c>
      <c r="K115" s="2"/>
      <c r="L115" s="2">
        <f t="shared" si="70"/>
        <v>0</v>
      </c>
      <c r="M115" s="2"/>
      <c r="N115" s="19">
        <f t="shared" si="71"/>
        <v>0</v>
      </c>
      <c r="O115" s="11"/>
      <c r="P115" s="2">
        <f>--160663.9</f>
        <v>160663.9</v>
      </c>
      <c r="Q115" s="2"/>
      <c r="R115" s="19">
        <f t="shared" si="72"/>
        <v>0.30316034630615268</v>
      </c>
      <c r="S115" s="2"/>
      <c r="T115" s="2">
        <f>0</f>
        <v>0</v>
      </c>
      <c r="U115" s="2"/>
      <c r="V115" s="19">
        <f t="shared" si="73"/>
        <v>0</v>
      </c>
      <c r="W115" s="2"/>
      <c r="X115" s="2">
        <f t="shared" si="74"/>
        <v>160663.9</v>
      </c>
      <c r="Y115" s="2"/>
      <c r="Z115" s="19">
        <f t="shared" si="75"/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5" t="s">
        <v>3</v>
      </c>
      <c r="C117" s="25"/>
      <c r="D117" s="22">
        <f>+D69-D71+D113</f>
        <v>-12611.210000000021</v>
      </c>
      <c r="E117" s="13"/>
      <c r="F117" s="21">
        <f>IF(D$12=0,0,D117/D$12)</f>
        <v>-0.13444590414830848</v>
      </c>
      <c r="G117" s="13"/>
      <c r="H117" s="22">
        <f>+H69-H71+H113</f>
        <v>99711.820000000094</v>
      </c>
      <c r="I117" s="13"/>
      <c r="J117" s="21">
        <f>IF(H$12=0,0,H117/H$12)</f>
        <v>0.36622552190132646</v>
      </c>
      <c r="K117" s="15"/>
      <c r="L117" s="22">
        <f>+D117-H117</f>
        <v>-112323.03000000012</v>
      </c>
      <c r="M117" s="15"/>
      <c r="N117" s="21">
        <f>IF(H117=0,0,L117/H117)</f>
        <v>-1.1264765802088459</v>
      </c>
      <c r="O117" s="26"/>
      <c r="P117" s="22">
        <f>+P69-P71+P113</f>
        <v>223793.45000000004</v>
      </c>
      <c r="Q117" s="13"/>
      <c r="R117" s="21">
        <f>IF(P$12=0,0,P117/P$12)</f>
        <v>0.42228092186887461</v>
      </c>
      <c r="S117" s="13"/>
      <c r="T117" s="22">
        <f>+T69-T71+T113</f>
        <v>239358.42</v>
      </c>
      <c r="U117" s="13"/>
      <c r="V117" s="21">
        <f>IF(T$12=0,0,T117/T$12)</f>
        <v>0.33901309599691665</v>
      </c>
      <c r="W117" s="15"/>
      <c r="X117" s="22">
        <f>+P117-T117</f>
        <v>-15564.969999999972</v>
      </c>
      <c r="Y117" s="15"/>
      <c r="Z117" s="21">
        <f>IF(T117=0,0,X117/T117)</f>
        <v>-6.5027877440033119E-2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1"/>
      <c r="B119" s="10" t="s">
        <v>13</v>
      </c>
      <c r="C119" s="10"/>
      <c r="D119" s="4">
        <v>24538.2</v>
      </c>
      <c r="E119" s="4"/>
      <c r="F119" s="12">
        <f>IF(D$12=0,0,D119/D$12)</f>
        <v>0.261597458544582</v>
      </c>
      <c r="G119" s="4"/>
      <c r="H119" s="4">
        <v>21754.62</v>
      </c>
      <c r="I119" s="4"/>
      <c r="J119" s="12">
        <f>IF(H$12=0,0,H119/H$12)</f>
        <v>7.9901229997256365E-2</v>
      </c>
      <c r="K119" s="4"/>
      <c r="L119" s="4">
        <f>+D119-H119</f>
        <v>2783.5800000000017</v>
      </c>
      <c r="M119" s="4"/>
      <c r="N119" s="12">
        <f>IF(H119=0,0,L119/H119)</f>
        <v>0.12795351056465257</v>
      </c>
      <c r="O119" s="10"/>
      <c r="P119" s="4">
        <v>98178.37000000001</v>
      </c>
      <c r="Q119" s="4"/>
      <c r="R119" s="12">
        <f>IF(P$12=0,0,P119/P$12)</f>
        <v>0.18525498664587126</v>
      </c>
      <c r="S119" s="4"/>
      <c r="T119" s="4">
        <v>75838.559999999998</v>
      </c>
      <c r="U119" s="4"/>
      <c r="V119" s="12">
        <f>IF(T$12=0,0,T119/T$12)</f>
        <v>0.10741324671823919</v>
      </c>
      <c r="W119" s="4"/>
      <c r="X119" s="4">
        <f>+P119-T119</f>
        <v>22339.810000000012</v>
      </c>
      <c r="Y119" s="4"/>
      <c r="Z119" s="12">
        <f>IF(T119=0,0,X119/T119)</f>
        <v>0.29457059838688937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5" t="s">
        <v>4</v>
      </c>
      <c r="C121" s="25"/>
      <c r="D121" s="33">
        <f>+D117-D119</f>
        <v>-37149.410000000018</v>
      </c>
      <c r="E121" s="13"/>
      <c r="F121" s="32">
        <f>IF(D$12=0,0,D121/D$12)</f>
        <v>-0.39604336269289048</v>
      </c>
      <c r="G121" s="13"/>
      <c r="H121" s="33">
        <f>+H117-H119</f>
        <v>77957.200000000099</v>
      </c>
      <c r="I121" s="13"/>
      <c r="J121" s="32">
        <f>IF(H$12=0,0,H121/H$12)</f>
        <v>0.28632429190407011</v>
      </c>
      <c r="K121" s="15"/>
      <c r="L121" s="33">
        <f>D121-H121</f>
        <v>-115106.61000000012</v>
      </c>
      <c r="M121" s="15"/>
      <c r="N121" s="32">
        <f>IF(H121=0,0,L121/H121)</f>
        <v>-1.4765359710199952</v>
      </c>
      <c r="O121" s="26"/>
      <c r="P121" s="33">
        <f>+P117-P119</f>
        <v>125615.08000000003</v>
      </c>
      <c r="Q121" s="13"/>
      <c r="R121" s="32">
        <f>IF(P$12=0,0,P121/P$12)</f>
        <v>0.23702593522300333</v>
      </c>
      <c r="S121" s="13"/>
      <c r="T121" s="33">
        <f>+T117-T119</f>
        <v>163519.86000000002</v>
      </c>
      <c r="U121" s="13"/>
      <c r="V121" s="32">
        <f>IF(T$12=0,0,T121/T$12)</f>
        <v>0.23159984927867744</v>
      </c>
      <c r="W121" s="15"/>
      <c r="X121" s="33">
        <f>P121-T121</f>
        <v>-37904.779999999984</v>
      </c>
      <c r="Y121" s="15"/>
      <c r="Z121" s="32">
        <f>IF(T121=0,0,X121/T121)</f>
        <v>-0.23180535991163387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5" t="s">
        <v>5</v>
      </c>
      <c r="C124" s="25"/>
      <c r="D124" s="34">
        <f>SUM(D121:D123)</f>
        <v>-37149.410000000018</v>
      </c>
      <c r="E124" s="13"/>
      <c r="F124" s="31">
        <f>IF(D$12=0,0,D124/D$12)</f>
        <v>-0.39604336269289048</v>
      </c>
      <c r="G124" s="13"/>
      <c r="H124" s="34">
        <f>SUM(H121:H123)</f>
        <v>77957.200000000099</v>
      </c>
      <c r="I124" s="13"/>
      <c r="J124" s="31">
        <f>IF(H$12=0,0,H124/H$12)</f>
        <v>0.28632429190407011</v>
      </c>
      <c r="K124" s="15"/>
      <c r="L124" s="34">
        <f>+D124-H124</f>
        <v>-115106.61000000012</v>
      </c>
      <c r="M124" s="15"/>
      <c r="N124" s="31">
        <f>IF(H124=0,0,L124/H124)</f>
        <v>-1.4765359710199952</v>
      </c>
      <c r="O124" s="26"/>
      <c r="P124" s="34">
        <f>SUM(P121:P123)</f>
        <v>125615.08000000003</v>
      </c>
      <c r="Q124" s="13"/>
      <c r="R124" s="31">
        <f>IF(P$12=0,0,P124/P$12)</f>
        <v>0.23702593522300333</v>
      </c>
      <c r="S124" s="13"/>
      <c r="T124" s="34">
        <f>SUM(T121:T123)</f>
        <v>163519.86000000002</v>
      </c>
      <c r="U124" s="13"/>
      <c r="V124" s="31">
        <f>IF(T$12=0,0,T124/T$12)</f>
        <v>0.23159984927867744</v>
      </c>
      <c r="W124" s="15"/>
      <c r="X124" s="34">
        <f>+P124-T124</f>
        <v>-37904.779999999984</v>
      </c>
      <c r="Y124" s="15"/>
      <c r="Z124" s="31">
        <f>IF(T124=0,0,X124/T124)</f>
        <v>-0.23180535991163387</v>
      </c>
    </row>
    <row r="125" spans="1:26" ht="15.75" thickTop="1" x14ac:dyDescent="0.25">
      <c r="A125" s="9"/>
      <c r="C125" s="9"/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4">
        <v>44123.565292789353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9" t="s">
        <v>313</v>
      </c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A128" s="9"/>
      <c r="B128" s="58"/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  <row r="129" spans="4:24" x14ac:dyDescent="0.25"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19966.789999999997</v>
      </c>
      <c r="E12" s="4"/>
      <c r="F12" s="12"/>
      <c r="G12" s="4"/>
      <c r="H12" s="4">
        <f>SUM(OSRRefH13x_0)</f>
        <v>32562.700000000008</v>
      </c>
      <c r="I12" s="4"/>
      <c r="J12" s="12"/>
      <c r="K12" s="4"/>
      <c r="L12" s="4">
        <f t="shared" ref="L12:L36" si="0">+D12-H12</f>
        <v>-12595.910000000011</v>
      </c>
      <c r="M12" s="4"/>
      <c r="N12" s="12">
        <f t="shared" ref="N12:N36" si="1">IF(H12=0,0,L12/H12)</f>
        <v>-0.38682019611395885</v>
      </c>
      <c r="O12" s="10"/>
      <c r="P12" s="4">
        <f>SUM(OSRRefP13x_0)</f>
        <v>69643.879999999976</v>
      </c>
      <c r="Q12" s="4"/>
      <c r="R12" s="12"/>
      <c r="S12" s="4"/>
      <c r="T12" s="4">
        <f>SUM(OSRRefT13x_0)</f>
        <v>153538.67999999996</v>
      </c>
      <c r="U12" s="4"/>
      <c r="V12" s="12"/>
      <c r="W12" s="4"/>
      <c r="X12" s="4">
        <f t="shared" ref="X12:X36" si="2">+P12-T12</f>
        <v>-83894.799999999988</v>
      </c>
      <c r="Y12" s="4"/>
      <c r="Z12" s="12">
        <f t="shared" ref="Z12:Z36" si="3">IF(T12=0,0,X12/T12)</f>
        <v>-0.54640824058146131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-646</f>
        <v>-646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-646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--3.96</f>
        <v>3.96</v>
      </c>
      <c r="E14" s="2"/>
      <c r="F14" s="19"/>
      <c r="G14" s="2"/>
      <c r="H14" s="2">
        <f>--19.16</f>
        <v>19.16</v>
      </c>
      <c r="I14" s="2"/>
      <c r="J14" s="19"/>
      <c r="K14" s="2"/>
      <c r="L14" s="2">
        <f t="shared" si="0"/>
        <v>-15.2</v>
      </c>
      <c r="M14" s="2"/>
      <c r="N14" s="19">
        <f t="shared" si="1"/>
        <v>-0.79331941544885176</v>
      </c>
      <c r="O14" s="11"/>
      <c r="P14" s="2">
        <f>--18.53</f>
        <v>18.53</v>
      </c>
      <c r="Q14" s="2"/>
      <c r="R14" s="19"/>
      <c r="S14" s="2"/>
      <c r="T14" s="2">
        <f>--83.72</f>
        <v>83.72</v>
      </c>
      <c r="U14" s="2"/>
      <c r="V14" s="19"/>
      <c r="W14" s="2"/>
      <c r="X14" s="2">
        <f t="shared" si="2"/>
        <v>-65.19</v>
      </c>
      <c r="Y14" s="2"/>
      <c r="Z14" s="19">
        <f t="shared" si="3"/>
        <v>-0.77866698518872435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--2.13</f>
        <v>2.13</v>
      </c>
      <c r="E15" s="2"/>
      <c r="F15" s="19"/>
      <c r="G15" s="2"/>
      <c r="H15" s="2">
        <f>--7.48</f>
        <v>7.48</v>
      </c>
      <c r="I15" s="2"/>
      <c r="J15" s="19"/>
      <c r="K15" s="2"/>
      <c r="L15" s="2">
        <f t="shared" si="0"/>
        <v>-5.3500000000000005</v>
      </c>
      <c r="M15" s="2"/>
      <c r="N15" s="19">
        <f t="shared" si="1"/>
        <v>-0.71524064171123003</v>
      </c>
      <c r="O15" s="11"/>
      <c r="P15" s="2">
        <f>--11.12</f>
        <v>11.12</v>
      </c>
      <c r="Q15" s="2"/>
      <c r="R15" s="19"/>
      <c r="S15" s="2"/>
      <c r="T15" s="2">
        <f>--47.91</f>
        <v>47.91</v>
      </c>
      <c r="U15" s="2"/>
      <c r="V15" s="19"/>
      <c r="W15" s="2"/>
      <c r="X15" s="2">
        <f t="shared" si="2"/>
        <v>-36.79</v>
      </c>
      <c r="Y15" s="2"/>
      <c r="Z15" s="19">
        <f t="shared" si="3"/>
        <v>-0.76789814235024012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--15948.83</f>
        <v>15948.83</v>
      </c>
      <c r="E16" s="2"/>
      <c r="F16" s="19"/>
      <c r="G16" s="2"/>
      <c r="H16" s="2">
        <f>--27799.65</f>
        <v>27799.65</v>
      </c>
      <c r="I16" s="2"/>
      <c r="J16" s="19"/>
      <c r="K16" s="2"/>
      <c r="L16" s="2">
        <f t="shared" si="0"/>
        <v>-11850.820000000002</v>
      </c>
      <c r="M16" s="2"/>
      <c r="N16" s="19">
        <f t="shared" si="1"/>
        <v>-0.42629385621761429</v>
      </c>
      <c r="O16" s="11"/>
      <c r="P16" s="2">
        <f>--57034.9</f>
        <v>57034.9</v>
      </c>
      <c r="Q16" s="2"/>
      <c r="R16" s="19"/>
      <c r="S16" s="2"/>
      <c r="T16" s="2">
        <f>--128356.45</f>
        <v>128356.45</v>
      </c>
      <c r="U16" s="2"/>
      <c r="V16" s="19"/>
      <c r="W16" s="2"/>
      <c r="X16" s="2">
        <f t="shared" si="2"/>
        <v>-71321.549999999988</v>
      </c>
      <c r="Y16" s="2"/>
      <c r="Z16" s="19">
        <f t="shared" si="3"/>
        <v>-0.55565224809505087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--2496</f>
        <v>2496</v>
      </c>
      <c r="E17" s="2"/>
      <c r="F17" s="19"/>
      <c r="G17" s="2"/>
      <c r="H17" s="2">
        <f>--3929.16</f>
        <v>3929.16</v>
      </c>
      <c r="I17" s="2"/>
      <c r="J17" s="19"/>
      <c r="K17" s="2"/>
      <c r="L17" s="2">
        <f t="shared" si="0"/>
        <v>-1433.1599999999999</v>
      </c>
      <c r="M17" s="2"/>
      <c r="N17" s="19">
        <f t="shared" si="1"/>
        <v>-0.36474971749686952</v>
      </c>
      <c r="O17" s="11"/>
      <c r="P17" s="2">
        <f>--9525.35</f>
        <v>9525.35</v>
      </c>
      <c r="Q17" s="2"/>
      <c r="R17" s="19"/>
      <c r="S17" s="2"/>
      <c r="T17" s="2">
        <f>--17394.69</f>
        <v>17394.689999999999</v>
      </c>
      <c r="U17" s="2"/>
      <c r="V17" s="19"/>
      <c r="W17" s="2"/>
      <c r="X17" s="2">
        <f t="shared" si="2"/>
        <v>-7869.3399999999983</v>
      </c>
      <c r="Y17" s="2"/>
      <c r="Z17" s="19">
        <f t="shared" si="3"/>
        <v>-0.45239897922871858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--1438.73</f>
        <v>1438.73</v>
      </c>
      <c r="E18" s="2"/>
      <c r="F18" s="19"/>
      <c r="G18" s="2"/>
      <c r="H18" s="2">
        <f>--2319.31</f>
        <v>2319.31</v>
      </c>
      <c r="I18" s="2"/>
      <c r="J18" s="19"/>
      <c r="K18" s="2"/>
      <c r="L18" s="2">
        <f t="shared" si="0"/>
        <v>-880.57999999999993</v>
      </c>
      <c r="M18" s="2"/>
      <c r="N18" s="19">
        <f t="shared" si="1"/>
        <v>-0.37967326489343811</v>
      </c>
      <c r="O18" s="11"/>
      <c r="P18" s="2">
        <f>--4287.56</f>
        <v>4287.5600000000004</v>
      </c>
      <c r="Q18" s="2"/>
      <c r="R18" s="19"/>
      <c r="S18" s="2"/>
      <c r="T18" s="2">
        <f>--11482.5</f>
        <v>11482.5</v>
      </c>
      <c r="U18" s="2"/>
      <c r="V18" s="19"/>
      <c r="W18" s="2"/>
      <c r="X18" s="2">
        <f t="shared" si="2"/>
        <v>-7194.94</v>
      </c>
      <c r="Y18" s="2"/>
      <c r="Z18" s="19">
        <f t="shared" si="3"/>
        <v>-0.62660047898976701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--247.77</f>
        <v>247.77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247.77</v>
      </c>
      <c r="M19" s="2"/>
      <c r="N19" s="19">
        <f t="shared" si="1"/>
        <v>0</v>
      </c>
      <c r="O19" s="11"/>
      <c r="P19" s="2">
        <f>--627.41</f>
        <v>627.41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627.41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--290.39</f>
        <v>290.39</v>
      </c>
      <c r="E20" s="2"/>
      <c r="F20" s="19"/>
      <c r="G20" s="2"/>
      <c r="H20" s="2">
        <f>--176.55</f>
        <v>176.55</v>
      </c>
      <c r="I20" s="2"/>
      <c r="J20" s="19"/>
      <c r="K20" s="2"/>
      <c r="L20" s="2">
        <f t="shared" si="0"/>
        <v>113.83999999999997</v>
      </c>
      <c r="M20" s="2"/>
      <c r="N20" s="19">
        <f t="shared" si="1"/>
        <v>0.64480317190597547</v>
      </c>
      <c r="O20" s="11"/>
      <c r="P20" s="2">
        <f>--782.47</f>
        <v>782.47</v>
      </c>
      <c r="Q20" s="2"/>
      <c r="R20" s="19"/>
      <c r="S20" s="2"/>
      <c r="T20" s="2">
        <f>--938.5</f>
        <v>938.5</v>
      </c>
      <c r="U20" s="2"/>
      <c r="V20" s="19"/>
      <c r="W20" s="2"/>
      <c r="X20" s="2">
        <f t="shared" si="2"/>
        <v>-156.02999999999997</v>
      </c>
      <c r="Y20" s="2"/>
      <c r="Z20" s="19">
        <f t="shared" si="3"/>
        <v>-0.16625466169419284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--34.9</f>
        <v>34.9</v>
      </c>
      <c r="E21" s="2"/>
      <c r="F21" s="19"/>
      <c r="G21" s="2"/>
      <c r="H21" s="2">
        <f t="shared" ref="H21:H22" si="4">0</f>
        <v>0</v>
      </c>
      <c r="I21" s="2"/>
      <c r="J21" s="19"/>
      <c r="K21" s="2"/>
      <c r="L21" s="2">
        <f t="shared" si="0"/>
        <v>34.9</v>
      </c>
      <c r="M21" s="2"/>
      <c r="N21" s="19">
        <f t="shared" si="1"/>
        <v>0</v>
      </c>
      <c r="O21" s="11"/>
      <c r="P21" s="2">
        <f>--34.9</f>
        <v>34.9</v>
      </c>
      <c r="Q21" s="2"/>
      <c r="R21" s="19"/>
      <c r="S21" s="2"/>
      <c r="T21" s="2">
        <f>--367.76</f>
        <v>367.76</v>
      </c>
      <c r="U21" s="2"/>
      <c r="V21" s="19"/>
      <c r="W21" s="2"/>
      <c r="X21" s="2">
        <f t="shared" si="2"/>
        <v>-332.86</v>
      </c>
      <c r="Y21" s="2"/>
      <c r="Z21" s="19">
        <f t="shared" si="3"/>
        <v>-0.90510115292582127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 t="shared" ref="D22:D23" si="5">0</f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ref="P22:P23" si="6">0</f>
        <v>0</v>
      </c>
      <c r="Q22" s="2"/>
      <c r="R22" s="19"/>
      <c r="S22" s="2"/>
      <c r="T22" s="2">
        <f>-39.95</f>
        <v>-39.950000000000003</v>
      </c>
      <c r="U22" s="2"/>
      <c r="V22" s="19"/>
      <c r="W22" s="2"/>
      <c r="X22" s="2">
        <f t="shared" si="2"/>
        <v>39.950000000000003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 t="shared" si="5"/>
        <v>0</v>
      </c>
      <c r="E23" s="2"/>
      <c r="F23" s="19"/>
      <c r="G23" s="2"/>
      <c r="H23" s="2">
        <f>--6.93</f>
        <v>6.93</v>
      </c>
      <c r="I23" s="2"/>
      <c r="J23" s="19"/>
      <c r="K23" s="2"/>
      <c r="L23" s="2">
        <f t="shared" si="0"/>
        <v>-6.93</v>
      </c>
      <c r="M23" s="2"/>
      <c r="N23" s="19">
        <f t="shared" si="1"/>
        <v>-1</v>
      </c>
      <c r="O23" s="11"/>
      <c r="P23" s="2">
        <f t="shared" si="6"/>
        <v>0</v>
      </c>
      <c r="Q23" s="2"/>
      <c r="R23" s="19"/>
      <c r="S23" s="2"/>
      <c r="T23" s="2">
        <f>--23.76</f>
        <v>23.76</v>
      </c>
      <c r="U23" s="2"/>
      <c r="V23" s="19"/>
      <c r="W23" s="2"/>
      <c r="X23" s="2">
        <f t="shared" si="2"/>
        <v>-23.76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--12</f>
        <v>12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12</v>
      </c>
      <c r="M24" s="2"/>
      <c r="N24" s="19">
        <f t="shared" si="1"/>
        <v>0</v>
      </c>
      <c r="O24" s="11"/>
      <c r="P24" s="2">
        <f>--22.5</f>
        <v>22.5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22.5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0</f>
        <v>0</v>
      </c>
      <c r="E25" s="2"/>
      <c r="F25" s="19"/>
      <c r="G25" s="2"/>
      <c r="H25" s="2">
        <f>--19.5</f>
        <v>19.5</v>
      </c>
      <c r="I25" s="2"/>
      <c r="J25" s="19"/>
      <c r="K25" s="2"/>
      <c r="L25" s="2">
        <f t="shared" si="0"/>
        <v>-19.5</v>
      </c>
      <c r="M25" s="2"/>
      <c r="N25" s="19">
        <f t="shared" si="1"/>
        <v>-1</v>
      </c>
      <c r="O25" s="11"/>
      <c r="P25" s="2">
        <f>--9</f>
        <v>9</v>
      </c>
      <c r="Q25" s="2"/>
      <c r="R25" s="19"/>
      <c r="S25" s="2"/>
      <c r="T25" s="2">
        <f>--73.5</f>
        <v>73.5</v>
      </c>
      <c r="U25" s="2"/>
      <c r="V25" s="19"/>
      <c r="W25" s="2"/>
      <c r="X25" s="2">
        <f t="shared" si="2"/>
        <v>-64.5</v>
      </c>
      <c r="Y25" s="2"/>
      <c r="Z25" s="19">
        <f t="shared" si="3"/>
        <v>-0.87755102040816324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--7.49</f>
        <v>7.49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7.49</v>
      </c>
      <c r="M26" s="2"/>
      <c r="N26" s="19">
        <f t="shared" si="1"/>
        <v>0</v>
      </c>
      <c r="O26" s="11"/>
      <c r="P26" s="2">
        <f>--90.93</f>
        <v>90.93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90.93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 t="shared" ref="D27:D28" si="7">0</f>
        <v>0</v>
      </c>
      <c r="E27" s="2"/>
      <c r="F27" s="19"/>
      <c r="G27" s="2"/>
      <c r="H27" s="2">
        <f>--10.5</f>
        <v>10.5</v>
      </c>
      <c r="I27" s="2"/>
      <c r="J27" s="19"/>
      <c r="K27" s="2"/>
      <c r="L27" s="2">
        <f t="shared" si="0"/>
        <v>-10.5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--113.47</f>
        <v>113.47</v>
      </c>
      <c r="U27" s="2"/>
      <c r="V27" s="19"/>
      <c r="W27" s="2"/>
      <c r="X27" s="2">
        <f t="shared" si="2"/>
        <v>-113.47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"4145", " - ", "NON-TAXABLE SALES-SPECIAL ORDE")</f>
        <v xml:space="preserve">          4145 - NON-TAXABLE SALES-SPECIAL ORDE</v>
      </c>
      <c r="C28" s="11"/>
      <c r="D28" s="2">
        <f t="shared" si="7"/>
        <v>0</v>
      </c>
      <c r="E28" s="2"/>
      <c r="F28" s="19"/>
      <c r="G28" s="2"/>
      <c r="H28" s="2">
        <f t="shared" ref="H28:H30" si="8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--7</f>
        <v>7</v>
      </c>
      <c r="Q28" s="2"/>
      <c r="R28" s="19"/>
      <c r="S28" s="2"/>
      <c r="T28" s="2">
        <f t="shared" ref="T28:T30" si="9">0</f>
        <v>0</v>
      </c>
      <c r="U28" s="2"/>
      <c r="V28" s="19"/>
      <c r="W28" s="2"/>
      <c r="X28" s="2">
        <f t="shared" si="2"/>
        <v>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"4226", " - ", "SALES RETURN TAXABLE-WRITING I")</f>
        <v xml:space="preserve">          4226 - SALES RETURN TAXABLE-WRITING I</v>
      </c>
      <c r="C29" s="11"/>
      <c r="D29" s="2">
        <f>-22.49</f>
        <v>-22.49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-22.49</v>
      </c>
      <c r="M29" s="2"/>
      <c r="N29" s="19">
        <f t="shared" si="1"/>
        <v>0</v>
      </c>
      <c r="O29" s="11"/>
      <c r="P29" s="2">
        <f>-22.49</f>
        <v>-22.49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-22.49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"4227", " - ", "SALES RETURN TAXABLE-SCHOOL SU")</f>
        <v xml:space="preserve">          4227 - SALES RETURN TAXABLE-SCHOOL SU</v>
      </c>
      <c r="C30" s="11"/>
      <c r="D30" s="2">
        <f>0</f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-30</f>
        <v>-30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-30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"4240", " - ", "SALES RETURN TAXABLE-LOGO CLOT")</f>
        <v xml:space="preserve">          4240 - SALES RETURN TAXABLE-LOGO CLOT</v>
      </c>
      <c r="C31" s="11"/>
      <c r="D31" s="2">
        <f>-453.78</f>
        <v>-453.78</v>
      </c>
      <c r="E31" s="2"/>
      <c r="F31" s="19"/>
      <c r="G31" s="2"/>
      <c r="H31" s="2">
        <f>-1290.2</f>
        <v>-1290.2</v>
      </c>
      <c r="I31" s="2"/>
      <c r="J31" s="19"/>
      <c r="K31" s="2"/>
      <c r="L31" s="2">
        <f t="shared" si="0"/>
        <v>836.42000000000007</v>
      </c>
      <c r="M31" s="2"/>
      <c r="N31" s="19">
        <f t="shared" si="1"/>
        <v>-0.64828708727329099</v>
      </c>
      <c r="O31" s="11"/>
      <c r="P31" s="2">
        <f>-1903.88</f>
        <v>-1903.88</v>
      </c>
      <c r="Q31" s="2"/>
      <c r="R31" s="19"/>
      <c r="S31" s="2"/>
      <c r="T31" s="2">
        <f>-4356.04</f>
        <v>-4356.04</v>
      </c>
      <c r="U31" s="2"/>
      <c r="V31" s="19"/>
      <c r="W31" s="2"/>
      <c r="X31" s="2">
        <f t="shared" si="2"/>
        <v>2452.16</v>
      </c>
      <c r="Y31" s="2"/>
      <c r="Z31" s="19">
        <f t="shared" si="3"/>
        <v>-0.56293330639755368</v>
      </c>
    </row>
    <row r="32" spans="1:26" s="24" customFormat="1" hidden="1" outlineLevel="1" x14ac:dyDescent="0.25">
      <c r="A32" s="44"/>
      <c r="B32" s="11" t="str">
        <f>CONCATENATE("          ", "4241", " - ", "SALES RETURN TAXABLE-LOGO GIFT")</f>
        <v xml:space="preserve">          4241 - SALES RETURN TAXABLE-LOGO GIFT</v>
      </c>
      <c r="C32" s="11"/>
      <c r="D32" s="2">
        <f>-31.9</f>
        <v>-31.9</v>
      </c>
      <c r="E32" s="2"/>
      <c r="F32" s="19"/>
      <c r="G32" s="2"/>
      <c r="H32" s="2">
        <f>-340.49</f>
        <v>-340.49</v>
      </c>
      <c r="I32" s="2"/>
      <c r="J32" s="19"/>
      <c r="K32" s="2"/>
      <c r="L32" s="2">
        <f t="shared" si="0"/>
        <v>308.59000000000003</v>
      </c>
      <c r="M32" s="2"/>
      <c r="N32" s="19">
        <f t="shared" si="1"/>
        <v>-0.90631149226115315</v>
      </c>
      <c r="O32" s="11"/>
      <c r="P32" s="2">
        <f>-94.6</f>
        <v>-94.6</v>
      </c>
      <c r="Q32" s="2"/>
      <c r="R32" s="19"/>
      <c r="S32" s="2"/>
      <c r="T32" s="2">
        <f>-676.5</f>
        <v>-676.5</v>
      </c>
      <c r="U32" s="2"/>
      <c r="V32" s="19"/>
      <c r="W32" s="2"/>
      <c r="X32" s="2">
        <f t="shared" si="2"/>
        <v>581.9</v>
      </c>
      <c r="Y32" s="2"/>
      <c r="Z32" s="19">
        <f t="shared" si="3"/>
        <v>-0.86016260162601621</v>
      </c>
    </row>
    <row r="33" spans="1:26" s="24" customFormat="1" hidden="1" outlineLevel="1" x14ac:dyDescent="0.25">
      <c r="A33" s="44"/>
      <c r="B33" s="11" t="str">
        <f>CONCATENATE("          ", "4242", " - ", "SALES RETURN TAXABLE-EVERYDAY")</f>
        <v xml:space="preserve">          4242 - SALES RETURN TAXABLE-EVERYDAY</v>
      </c>
      <c r="C33" s="11"/>
      <c r="D33" s="2">
        <f>-7.24</f>
        <v>-7.24</v>
      </c>
      <c r="E33" s="2"/>
      <c r="F33" s="19"/>
      <c r="G33" s="2"/>
      <c r="H33" s="2">
        <f>-94.85</f>
        <v>-94.85</v>
      </c>
      <c r="I33" s="2"/>
      <c r="J33" s="19"/>
      <c r="K33" s="2"/>
      <c r="L33" s="2">
        <f t="shared" si="0"/>
        <v>87.61</v>
      </c>
      <c r="M33" s="2"/>
      <c r="N33" s="19">
        <f t="shared" si="1"/>
        <v>-0.92366895097522406</v>
      </c>
      <c r="O33" s="11"/>
      <c r="P33" s="2">
        <f>-103.82</f>
        <v>-103.82</v>
      </c>
      <c r="Q33" s="2"/>
      <c r="R33" s="19"/>
      <c r="S33" s="2"/>
      <c r="T33" s="2">
        <f>-239.14</f>
        <v>-239.14</v>
      </c>
      <c r="U33" s="2"/>
      <c r="V33" s="19"/>
      <c r="W33" s="2"/>
      <c r="X33" s="2">
        <f t="shared" si="2"/>
        <v>135.32</v>
      </c>
      <c r="Y33" s="2"/>
      <c r="Z33" s="19">
        <f t="shared" si="3"/>
        <v>-0.56586100192355937</v>
      </c>
    </row>
    <row r="34" spans="1:26" s="24" customFormat="1" hidden="1" outlineLevel="1" x14ac:dyDescent="0.25">
      <c r="A34" s="44"/>
      <c r="B34" s="11" t="str">
        <f>CONCATENATE("          ", "4244", " - ", "SALES RETURN TAXABLE-ACCESSORI")</f>
        <v xml:space="preserve">          4244 - SALES RETURN TAXABLE-ACCESSORI</v>
      </c>
      <c r="C34" s="11"/>
      <c r="D34" s="2">
        <f t="shared" ref="D34:D36" si="10">0</f>
        <v>0</v>
      </c>
      <c r="E34" s="2"/>
      <c r="F34" s="19"/>
      <c r="G34" s="2"/>
      <c r="H34" s="2">
        <f t="shared" ref="H34:H36" si="11">0</f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>0</f>
        <v>0</v>
      </c>
      <c r="Q34" s="2"/>
      <c r="R34" s="19"/>
      <c r="S34" s="2"/>
      <c r="T34" s="2">
        <f>-22.95</f>
        <v>-22.95</v>
      </c>
      <c r="U34" s="2"/>
      <c r="V34" s="19"/>
      <c r="W34" s="2"/>
      <c r="X34" s="2">
        <f t="shared" si="2"/>
        <v>22.95</v>
      </c>
      <c r="Y34" s="2"/>
      <c r="Z34" s="19">
        <f t="shared" si="3"/>
        <v>-1</v>
      </c>
    </row>
    <row r="35" spans="1:26" s="24" customFormat="1" hidden="1" outlineLevel="1" x14ac:dyDescent="0.25">
      <c r="A35" s="44"/>
      <c r="B35" s="11" t="str">
        <f>CONCATENATE("          ", "4245", " - ", "SALES RETURN TAXABLE-SPECIAL O")</f>
        <v xml:space="preserve">          4245 - SALES RETURN TAXABLE-SPECIAL O</v>
      </c>
      <c r="C35" s="11"/>
      <c r="D35" s="2">
        <f t="shared" si="10"/>
        <v>0</v>
      </c>
      <c r="E35" s="2"/>
      <c r="F35" s="19"/>
      <c r="G35" s="2"/>
      <c r="H35" s="2">
        <f t="shared" si="11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>-7</f>
        <v>-7</v>
      </c>
      <c r="Q35" s="2"/>
      <c r="R35" s="19"/>
      <c r="S35" s="2"/>
      <c r="T35" s="2">
        <f>-9.99</f>
        <v>-9.99</v>
      </c>
      <c r="U35" s="2"/>
      <c r="V35" s="19"/>
      <c r="W35" s="2"/>
      <c r="X35" s="2">
        <f t="shared" si="2"/>
        <v>2.99</v>
      </c>
      <c r="Y35" s="2"/>
      <c r="Z35" s="19">
        <f t="shared" si="3"/>
        <v>-0.29929929929929933</v>
      </c>
    </row>
    <row r="36" spans="1:26" s="24" customFormat="1" hidden="1" outlineLevel="1" x14ac:dyDescent="0.25">
      <c r="A36" s="44"/>
      <c r="B36" s="11" t="str">
        <f>CONCATENATE("          ", "4295", " - ", "SALES RETURN TAXABLE-CUSTOMER")</f>
        <v xml:space="preserve">          4295 - SALES RETURN TAXABLE-CUSTOMER</v>
      </c>
      <c r="C36" s="11"/>
      <c r="D36" s="2">
        <f t="shared" si="10"/>
        <v>0</v>
      </c>
      <c r="E36" s="2"/>
      <c r="F36" s="19"/>
      <c r="G36" s="2"/>
      <c r="H36" s="2">
        <f t="shared" si="11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>0</f>
        <v>0</v>
      </c>
      <c r="Q36" s="2"/>
      <c r="R36" s="19"/>
      <c r="S36" s="2"/>
      <c r="T36" s="2">
        <f>--0.99</f>
        <v>0.99</v>
      </c>
      <c r="U36" s="2"/>
      <c r="V36" s="19"/>
      <c r="W36" s="2"/>
      <c r="X36" s="2">
        <f t="shared" si="2"/>
        <v>-0.99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6" t="s">
        <v>8</v>
      </c>
      <c r="C38" s="10"/>
      <c r="D38" s="4">
        <f>SUM(OSRRefD16x_0)</f>
        <v>9366</v>
      </c>
      <c r="E38" s="4"/>
      <c r="F38" s="12">
        <f t="shared" ref="F38:F51" si="12">IF(D$12=0,0,D38/D$12)</f>
        <v>0.46907890552262038</v>
      </c>
      <c r="G38" s="4"/>
      <c r="H38" s="4">
        <f>SUM(OSRRefH16x_0)</f>
        <v>13915.560000000001</v>
      </c>
      <c r="I38" s="4"/>
      <c r="J38" s="12">
        <f t="shared" ref="J38:J51" si="13">IF(H$12=0,0,H38/H$12)</f>
        <v>0.42734662666179396</v>
      </c>
      <c r="K38" s="4"/>
      <c r="L38" s="4">
        <f t="shared" ref="L38:L51" si="14">+D38-H38</f>
        <v>-4549.5600000000013</v>
      </c>
      <c r="M38" s="4"/>
      <c r="N38" s="12">
        <f t="shared" ref="N38:N51" si="15">IF(H38=0,0,L38/H38)</f>
        <v>-0.32694048963893663</v>
      </c>
      <c r="O38" s="10"/>
      <c r="P38" s="4">
        <f>SUM(OSRRefP16x_0)</f>
        <v>28006</v>
      </c>
      <c r="Q38" s="4"/>
      <c r="R38" s="12">
        <f t="shared" ref="R38:R51" si="16">IF(P$12=0,0,P38/P$12)</f>
        <v>0.40213152971948157</v>
      </c>
      <c r="S38" s="4"/>
      <c r="T38" s="4">
        <f>SUM(OSRRefT16x_0)</f>
        <v>65008.949999999975</v>
      </c>
      <c r="U38" s="4"/>
      <c r="V38" s="12">
        <f t="shared" ref="V38:V51" si="17">IF(T$12=0,0,T38/T$12)</f>
        <v>0.4234043825308384</v>
      </c>
      <c r="W38" s="4"/>
      <c r="X38" s="4">
        <f t="shared" ref="X38:X51" si="18">+P38-T38</f>
        <v>-37002.949999999975</v>
      </c>
      <c r="Y38" s="4"/>
      <c r="Z38" s="12">
        <f t="shared" ref="Z38:Z51" si="19">IF(T38=0,0,X38/T38)</f>
        <v>-0.5691977796903348</v>
      </c>
    </row>
    <row r="39" spans="1:26" s="24" customFormat="1" hidden="1" outlineLevel="1" x14ac:dyDescent="0.25">
      <c r="A39" s="44"/>
      <c r="B39" s="11" t="str">
        <f>CONCATENATE("          ", "5026", " - ", "PURCHASES @ COST-WRITING INSTR")</f>
        <v xml:space="preserve">          5026 - PURCHASES @ COST-WRITING INSTR</v>
      </c>
      <c r="C39" s="11"/>
      <c r="D39" s="2"/>
      <c r="E39" s="2"/>
      <c r="F39" s="19">
        <f t="shared" si="12"/>
        <v>0</v>
      </c>
      <c r="G39" s="2"/>
      <c r="H39" s="2">
        <v>-11.31</v>
      </c>
      <c r="I39" s="2"/>
      <c r="J39" s="19">
        <f t="shared" si="13"/>
        <v>-3.4732992043043105E-4</v>
      </c>
      <c r="K39" s="2"/>
      <c r="L39" s="2">
        <f t="shared" si="14"/>
        <v>11.31</v>
      </c>
      <c r="M39" s="2"/>
      <c r="N39" s="19">
        <f t="shared" si="15"/>
        <v>-1</v>
      </c>
      <c r="O39" s="11"/>
      <c r="P39" s="2"/>
      <c r="Q39" s="2"/>
      <c r="R39" s="19">
        <f t="shared" si="16"/>
        <v>0</v>
      </c>
      <c r="S39" s="2"/>
      <c r="T39" s="2">
        <v>-64.930000000000007</v>
      </c>
      <c r="U39" s="2"/>
      <c r="V39" s="19">
        <f t="shared" si="17"/>
        <v>-4.2289017985565607E-4</v>
      </c>
      <c r="W39" s="2"/>
      <c r="X39" s="2">
        <f t="shared" si="18"/>
        <v>64.930000000000007</v>
      </c>
      <c r="Y39" s="2"/>
      <c r="Z39" s="19">
        <f t="shared" si="19"/>
        <v>-1</v>
      </c>
    </row>
    <row r="40" spans="1:26" s="24" customFormat="1" hidden="1" outlineLevel="1" x14ac:dyDescent="0.25">
      <c r="A40" s="44"/>
      <c r="B40" s="11" t="str">
        <f>CONCATENATE("          ", "5027", " - ", "PURCHASES @ COST-SCHOOL SUPPLI")</f>
        <v xml:space="preserve">          5027 - PURCHASES @ COST-SCHOOL SUPPLI</v>
      </c>
      <c r="C40" s="11"/>
      <c r="D40" s="2"/>
      <c r="E40" s="2"/>
      <c r="F40" s="19">
        <f t="shared" si="12"/>
        <v>0</v>
      </c>
      <c r="G40" s="2"/>
      <c r="H40" s="2">
        <v>-35.06</v>
      </c>
      <c r="I40" s="2"/>
      <c r="J40" s="19">
        <f t="shared" si="13"/>
        <v>-1.0766920433502134E-3</v>
      </c>
      <c r="K40" s="2"/>
      <c r="L40" s="2">
        <f t="shared" si="14"/>
        <v>35.06</v>
      </c>
      <c r="M40" s="2"/>
      <c r="N40" s="19">
        <f t="shared" si="15"/>
        <v>-1</v>
      </c>
      <c r="O40" s="11"/>
      <c r="P40" s="2"/>
      <c r="Q40" s="2"/>
      <c r="R40" s="19">
        <f t="shared" si="16"/>
        <v>0</v>
      </c>
      <c r="S40" s="2"/>
      <c r="T40" s="2">
        <v>28.46</v>
      </c>
      <c r="U40" s="2"/>
      <c r="V40" s="19">
        <f t="shared" si="17"/>
        <v>1.8536045770355721E-4</v>
      </c>
      <c r="W40" s="2"/>
      <c r="X40" s="2">
        <f t="shared" si="18"/>
        <v>-28.46</v>
      </c>
      <c r="Y40" s="2"/>
      <c r="Z40" s="19">
        <f t="shared" si="19"/>
        <v>-1</v>
      </c>
    </row>
    <row r="41" spans="1:26" s="24" customFormat="1" hidden="1" outlineLevel="1" x14ac:dyDescent="0.25">
      <c r="A41" s="44"/>
      <c r="B41" s="11" t="str">
        <f>CONCATENATE("          ", "5037", " - ", "PURCHASES @ COST-WATER")</f>
        <v xml:space="preserve">          5037 - PURCHASES @ COST-WATER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/>
      <c r="Q41" s="2"/>
      <c r="R41" s="19">
        <f t="shared" si="16"/>
        <v>0</v>
      </c>
      <c r="S41" s="2"/>
      <c r="T41" s="2">
        <v>29.76</v>
      </c>
      <c r="U41" s="2"/>
      <c r="V41" s="19">
        <f t="shared" si="17"/>
        <v>1.9382737952416948E-4</v>
      </c>
      <c r="W41" s="2"/>
      <c r="X41" s="2">
        <f t="shared" si="18"/>
        <v>-29.76</v>
      </c>
      <c r="Y41" s="2"/>
      <c r="Z41" s="19">
        <f t="shared" si="19"/>
        <v>-1</v>
      </c>
    </row>
    <row r="42" spans="1:26" s="24" customFormat="1" hidden="1" outlineLevel="1" x14ac:dyDescent="0.25">
      <c r="A42" s="44"/>
      <c r="B42" s="11" t="str">
        <f>CONCATENATE("          ", "5040", " - ", "PURCHASES @ COST-LOGO CLOTHING")</f>
        <v xml:space="preserve">          5040 - PURCHASES @ COST-LOGO CLOTHING</v>
      </c>
      <c r="C42" s="11"/>
      <c r="D42" s="2"/>
      <c r="E42" s="2"/>
      <c r="F42" s="19">
        <f t="shared" si="12"/>
        <v>0</v>
      </c>
      <c r="G42" s="2"/>
      <c r="H42" s="2">
        <v>26571.200000000001</v>
      </c>
      <c r="I42" s="2"/>
      <c r="J42" s="19">
        <f t="shared" si="13"/>
        <v>0.8160011301274156</v>
      </c>
      <c r="K42" s="2"/>
      <c r="L42" s="2">
        <f t="shared" si="14"/>
        <v>-26571.200000000001</v>
      </c>
      <c r="M42" s="2"/>
      <c r="N42" s="19">
        <f t="shared" si="15"/>
        <v>-1</v>
      </c>
      <c r="O42" s="11"/>
      <c r="P42" s="2"/>
      <c r="Q42" s="2"/>
      <c r="R42" s="19">
        <f t="shared" si="16"/>
        <v>0</v>
      </c>
      <c r="S42" s="2"/>
      <c r="T42" s="2">
        <v>84422.36</v>
      </c>
      <c r="U42" s="2"/>
      <c r="V42" s="19">
        <f t="shared" si="17"/>
        <v>0.54984424771660156</v>
      </c>
      <c r="W42" s="2"/>
      <c r="X42" s="2">
        <f t="shared" si="18"/>
        <v>-84422.36</v>
      </c>
      <c r="Y42" s="2"/>
      <c r="Z42" s="19">
        <f t="shared" si="19"/>
        <v>-1</v>
      </c>
    </row>
    <row r="43" spans="1:26" s="24" customFormat="1" hidden="1" outlineLevel="1" x14ac:dyDescent="0.25">
      <c r="A43" s="44"/>
      <c r="B43" s="11" t="str">
        <f>CONCATENATE("          ", "5041", " - ", "PURCHASES @ COST-LOGO GIFTS")</f>
        <v xml:space="preserve">          5041 - PURCHASES @ COST-LOGO GIFTS</v>
      </c>
      <c r="C43" s="11"/>
      <c r="D43" s="2"/>
      <c r="E43" s="2"/>
      <c r="F43" s="19">
        <f t="shared" si="12"/>
        <v>0</v>
      </c>
      <c r="G43" s="2"/>
      <c r="H43" s="2">
        <v>2918.13</v>
      </c>
      <c r="I43" s="2"/>
      <c r="J43" s="19">
        <f t="shared" si="13"/>
        <v>8.9615725968669652E-2</v>
      </c>
      <c r="K43" s="2"/>
      <c r="L43" s="2">
        <f t="shared" si="14"/>
        <v>-2918.13</v>
      </c>
      <c r="M43" s="2"/>
      <c r="N43" s="19">
        <f t="shared" si="15"/>
        <v>-1</v>
      </c>
      <c r="O43" s="11"/>
      <c r="P43" s="2"/>
      <c r="Q43" s="2"/>
      <c r="R43" s="19">
        <f t="shared" si="16"/>
        <v>0</v>
      </c>
      <c r="S43" s="2"/>
      <c r="T43" s="2">
        <v>11384.75</v>
      </c>
      <c r="U43" s="2"/>
      <c r="V43" s="19">
        <f t="shared" si="17"/>
        <v>7.4149067844011707E-2</v>
      </c>
      <c r="W43" s="2"/>
      <c r="X43" s="2">
        <f t="shared" si="18"/>
        <v>-11384.75</v>
      </c>
      <c r="Y43" s="2"/>
      <c r="Z43" s="19">
        <f t="shared" si="19"/>
        <v>-1</v>
      </c>
    </row>
    <row r="44" spans="1:26" s="24" customFormat="1" hidden="1" outlineLevel="1" x14ac:dyDescent="0.25">
      <c r="A44" s="44"/>
      <c r="B44" s="11" t="str">
        <f>CONCATENATE("          ", "5042", " - ", "PURCHASES @ COST-EVERYDAY GIFT")</f>
        <v xml:space="preserve">          5042 - PURCHASES @ COST-EVERYDAY GIFT</v>
      </c>
      <c r="C44" s="11"/>
      <c r="D44" s="2"/>
      <c r="E44" s="2"/>
      <c r="F44" s="19">
        <f t="shared" si="12"/>
        <v>0</v>
      </c>
      <c r="G44" s="2"/>
      <c r="H44" s="2">
        <v>1246.6500000000001</v>
      </c>
      <c r="I44" s="2"/>
      <c r="J44" s="19">
        <f t="shared" si="13"/>
        <v>3.8284601706860912E-2</v>
      </c>
      <c r="K44" s="2"/>
      <c r="L44" s="2">
        <f t="shared" si="14"/>
        <v>-1246.6500000000001</v>
      </c>
      <c r="M44" s="2"/>
      <c r="N44" s="19">
        <f t="shared" si="15"/>
        <v>-1</v>
      </c>
      <c r="O44" s="11"/>
      <c r="P44" s="2"/>
      <c r="Q44" s="2"/>
      <c r="R44" s="19">
        <f t="shared" si="16"/>
        <v>0</v>
      </c>
      <c r="S44" s="2"/>
      <c r="T44" s="2">
        <v>7635.17</v>
      </c>
      <c r="U44" s="2"/>
      <c r="V44" s="19">
        <f t="shared" si="17"/>
        <v>4.9727990366987669E-2</v>
      </c>
      <c r="W44" s="2"/>
      <c r="X44" s="2">
        <f t="shared" si="18"/>
        <v>-7635.17</v>
      </c>
      <c r="Y44" s="2"/>
      <c r="Z44" s="19">
        <f t="shared" si="19"/>
        <v>-1</v>
      </c>
    </row>
    <row r="45" spans="1:26" s="24" customFormat="1" hidden="1" outlineLevel="1" x14ac:dyDescent="0.25">
      <c r="A45" s="44"/>
      <c r="B45" s="11" t="str">
        <f>CONCATENATE("          ", "5044", " - ", "PURCHASES @ COST-ACCESSORIES")</f>
        <v xml:space="preserve">          5044 - PURCHASES @ COST-ACCESSORIES</v>
      </c>
      <c r="C45" s="11"/>
      <c r="D45" s="2"/>
      <c r="E45" s="2"/>
      <c r="F45" s="19">
        <f t="shared" si="12"/>
        <v>0</v>
      </c>
      <c r="G45" s="2"/>
      <c r="H45" s="2">
        <v>254.1</v>
      </c>
      <c r="I45" s="2"/>
      <c r="J45" s="19">
        <f t="shared" si="13"/>
        <v>7.8034069656385966E-3</v>
      </c>
      <c r="K45" s="2"/>
      <c r="L45" s="2">
        <f t="shared" si="14"/>
        <v>-254.1</v>
      </c>
      <c r="M45" s="2"/>
      <c r="N45" s="19">
        <f t="shared" si="15"/>
        <v>-1</v>
      </c>
      <c r="O45" s="11"/>
      <c r="P45" s="2"/>
      <c r="Q45" s="2"/>
      <c r="R45" s="19">
        <f t="shared" si="16"/>
        <v>0</v>
      </c>
      <c r="S45" s="2"/>
      <c r="T45" s="2">
        <v>1747.43</v>
      </c>
      <c r="U45" s="2"/>
      <c r="V45" s="19">
        <f t="shared" si="17"/>
        <v>1.1381040920763422E-2</v>
      </c>
      <c r="W45" s="2"/>
      <c r="X45" s="2">
        <f t="shared" si="18"/>
        <v>-1747.43</v>
      </c>
      <c r="Y45" s="2"/>
      <c r="Z45" s="19">
        <f t="shared" si="19"/>
        <v>-1</v>
      </c>
    </row>
    <row r="46" spans="1:26" s="24" customFormat="1" hidden="1" outlineLevel="1" x14ac:dyDescent="0.25">
      <c r="A46" s="44"/>
      <c r="B46" s="11" t="str">
        <f>CONCATENATE("          ", "5045", " - ", "PURCHASES @ COST-SPECIAL ORDER")</f>
        <v xml:space="preserve">          5045 - PURCHASES @ COST-SPECIAL ORDER</v>
      </c>
      <c r="C46" s="11"/>
      <c r="D46" s="2"/>
      <c r="E46" s="2"/>
      <c r="F46" s="19">
        <f t="shared" si="12"/>
        <v>0</v>
      </c>
      <c r="G46" s="2"/>
      <c r="H46" s="2">
        <v>-1267.2</v>
      </c>
      <c r="I46" s="2"/>
      <c r="J46" s="19">
        <f t="shared" si="13"/>
        <v>-3.8915691880587293E-2</v>
      </c>
      <c r="K46" s="2"/>
      <c r="L46" s="2">
        <f t="shared" si="14"/>
        <v>1267.2</v>
      </c>
      <c r="M46" s="2"/>
      <c r="N46" s="19">
        <f t="shared" si="15"/>
        <v>-1</v>
      </c>
      <c r="O46" s="11"/>
      <c r="P46" s="2"/>
      <c r="Q46" s="2"/>
      <c r="R46" s="19">
        <f t="shared" si="16"/>
        <v>0</v>
      </c>
      <c r="S46" s="2"/>
      <c r="T46" s="2">
        <v>-968.2</v>
      </c>
      <c r="U46" s="2"/>
      <c r="V46" s="19">
        <f t="shared" si="17"/>
        <v>-6.3059028513205943E-3</v>
      </c>
      <c r="W46" s="2"/>
      <c r="X46" s="2">
        <f t="shared" si="18"/>
        <v>968.2</v>
      </c>
      <c r="Y46" s="2"/>
      <c r="Z46" s="19">
        <f t="shared" si="19"/>
        <v>-1</v>
      </c>
    </row>
    <row r="47" spans="1:26" s="24" customFormat="1" hidden="1" outlineLevel="1" x14ac:dyDescent="0.25">
      <c r="A47" s="44"/>
      <c r="B47" s="11" t="str">
        <f>CONCATENATE("          ", "5083", " - ", "PURCHASES @ COST-COMPUTER EQUI")</f>
        <v xml:space="preserve">          5083 - PURCHASES @ COST-COMPUTER EQUI</v>
      </c>
      <c r="C47" s="11"/>
      <c r="D47" s="2"/>
      <c r="E47" s="2"/>
      <c r="F47" s="19">
        <f t="shared" si="12"/>
        <v>0</v>
      </c>
      <c r="G47" s="2"/>
      <c r="H47" s="2"/>
      <c r="I47" s="2"/>
      <c r="J47" s="19">
        <f t="shared" si="13"/>
        <v>0</v>
      </c>
      <c r="K47" s="2"/>
      <c r="L47" s="2">
        <f t="shared" si="14"/>
        <v>0</v>
      </c>
      <c r="M47" s="2"/>
      <c r="N47" s="19">
        <f t="shared" si="15"/>
        <v>0</v>
      </c>
      <c r="O47" s="11"/>
      <c r="P47" s="2"/>
      <c r="Q47" s="2"/>
      <c r="R47" s="19">
        <f t="shared" si="16"/>
        <v>0</v>
      </c>
      <c r="S47" s="2"/>
      <c r="T47" s="2">
        <v>39.950000000000003</v>
      </c>
      <c r="U47" s="2"/>
      <c r="V47" s="19">
        <f t="shared" si="17"/>
        <v>2.6019502056419928E-4</v>
      </c>
      <c r="W47" s="2"/>
      <c r="X47" s="2">
        <f t="shared" si="18"/>
        <v>-39.950000000000003</v>
      </c>
      <c r="Y47" s="2"/>
      <c r="Z47" s="19">
        <f t="shared" si="19"/>
        <v>-1</v>
      </c>
    </row>
    <row r="48" spans="1:26" s="24" customFormat="1" hidden="1" outlineLevel="1" x14ac:dyDescent="0.25">
      <c r="A48" s="44"/>
      <c r="B48" s="11" t="str">
        <f>CONCATENATE("          ", "5092", " - ", "PURCHASES @ COST-GRAD MERCH")</f>
        <v xml:space="preserve">          5092 - PURCHASES @ COST-GRAD MERCH</v>
      </c>
      <c r="C48" s="11"/>
      <c r="D48" s="2"/>
      <c r="E48" s="2"/>
      <c r="F48" s="19">
        <f t="shared" si="12"/>
        <v>0</v>
      </c>
      <c r="G48" s="2"/>
      <c r="H48" s="2">
        <v>-12.95</v>
      </c>
      <c r="I48" s="2"/>
      <c r="J48" s="19">
        <f t="shared" si="13"/>
        <v>-3.9769429439204967E-4</v>
      </c>
      <c r="K48" s="2"/>
      <c r="L48" s="2">
        <f t="shared" si="14"/>
        <v>12.95</v>
      </c>
      <c r="M48" s="2"/>
      <c r="N48" s="19">
        <f t="shared" si="15"/>
        <v>-1</v>
      </c>
      <c r="O48" s="11"/>
      <c r="P48" s="2"/>
      <c r="Q48" s="2"/>
      <c r="R48" s="19">
        <f t="shared" si="16"/>
        <v>0</v>
      </c>
      <c r="S48" s="2"/>
      <c r="T48" s="2">
        <v>-12.95</v>
      </c>
      <c r="U48" s="2"/>
      <c r="V48" s="19">
        <f t="shared" si="17"/>
        <v>-8.4343567366868089E-5</v>
      </c>
      <c r="W48" s="2"/>
      <c r="X48" s="2">
        <f t="shared" si="18"/>
        <v>12.95</v>
      </c>
      <c r="Y48" s="2"/>
      <c r="Z48" s="19">
        <f t="shared" si="19"/>
        <v>-1</v>
      </c>
    </row>
    <row r="49" spans="1:26" s="24" customFormat="1" hidden="1" outlineLevel="1" x14ac:dyDescent="0.25">
      <c r="A49" s="44"/>
      <c r="B49" s="11" t="str">
        <f>CONCATENATE("          ", "5095", " - ", "PURCHASES @ COST-CUSTOMER SERV")</f>
        <v xml:space="preserve">          5095 - PURCHASES @ COST-CUSTOMER SERV</v>
      </c>
      <c r="C49" s="11"/>
      <c r="D49" s="2"/>
      <c r="E49" s="2"/>
      <c r="F49" s="19">
        <f t="shared" si="12"/>
        <v>0</v>
      </c>
      <c r="G49" s="2"/>
      <c r="H49" s="2"/>
      <c r="I49" s="2"/>
      <c r="J49" s="19">
        <f t="shared" si="13"/>
        <v>0</v>
      </c>
      <c r="K49" s="2"/>
      <c r="L49" s="2">
        <f t="shared" si="14"/>
        <v>0</v>
      </c>
      <c r="M49" s="2"/>
      <c r="N49" s="19">
        <f t="shared" si="15"/>
        <v>0</v>
      </c>
      <c r="O49" s="11"/>
      <c r="P49" s="2"/>
      <c r="Q49" s="2"/>
      <c r="R49" s="19">
        <f t="shared" si="16"/>
        <v>0</v>
      </c>
      <c r="S49" s="2"/>
      <c r="T49" s="2">
        <v>-11.85</v>
      </c>
      <c r="U49" s="2"/>
      <c r="V49" s="19">
        <f t="shared" si="17"/>
        <v>-7.7179248903273115E-5</v>
      </c>
      <c r="W49" s="2"/>
      <c r="X49" s="2">
        <f t="shared" si="18"/>
        <v>11.85</v>
      </c>
      <c r="Y49" s="2"/>
      <c r="Z49" s="19">
        <f t="shared" si="19"/>
        <v>-1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/>
      <c r="E50" s="2"/>
      <c r="F50" s="19">
        <f t="shared" si="12"/>
        <v>0</v>
      </c>
      <c r="G50" s="2"/>
      <c r="H50" s="2">
        <v>-29664</v>
      </c>
      <c r="I50" s="2"/>
      <c r="J50" s="19">
        <f t="shared" si="13"/>
        <v>-0.91098096902283876</v>
      </c>
      <c r="K50" s="2"/>
      <c r="L50" s="2">
        <f t="shared" si="14"/>
        <v>29664</v>
      </c>
      <c r="M50" s="2"/>
      <c r="N50" s="19">
        <f t="shared" si="15"/>
        <v>-1</v>
      </c>
      <c r="O50" s="11"/>
      <c r="P50" s="2"/>
      <c r="Q50" s="2"/>
      <c r="R50" s="19">
        <f t="shared" si="16"/>
        <v>0</v>
      </c>
      <c r="S50" s="2"/>
      <c r="T50" s="2">
        <v>-104230</v>
      </c>
      <c r="U50" s="2"/>
      <c r="V50" s="19">
        <f t="shared" si="17"/>
        <v>-0.67885173950954913</v>
      </c>
      <c r="W50" s="2"/>
      <c r="X50" s="2">
        <f t="shared" si="18"/>
        <v>104230</v>
      </c>
      <c r="Y50" s="2"/>
      <c r="Z50" s="19">
        <f t="shared" si="19"/>
        <v>-1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9366</v>
      </c>
      <c r="E51" s="2"/>
      <c r="F51" s="19">
        <f t="shared" si="12"/>
        <v>0.46907890552262038</v>
      </c>
      <c r="G51" s="2"/>
      <c r="H51" s="2">
        <v>13916</v>
      </c>
      <c r="I51" s="2"/>
      <c r="J51" s="19">
        <f t="shared" si="13"/>
        <v>0.42736013905480802</v>
      </c>
      <c r="K51" s="2"/>
      <c r="L51" s="2">
        <f t="shared" si="14"/>
        <v>-4550</v>
      </c>
      <c r="M51" s="2"/>
      <c r="N51" s="19">
        <f t="shared" si="15"/>
        <v>-0.32696177062374243</v>
      </c>
      <c r="O51" s="11"/>
      <c r="P51" s="2">
        <v>28006</v>
      </c>
      <c r="Q51" s="2"/>
      <c r="R51" s="19">
        <f t="shared" si="16"/>
        <v>0.40213152971948157</v>
      </c>
      <c r="S51" s="2"/>
      <c r="T51" s="2">
        <v>65008.999999999993</v>
      </c>
      <c r="U51" s="2"/>
      <c r="V51" s="19">
        <f t="shared" si="17"/>
        <v>0.4234047081816778</v>
      </c>
      <c r="W51" s="2"/>
      <c r="X51" s="2">
        <f t="shared" si="18"/>
        <v>-37002.999999999993</v>
      </c>
      <c r="Y51" s="2"/>
      <c r="Z51" s="19">
        <f t="shared" si="19"/>
        <v>-0.56919811103078033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6</v>
      </c>
      <c r="C53" s="25"/>
      <c r="D53" s="22">
        <f>D12-D38</f>
        <v>10600.789999999997</v>
      </c>
      <c r="E53" s="13"/>
      <c r="F53" s="21">
        <f>IF(D$12=0,0,D53/D$12)</f>
        <v>0.53092109447737967</v>
      </c>
      <c r="G53" s="13"/>
      <c r="H53" s="22">
        <f>H12-H38</f>
        <v>18647.140000000007</v>
      </c>
      <c r="I53" s="13"/>
      <c r="J53" s="21">
        <f>IF(H$12=0,0,H53/H$12)</f>
        <v>0.5726533733382061</v>
      </c>
      <c r="K53" s="15"/>
      <c r="L53" s="22">
        <f>+D53-H53</f>
        <v>-8046.3500000000095</v>
      </c>
      <c r="M53" s="15"/>
      <c r="N53" s="21">
        <f>IF(H53=0,0,L53/H53)</f>
        <v>-0.43150585022689841</v>
      </c>
      <c r="O53" s="26"/>
      <c r="P53" s="22">
        <f>P12-P38</f>
        <v>41637.879999999976</v>
      </c>
      <c r="Q53" s="13"/>
      <c r="R53" s="21">
        <f>IF(P$12=0,0,P53/P$12)</f>
        <v>0.59786847028051837</v>
      </c>
      <c r="S53" s="13"/>
      <c r="T53" s="22">
        <f>T12-T38</f>
        <v>88529.729999999981</v>
      </c>
      <c r="U53" s="13"/>
      <c r="V53" s="21">
        <f>IF(T$12=0,0,T53/T$12)</f>
        <v>0.57659561746916155</v>
      </c>
      <c r="W53" s="15"/>
      <c r="X53" s="22">
        <f>+P53-T53</f>
        <v>-46891.850000000006</v>
      </c>
      <c r="Y53" s="15"/>
      <c r="Z53" s="21">
        <f>IF(T53=0,0,X53/T53)</f>
        <v>-0.52967347805081999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9</v>
      </c>
      <c r="C55" s="10"/>
      <c r="D55" s="20">
        <f>SUM(OSRRefD22x_0)</f>
        <v>21661.780000000002</v>
      </c>
      <c r="E55" s="20"/>
      <c r="F55" s="36">
        <f t="shared" ref="F55:F64" si="20">IF(D$12=0,0,D55/D$12)</f>
        <v>1.0848904606098428</v>
      </c>
      <c r="G55" s="20"/>
      <c r="H55" s="20">
        <f>SUM(OSRRefH22x_0)</f>
        <v>24710.130000000005</v>
      </c>
      <c r="I55" s="20"/>
      <c r="J55" s="36">
        <f t="shared" ref="J55:J64" si="21">IF(H$12=0,0,H55/H$12)</f>
        <v>0.75884769997573909</v>
      </c>
      <c r="K55" s="4"/>
      <c r="L55" s="20">
        <f t="shared" ref="L55:L64" si="22">+D55-H55</f>
        <v>-3048.3500000000022</v>
      </c>
      <c r="M55" s="4"/>
      <c r="N55" s="36">
        <f t="shared" ref="N55:N64" si="23">IF(H55=0,0,L55/H55)</f>
        <v>-0.12336438537555253</v>
      </c>
      <c r="O55" s="10"/>
      <c r="P55" s="20">
        <f>SUM(OSRRefP22x_0)</f>
        <v>63098.049999999981</v>
      </c>
      <c r="Q55" s="20"/>
      <c r="R55" s="36">
        <f t="shared" ref="R55:R64" si="24">IF(P$12=0,0,P55/P$12)</f>
        <v>0.90600997532015737</v>
      </c>
      <c r="S55" s="20"/>
      <c r="T55" s="20">
        <f>SUM(OSRRefT22x_0)</f>
        <v>89545.66</v>
      </c>
      <c r="U55" s="20"/>
      <c r="V55" s="36">
        <f t="shared" ref="V55:V64" si="25">IF(T$12=0,0,T55/T$12)</f>
        <v>0.58321238661163444</v>
      </c>
      <c r="W55" s="4"/>
      <c r="X55" s="20">
        <f t="shared" ref="X55:X64" si="26">+P55-T55</f>
        <v>-26447.610000000022</v>
      </c>
      <c r="Y55" s="4"/>
      <c r="Z55" s="36">
        <f t="shared" ref="Z55:Z64" si="27">IF(T55=0,0,X55/T55)</f>
        <v>-0.29535334264106178</v>
      </c>
    </row>
    <row r="56" spans="1:26" s="27" customFormat="1" outlineLevel="1" collapsed="1" x14ac:dyDescent="0.25">
      <c r="A56" s="29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5184.3499999999995</v>
      </c>
      <c r="E56" s="1"/>
      <c r="F56" s="5">
        <f t="shared" si="20"/>
        <v>0.25964864657764219</v>
      </c>
      <c r="G56" s="1"/>
      <c r="H56" s="1">
        <f>SUM(OSRRefH22_0x_0)</f>
        <v>804.87</v>
      </c>
      <c r="I56" s="1"/>
      <c r="J56" s="5">
        <f t="shared" si="21"/>
        <v>2.4717544921029271E-2</v>
      </c>
      <c r="K56" s="1"/>
      <c r="L56" s="1">
        <f t="shared" si="22"/>
        <v>4379.4799999999996</v>
      </c>
      <c r="M56" s="1"/>
      <c r="N56" s="5">
        <f t="shared" si="23"/>
        <v>5.4412265334774554</v>
      </c>
      <c r="O56" s="14"/>
      <c r="P56" s="1">
        <f>SUM(OSRRefP22_0x_0)</f>
        <v>14977.500000000002</v>
      </c>
      <c r="Q56" s="1"/>
      <c r="R56" s="5">
        <f t="shared" si="24"/>
        <v>0.21505837986051332</v>
      </c>
      <c r="S56" s="1"/>
      <c r="T56" s="1">
        <f>SUM(OSRRefT22_0x_0)</f>
        <v>5538.7099999999991</v>
      </c>
      <c r="U56" s="1"/>
      <c r="V56" s="5">
        <f t="shared" si="25"/>
        <v>3.6073711197725553E-2</v>
      </c>
      <c r="W56" s="1"/>
      <c r="X56" s="1">
        <f t="shared" si="26"/>
        <v>9438.7900000000027</v>
      </c>
      <c r="Y56" s="1"/>
      <c r="Z56" s="5">
        <f t="shared" si="27"/>
        <v>1.7041495221811584</v>
      </c>
    </row>
    <row r="57" spans="1:26" s="24" customFormat="1" hidden="1" outlineLevel="2" x14ac:dyDescent="0.25">
      <c r="A57" s="28"/>
      <c r="B57" s="11" t="str">
        <f>CONCATENATE("          ", "6111", " - ", "F.I.C.A.")</f>
        <v xml:space="preserve">          6111 - F.I.C.A.</v>
      </c>
      <c r="C57" s="11"/>
      <c r="D57" s="7">
        <v>669.38</v>
      </c>
      <c r="E57" s="2"/>
      <c r="F57" s="6">
        <f t="shared" si="20"/>
        <v>3.3524667710733674E-2</v>
      </c>
      <c r="G57" s="2"/>
      <c r="H57" s="7">
        <v>183.6</v>
      </c>
      <c r="I57" s="2"/>
      <c r="J57" s="6">
        <f t="shared" si="21"/>
        <v>5.6383530849714531E-3</v>
      </c>
      <c r="K57" s="2"/>
      <c r="L57" s="7">
        <f t="shared" si="22"/>
        <v>485.78</v>
      </c>
      <c r="M57" s="2"/>
      <c r="N57" s="6">
        <f t="shared" si="23"/>
        <v>2.6458605664488015</v>
      </c>
      <c r="O57" s="11"/>
      <c r="P57" s="7">
        <v>2210.0100000000002</v>
      </c>
      <c r="Q57" s="2"/>
      <c r="R57" s="6">
        <f t="shared" si="24"/>
        <v>3.1733010854650849E-2</v>
      </c>
      <c r="S57" s="2"/>
      <c r="T57" s="7">
        <v>1831.17</v>
      </c>
      <c r="U57" s="2"/>
      <c r="V57" s="6">
        <f t="shared" si="25"/>
        <v>1.1926440946346553E-2</v>
      </c>
      <c r="W57" s="2"/>
      <c r="X57" s="7">
        <f t="shared" si="26"/>
        <v>378.84000000000015</v>
      </c>
      <c r="Y57" s="2"/>
      <c r="Z57" s="6">
        <f t="shared" si="27"/>
        <v>0.2068841232654533</v>
      </c>
    </row>
    <row r="58" spans="1:26" s="24" customFormat="1" hidden="1" outlineLevel="2" x14ac:dyDescent="0.25">
      <c r="A58" s="28"/>
      <c r="B58" s="11" t="str">
        <f>CONCATENATE("          ", "6112", " - ", "COMPENSATION INSURANCE")</f>
        <v xml:space="preserve">          6112 - COMPENSATION INSURANCE</v>
      </c>
      <c r="C58" s="11"/>
      <c r="D58" s="7">
        <v>245.98</v>
      </c>
      <c r="E58" s="2"/>
      <c r="F58" s="6">
        <f t="shared" si="20"/>
        <v>1.2319456457447593E-2</v>
      </c>
      <c r="G58" s="2"/>
      <c r="H58" s="7">
        <v>193.01</v>
      </c>
      <c r="I58" s="2"/>
      <c r="J58" s="6">
        <f t="shared" si="21"/>
        <v>5.927334035568302E-3</v>
      </c>
      <c r="K58" s="2"/>
      <c r="L58" s="7">
        <f t="shared" si="22"/>
        <v>52.97</v>
      </c>
      <c r="M58" s="2"/>
      <c r="N58" s="6">
        <f t="shared" si="23"/>
        <v>0.27444173877001193</v>
      </c>
      <c r="O58" s="11"/>
      <c r="P58" s="7">
        <v>858.02</v>
      </c>
      <c r="Q58" s="2"/>
      <c r="R58" s="6">
        <f t="shared" si="24"/>
        <v>1.2320106231875655E-2</v>
      </c>
      <c r="S58" s="2"/>
      <c r="T58" s="7">
        <v>586.37</v>
      </c>
      <c r="U58" s="2"/>
      <c r="V58" s="6">
        <f t="shared" si="25"/>
        <v>3.8190376522710769E-3</v>
      </c>
      <c r="W58" s="2"/>
      <c r="X58" s="7">
        <f t="shared" si="26"/>
        <v>271.64999999999998</v>
      </c>
      <c r="Y58" s="2"/>
      <c r="Z58" s="6">
        <f t="shared" si="27"/>
        <v>0.46327404198714117</v>
      </c>
    </row>
    <row r="59" spans="1:26" s="24" customFormat="1" hidden="1" outlineLevel="2" x14ac:dyDescent="0.25">
      <c r="A59" s="28"/>
      <c r="B59" s="11" t="str">
        <f>CONCATENATE("          ", "6113", " - ", "GROUP INSURANCE")</f>
        <v xml:space="preserve">          6113 - GROUP INSURANCE</v>
      </c>
      <c r="C59" s="11"/>
      <c r="D59" s="7">
        <v>2714.98</v>
      </c>
      <c r="E59" s="2"/>
      <c r="F59" s="6">
        <f t="shared" si="20"/>
        <v>0.13597478613237282</v>
      </c>
      <c r="G59" s="2"/>
      <c r="H59" s="7">
        <v>31.11</v>
      </c>
      <c r="I59" s="2"/>
      <c r="J59" s="6">
        <f t="shared" si="21"/>
        <v>9.5538760606460739E-4</v>
      </c>
      <c r="K59" s="2"/>
      <c r="L59" s="7">
        <f t="shared" si="22"/>
        <v>2683.87</v>
      </c>
      <c r="M59" s="2"/>
      <c r="N59" s="6">
        <f t="shared" si="23"/>
        <v>86.27033108325297</v>
      </c>
      <c r="O59" s="11"/>
      <c r="P59" s="7">
        <v>7442.43</v>
      </c>
      <c r="Q59" s="2"/>
      <c r="R59" s="6">
        <f t="shared" si="24"/>
        <v>0.10686409200636154</v>
      </c>
      <c r="S59" s="2"/>
      <c r="T59" s="7">
        <v>1496.28</v>
      </c>
      <c r="U59" s="2"/>
      <c r="V59" s="6">
        <f t="shared" si="25"/>
        <v>9.7452967551889882E-3</v>
      </c>
      <c r="W59" s="2"/>
      <c r="X59" s="7">
        <f t="shared" si="26"/>
        <v>5946.1500000000005</v>
      </c>
      <c r="Y59" s="2"/>
      <c r="Z59" s="6">
        <f t="shared" si="27"/>
        <v>3.9739554094153506</v>
      </c>
    </row>
    <row r="60" spans="1:26" s="24" customFormat="1" hidden="1" outlineLevel="2" x14ac:dyDescent="0.25">
      <c r="A60" s="28"/>
      <c r="B60" s="11" t="str">
        <f>CONCATENATE("          ", "6114", " - ", "STATE UNEMPLOYMENT INSURANCE")</f>
        <v xml:space="preserve">          6114 - STATE UNEMPLOYMENT INSURANCE</v>
      </c>
      <c r="C60" s="11"/>
      <c r="D60" s="7">
        <v>34.57</v>
      </c>
      <c r="E60" s="2"/>
      <c r="F60" s="6">
        <f t="shared" si="20"/>
        <v>1.7313749481013224E-3</v>
      </c>
      <c r="G60" s="2"/>
      <c r="H60" s="7">
        <v>26.41</v>
      </c>
      <c r="I60" s="2"/>
      <c r="J60" s="6">
        <f t="shared" si="21"/>
        <v>8.1105068068679784E-4</v>
      </c>
      <c r="K60" s="2"/>
      <c r="L60" s="7">
        <f t="shared" si="22"/>
        <v>8.16</v>
      </c>
      <c r="M60" s="2"/>
      <c r="N60" s="6">
        <f t="shared" si="23"/>
        <v>0.30897387353275274</v>
      </c>
      <c r="O60" s="11"/>
      <c r="P60" s="7">
        <v>94.24</v>
      </c>
      <c r="Q60" s="2"/>
      <c r="R60" s="6">
        <f t="shared" si="24"/>
        <v>1.3531698693409963E-3</v>
      </c>
      <c r="S60" s="2"/>
      <c r="T60" s="7">
        <v>80.23</v>
      </c>
      <c r="U60" s="2"/>
      <c r="V60" s="6">
        <f t="shared" si="25"/>
        <v>5.2253933666747702E-4</v>
      </c>
      <c r="W60" s="2"/>
      <c r="X60" s="7">
        <f t="shared" si="26"/>
        <v>14.009999999999991</v>
      </c>
      <c r="Y60" s="2"/>
      <c r="Z60" s="6">
        <f t="shared" si="27"/>
        <v>0.17462295899289532</v>
      </c>
    </row>
    <row r="61" spans="1:26" s="24" customFormat="1" hidden="1" outlineLevel="2" x14ac:dyDescent="0.25">
      <c r="A61" s="28"/>
      <c r="B61" s="11" t="str">
        <f>CONCATENATE("          ", "6115", " - ", "P.E.R.S.")</f>
        <v xml:space="preserve">          6115 - P.E.R.S.</v>
      </c>
      <c r="C61" s="11"/>
      <c r="D61" s="7">
        <v>362.12</v>
      </c>
      <c r="E61" s="2"/>
      <c r="F61" s="6">
        <f t="shared" si="20"/>
        <v>1.8136115018989034E-2</v>
      </c>
      <c r="G61" s="2"/>
      <c r="H61" s="7">
        <v>167.64</v>
      </c>
      <c r="I61" s="2"/>
      <c r="J61" s="6">
        <f t="shared" si="21"/>
        <v>5.1482217383693593E-3</v>
      </c>
      <c r="K61" s="2"/>
      <c r="L61" s="7">
        <f t="shared" si="22"/>
        <v>194.48000000000002</v>
      </c>
      <c r="M61" s="2"/>
      <c r="N61" s="6">
        <f t="shared" si="23"/>
        <v>1.1601049868766407</v>
      </c>
      <c r="O61" s="11"/>
      <c r="P61" s="7">
        <v>1267.42</v>
      </c>
      <c r="Q61" s="2"/>
      <c r="R61" s="6">
        <f t="shared" si="24"/>
        <v>1.8198583996181725E-2</v>
      </c>
      <c r="S61" s="2"/>
      <c r="T61" s="7">
        <v>530.9</v>
      </c>
      <c r="U61" s="2"/>
      <c r="V61" s="6">
        <f t="shared" si="25"/>
        <v>3.4577606112023373E-3</v>
      </c>
      <c r="W61" s="2"/>
      <c r="X61" s="7">
        <f t="shared" si="26"/>
        <v>736.5200000000001</v>
      </c>
      <c r="Y61" s="2"/>
      <c r="Z61" s="6">
        <f t="shared" si="27"/>
        <v>1.3873045771331702</v>
      </c>
    </row>
    <row r="62" spans="1:26" s="24" customFormat="1" hidden="1" outlineLevel="2" x14ac:dyDescent="0.25">
      <c r="A62" s="28"/>
      <c r="B62" s="11" t="str">
        <f>CONCATENATE("          ", "6118", " - ", "VACATION")</f>
        <v xml:space="preserve">          6118 - VACATION</v>
      </c>
      <c r="C62" s="11"/>
      <c r="D62" s="7">
        <v>498.76</v>
      </c>
      <c r="E62" s="2"/>
      <c r="F62" s="6">
        <f t="shared" si="20"/>
        <v>2.4979478423922927E-2</v>
      </c>
      <c r="G62" s="2"/>
      <c r="H62" s="7">
        <v>92.4</v>
      </c>
      <c r="I62" s="2"/>
      <c r="J62" s="6">
        <f t="shared" si="21"/>
        <v>2.8376025329594897E-3</v>
      </c>
      <c r="K62" s="2"/>
      <c r="L62" s="7">
        <f t="shared" si="22"/>
        <v>406.36</v>
      </c>
      <c r="M62" s="2"/>
      <c r="N62" s="6">
        <f t="shared" si="23"/>
        <v>4.3978354978354979</v>
      </c>
      <c r="O62" s="11"/>
      <c r="P62" s="7">
        <v>1400.03</v>
      </c>
      <c r="Q62" s="2"/>
      <c r="R62" s="6">
        <f t="shared" si="24"/>
        <v>2.0102699619837384E-2</v>
      </c>
      <c r="S62" s="2"/>
      <c r="T62" s="7">
        <v>480.15</v>
      </c>
      <c r="U62" s="2"/>
      <c r="V62" s="6">
        <f t="shared" si="25"/>
        <v>3.1272250093592057E-3</v>
      </c>
      <c r="W62" s="2"/>
      <c r="X62" s="7">
        <f t="shared" si="26"/>
        <v>919.88</v>
      </c>
      <c r="Y62" s="2"/>
      <c r="Z62" s="6">
        <f t="shared" si="27"/>
        <v>1.9158179735499323</v>
      </c>
    </row>
    <row r="63" spans="1:26" s="24" customFormat="1" hidden="1" outlineLevel="2" x14ac:dyDescent="0.25">
      <c r="A63" s="28"/>
      <c r="B63" s="11" t="str">
        <f>CONCATENATE("          ", "6119", " - ", "SICK LEAVE")</f>
        <v xml:space="preserve">          6119 - SICK LEAVE</v>
      </c>
      <c r="C63" s="11"/>
      <c r="D63" s="7">
        <v>446.7</v>
      </c>
      <c r="E63" s="2"/>
      <c r="F63" s="6">
        <f t="shared" si="20"/>
        <v>2.2372148953337018E-2</v>
      </c>
      <c r="G63" s="2"/>
      <c r="H63" s="7">
        <v>110.7</v>
      </c>
      <c r="I63" s="2"/>
      <c r="J63" s="6">
        <f t="shared" si="21"/>
        <v>3.3995952424092589E-3</v>
      </c>
      <c r="K63" s="2"/>
      <c r="L63" s="7">
        <f t="shared" si="22"/>
        <v>336</v>
      </c>
      <c r="M63" s="2"/>
      <c r="N63" s="6">
        <f t="shared" si="23"/>
        <v>3.0352303523035231</v>
      </c>
      <c r="O63" s="11"/>
      <c r="P63" s="7">
        <v>1116.75</v>
      </c>
      <c r="Q63" s="2"/>
      <c r="R63" s="6">
        <f t="shared" si="24"/>
        <v>1.6035149104271625E-2</v>
      </c>
      <c r="S63" s="2"/>
      <c r="T63" s="7">
        <v>384.27</v>
      </c>
      <c r="U63" s="2"/>
      <c r="V63" s="6">
        <f t="shared" si="25"/>
        <v>2.5027569600051276E-3</v>
      </c>
      <c r="W63" s="2"/>
      <c r="X63" s="7">
        <f t="shared" si="26"/>
        <v>732.48</v>
      </c>
      <c r="Y63" s="2"/>
      <c r="Z63" s="6">
        <f t="shared" si="27"/>
        <v>1.9061597314388321</v>
      </c>
    </row>
    <row r="64" spans="1:26" s="24" customFormat="1" hidden="1" outlineLevel="2" x14ac:dyDescent="0.25">
      <c r="A64" s="28"/>
      <c r="B64" s="11" t="str">
        <f>CONCATENATE("          ", "6156", " - ", "EMPLOYEE MEALS")</f>
        <v xml:space="preserve">          6156 - EMPLOYEE MEALS</v>
      </c>
      <c r="C64" s="11"/>
      <c r="D64" s="7">
        <v>211.86</v>
      </c>
      <c r="E64" s="2"/>
      <c r="F64" s="6">
        <f t="shared" si="20"/>
        <v>1.0610618932737813E-2</v>
      </c>
      <c r="G64" s="2"/>
      <c r="H64" s="7"/>
      <c r="I64" s="2"/>
      <c r="J64" s="6">
        <f t="shared" si="21"/>
        <v>0</v>
      </c>
      <c r="K64" s="2"/>
      <c r="L64" s="7">
        <f t="shared" si="22"/>
        <v>211.86</v>
      </c>
      <c r="M64" s="2"/>
      <c r="N64" s="6">
        <f t="shared" si="23"/>
        <v>0</v>
      </c>
      <c r="O64" s="11"/>
      <c r="P64" s="7">
        <v>588.6</v>
      </c>
      <c r="Q64" s="2"/>
      <c r="R64" s="6">
        <f t="shared" si="24"/>
        <v>8.4515681779935327E-3</v>
      </c>
      <c r="S64" s="2"/>
      <c r="T64" s="7">
        <v>149.34</v>
      </c>
      <c r="U64" s="2"/>
      <c r="V64" s="6">
        <f t="shared" si="25"/>
        <v>9.7265392668479398E-4</v>
      </c>
      <c r="W64" s="2"/>
      <c r="X64" s="7">
        <f t="shared" si="26"/>
        <v>439.26</v>
      </c>
      <c r="Y64" s="2"/>
      <c r="Z64" s="6">
        <f t="shared" si="27"/>
        <v>2.9413419043792688</v>
      </c>
    </row>
    <row r="65" spans="1:26" s="27" customFormat="1" outlineLevel="1" collapsed="1" x14ac:dyDescent="0.25">
      <c r="A65" s="29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7185.8399999999992</v>
      </c>
      <c r="E65" s="1"/>
      <c r="F65" s="5">
        <f t="shared" ref="F65:F70" si="28">IF(D$12=0,0,D65/D$12)</f>
        <v>0.35988959667527931</v>
      </c>
      <c r="G65" s="1"/>
      <c r="H65" s="1">
        <f>SUM(OSRRefH22_1x_0)</f>
        <v>9812.15</v>
      </c>
      <c r="I65" s="1"/>
      <c r="J65" s="5">
        <f t="shared" ref="J65:J70" si="29">IF(H$12=0,0,H65/H$12)</f>
        <v>0.30133097071188808</v>
      </c>
      <c r="K65" s="1"/>
      <c r="L65" s="1">
        <f t="shared" ref="L65:L70" si="30">+D65-H65</f>
        <v>-2626.3100000000004</v>
      </c>
      <c r="M65" s="1"/>
      <c r="N65" s="5">
        <f t="shared" ref="N65:N70" si="31">IF(H65=0,0,L65/H65)</f>
        <v>-0.2676589738232702</v>
      </c>
      <c r="O65" s="14"/>
      <c r="P65" s="1">
        <f>SUM(OSRRefP22_1x_0)</f>
        <v>22934.48</v>
      </c>
      <c r="Q65" s="1"/>
      <c r="R65" s="5">
        <f t="shared" ref="R65:R70" si="32">IF(P$12=0,0,P65/P$12)</f>
        <v>0.3293107736099713</v>
      </c>
      <c r="S65" s="1"/>
      <c r="T65" s="1">
        <f>SUM(OSRRefT22_1x_0)</f>
        <v>31166.019999999997</v>
      </c>
      <c r="U65" s="1"/>
      <c r="V65" s="5">
        <f t="shared" ref="V65:V70" si="33">IF(T$12=0,0,T65/T$12)</f>
        <v>0.20298481138433652</v>
      </c>
      <c r="W65" s="1"/>
      <c r="X65" s="1">
        <f t="shared" ref="X65:X70" si="34">+P65-T65</f>
        <v>-8231.5399999999972</v>
      </c>
      <c r="Y65" s="1"/>
      <c r="Z65" s="5">
        <f t="shared" ref="Z65:Z70" si="35">IF(T65=0,0,X65/T65)</f>
        <v>-0.26411906300515747</v>
      </c>
    </row>
    <row r="66" spans="1:26" s="24" customFormat="1" hidden="1" outlineLevel="2" x14ac:dyDescent="0.25">
      <c r="A66" s="28"/>
      <c r="B66" s="11" t="str">
        <f>CONCATENATE("          ", "6002", " - ", "STAFF SALARIES")</f>
        <v xml:space="preserve">          6002 - STAFF SALARIES</v>
      </c>
      <c r="C66" s="11"/>
      <c r="D66" s="7">
        <v>4684.62</v>
      </c>
      <c r="E66" s="2"/>
      <c r="F66" s="6">
        <f t="shared" si="28"/>
        <v>0.23462058748551973</v>
      </c>
      <c r="G66" s="2"/>
      <c r="H66" s="7">
        <v>2026</v>
      </c>
      <c r="I66" s="2"/>
      <c r="J66" s="6">
        <f t="shared" si="29"/>
        <v>6.2218427833072798E-2</v>
      </c>
      <c r="K66" s="2"/>
      <c r="L66" s="7">
        <f t="shared" si="30"/>
        <v>2658.62</v>
      </c>
      <c r="M66" s="2"/>
      <c r="N66" s="6">
        <f t="shared" si="31"/>
        <v>1.3122507403751233</v>
      </c>
      <c r="O66" s="11"/>
      <c r="P66" s="7">
        <v>15224.86</v>
      </c>
      <c r="Q66" s="2"/>
      <c r="R66" s="6">
        <f t="shared" si="32"/>
        <v>0.21861016359226404</v>
      </c>
      <c r="S66" s="2"/>
      <c r="T66" s="7">
        <v>3861.9</v>
      </c>
      <c r="U66" s="2"/>
      <c r="V66" s="6">
        <f t="shared" si="33"/>
        <v>2.5152619522324934E-2</v>
      </c>
      <c r="W66" s="2"/>
      <c r="X66" s="7">
        <f t="shared" si="34"/>
        <v>11362.960000000001</v>
      </c>
      <c r="Y66" s="2"/>
      <c r="Z66" s="6">
        <f t="shared" si="35"/>
        <v>2.9423237266630418</v>
      </c>
    </row>
    <row r="67" spans="1:26" s="24" customFormat="1" hidden="1" outlineLevel="2" x14ac:dyDescent="0.25">
      <c r="A67" s="28"/>
      <c r="B67" s="11" t="str">
        <f>CONCATENATE("          ", "6004", " - ", "STAFF HOURLY")</f>
        <v xml:space="preserve">          6004 - STAFF HOURLY</v>
      </c>
      <c r="C67" s="11"/>
      <c r="D67" s="7">
        <v>-207.97</v>
      </c>
      <c r="E67" s="2"/>
      <c r="F67" s="6">
        <f t="shared" si="28"/>
        <v>-1.0415795428308708E-2</v>
      </c>
      <c r="G67" s="2"/>
      <c r="H67" s="7"/>
      <c r="I67" s="2"/>
      <c r="J67" s="6">
        <f t="shared" si="29"/>
        <v>0</v>
      </c>
      <c r="K67" s="2"/>
      <c r="L67" s="7">
        <f t="shared" si="30"/>
        <v>-207.97</v>
      </c>
      <c r="M67" s="2"/>
      <c r="N67" s="6">
        <f t="shared" si="31"/>
        <v>0</v>
      </c>
      <c r="O67" s="11"/>
      <c r="P67" s="7">
        <v>-369.06</v>
      </c>
      <c r="Q67" s="2"/>
      <c r="R67" s="6">
        <f t="shared" si="32"/>
        <v>-5.2992452459570049E-3</v>
      </c>
      <c r="S67" s="2"/>
      <c r="T67" s="7"/>
      <c r="U67" s="2"/>
      <c r="V67" s="6">
        <f t="shared" si="33"/>
        <v>0</v>
      </c>
      <c r="W67" s="2"/>
      <c r="X67" s="7">
        <f t="shared" si="34"/>
        <v>-369.06</v>
      </c>
      <c r="Y67" s="2"/>
      <c r="Z67" s="6">
        <f t="shared" si="35"/>
        <v>0</v>
      </c>
    </row>
    <row r="68" spans="1:26" s="24" customFormat="1" hidden="1" outlineLevel="2" x14ac:dyDescent="0.25">
      <c r="A68" s="28"/>
      <c r="B68" s="11" t="str">
        <f>CONCATENATE("          ", "6005", " - ", "TEMPORARY WAGES-HOURLY")</f>
        <v xml:space="preserve">          6005 - TEMPORARY WAGES-HOURLY</v>
      </c>
      <c r="C68" s="11"/>
      <c r="D68" s="7">
        <v>1332.13</v>
      </c>
      <c r="E68" s="2"/>
      <c r="F68" s="6">
        <f t="shared" si="28"/>
        <v>6.6717284050165318E-2</v>
      </c>
      <c r="G68" s="2"/>
      <c r="H68" s="7"/>
      <c r="I68" s="2"/>
      <c r="J68" s="6">
        <f t="shared" si="29"/>
        <v>0</v>
      </c>
      <c r="K68" s="2"/>
      <c r="L68" s="7">
        <f t="shared" si="30"/>
        <v>1332.13</v>
      </c>
      <c r="M68" s="2"/>
      <c r="N68" s="6">
        <f t="shared" si="31"/>
        <v>0</v>
      </c>
      <c r="O68" s="11"/>
      <c r="P68" s="7">
        <v>3629.77</v>
      </c>
      <c r="Q68" s="2"/>
      <c r="R68" s="6">
        <f t="shared" si="32"/>
        <v>5.2119008877736295E-2</v>
      </c>
      <c r="S68" s="2"/>
      <c r="T68" s="7">
        <v>332.35</v>
      </c>
      <c r="U68" s="2"/>
      <c r="V68" s="6">
        <f t="shared" si="33"/>
        <v>2.1646011285234449E-3</v>
      </c>
      <c r="W68" s="2"/>
      <c r="X68" s="7">
        <f t="shared" si="34"/>
        <v>3297.42</v>
      </c>
      <c r="Y68" s="2"/>
      <c r="Z68" s="6">
        <f t="shared" si="35"/>
        <v>9.9215285091018508</v>
      </c>
    </row>
    <row r="69" spans="1:26" s="24" customFormat="1" hidden="1" outlineLevel="2" x14ac:dyDescent="0.25">
      <c r="A69" s="28"/>
      <c r="B69" s="11" t="str">
        <f>CONCATENATE("          ", "6007", " - ", "STUDENT HOURLY")</f>
        <v xml:space="preserve">          6007 - STUDENT HOURLY</v>
      </c>
      <c r="C69" s="11"/>
      <c r="D69" s="7">
        <v>1005.91</v>
      </c>
      <c r="E69" s="2"/>
      <c r="F69" s="6">
        <f t="shared" si="28"/>
        <v>5.0379154586190376E-2</v>
      </c>
      <c r="G69" s="2"/>
      <c r="H69" s="7">
        <v>7786.15</v>
      </c>
      <c r="I69" s="2"/>
      <c r="J69" s="6">
        <f t="shared" si="29"/>
        <v>0.23911254287881525</v>
      </c>
      <c r="K69" s="2"/>
      <c r="L69" s="7">
        <f t="shared" si="30"/>
        <v>-6780.24</v>
      </c>
      <c r="M69" s="2"/>
      <c r="N69" s="6">
        <f t="shared" si="31"/>
        <v>-0.87080778048200969</v>
      </c>
      <c r="O69" s="11"/>
      <c r="P69" s="7">
        <v>3983.77</v>
      </c>
      <c r="Q69" s="2"/>
      <c r="R69" s="6">
        <f t="shared" si="32"/>
        <v>5.7202011145846575E-2</v>
      </c>
      <c r="S69" s="2"/>
      <c r="T69" s="7">
        <v>26971.769999999997</v>
      </c>
      <c r="U69" s="2"/>
      <c r="V69" s="6">
        <f t="shared" si="33"/>
        <v>0.17566759073348814</v>
      </c>
      <c r="W69" s="2"/>
      <c r="X69" s="7">
        <f t="shared" si="34"/>
        <v>-22987.999999999996</v>
      </c>
      <c r="Y69" s="2"/>
      <c r="Z69" s="6">
        <f t="shared" si="35"/>
        <v>-0.85229853287344504</v>
      </c>
    </row>
    <row r="70" spans="1:26" s="24" customFormat="1" hidden="1" outlineLevel="2" x14ac:dyDescent="0.25">
      <c r="A70" s="28"/>
      <c r="B70" s="11" t="str">
        <f>CONCATENATE("          ", "6008", " - ", "STUDENT HOURLY-FICA EXEMPT")</f>
        <v xml:space="preserve">          6008 - STUDENT HOURLY-FICA EXEMPT</v>
      </c>
      <c r="C70" s="11"/>
      <c r="D70" s="7">
        <v>371.15</v>
      </c>
      <c r="E70" s="2"/>
      <c r="F70" s="6">
        <f t="shared" si="28"/>
        <v>1.8588365981712634E-2</v>
      </c>
      <c r="G70" s="2"/>
      <c r="H70" s="7"/>
      <c r="I70" s="2"/>
      <c r="J70" s="6">
        <f t="shared" si="29"/>
        <v>0</v>
      </c>
      <c r="K70" s="2"/>
      <c r="L70" s="7">
        <f t="shared" si="30"/>
        <v>371.15</v>
      </c>
      <c r="M70" s="2"/>
      <c r="N70" s="6">
        <f t="shared" si="31"/>
        <v>0</v>
      </c>
      <c r="O70" s="11"/>
      <c r="P70" s="7">
        <v>465.14</v>
      </c>
      <c r="Q70" s="2"/>
      <c r="R70" s="6">
        <f t="shared" si="32"/>
        <v>6.6788352400813994E-3</v>
      </c>
      <c r="S70" s="2"/>
      <c r="T70" s="7"/>
      <c r="U70" s="2"/>
      <c r="V70" s="6">
        <f t="shared" si="33"/>
        <v>0</v>
      </c>
      <c r="W70" s="2"/>
      <c r="X70" s="7">
        <f t="shared" si="34"/>
        <v>465.14</v>
      </c>
      <c r="Y70" s="2"/>
      <c r="Z70" s="6">
        <f t="shared" si="35"/>
        <v>0</v>
      </c>
    </row>
    <row r="71" spans="1:26" s="27" customFormat="1" outlineLevel="1" collapsed="1" x14ac:dyDescent="0.25">
      <c r="A71" s="29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94" si="36">IF(D$12=0,0,D71/D$12)</f>
        <v>0</v>
      </c>
      <c r="G71" s="1"/>
      <c r="H71" s="1">
        <f>SUM(OSRRefH22_2x_0)</f>
        <v>52.51</v>
      </c>
      <c r="I71" s="1"/>
      <c r="J71" s="5">
        <f t="shared" ref="J71:J94" si="37">IF(H$12=0,0,H71/H$12)</f>
        <v>1.6125812662954849E-3</v>
      </c>
      <c r="K71" s="1"/>
      <c r="L71" s="1">
        <f t="shared" ref="L71:L94" si="38">+D71-H71</f>
        <v>-52.51</v>
      </c>
      <c r="M71" s="1"/>
      <c r="N71" s="5">
        <f t="shared" ref="N71:N94" si="39">IF(H71=0,0,L71/H71)</f>
        <v>-1</v>
      </c>
      <c r="O71" s="14"/>
      <c r="P71" s="1">
        <f>SUM(OSRRefP22_2x_0)</f>
        <v>0</v>
      </c>
      <c r="Q71" s="1"/>
      <c r="R71" s="5">
        <f t="shared" ref="R71:R94" si="40">IF(P$12=0,0,P71/P$12)</f>
        <v>0</v>
      </c>
      <c r="S71" s="1"/>
      <c r="T71" s="1">
        <f>SUM(OSRRefT22_2x_0)</f>
        <v>921.39</v>
      </c>
      <c r="U71" s="1"/>
      <c r="V71" s="5">
        <f t="shared" ref="V71:V94" si="41">IF(T$12=0,0,T71/T$12)</f>
        <v>6.0010285356107019E-3</v>
      </c>
      <c r="W71" s="1"/>
      <c r="X71" s="1">
        <f t="shared" ref="X71:X94" si="42">+P71-T71</f>
        <v>-921.39</v>
      </c>
      <c r="Y71" s="1"/>
      <c r="Z71" s="5">
        <f t="shared" ref="Z71:Z94" si="43">IF(T71=0,0,X71/T71)</f>
        <v>-1</v>
      </c>
    </row>
    <row r="72" spans="1:26" s="24" customFormat="1" hidden="1" outlineLevel="2" x14ac:dyDescent="0.25">
      <c r="A72" s="28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36"/>
        <v>0</v>
      </c>
      <c r="G72" s="2"/>
      <c r="H72" s="7">
        <v>52.51</v>
      </c>
      <c r="I72" s="2"/>
      <c r="J72" s="6">
        <f t="shared" si="37"/>
        <v>1.6125812662954849E-3</v>
      </c>
      <c r="K72" s="2"/>
      <c r="L72" s="7">
        <f t="shared" si="38"/>
        <v>-52.51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921.39</v>
      </c>
      <c r="U72" s="2"/>
      <c r="V72" s="6">
        <f t="shared" si="41"/>
        <v>6.0010285356107019E-3</v>
      </c>
      <c r="W72" s="2"/>
      <c r="X72" s="7">
        <f t="shared" si="42"/>
        <v>-921.39</v>
      </c>
      <c r="Y72" s="2"/>
      <c r="Z72" s="6">
        <f t="shared" si="43"/>
        <v>-1</v>
      </c>
    </row>
    <row r="73" spans="1:26" s="27" customFormat="1" outlineLevel="1" collapsed="1" x14ac:dyDescent="0.25">
      <c r="A73" s="29"/>
      <c r="B73" s="14" t="str">
        <f>CONCATENATE("     ","Bad Debts/Over/Short                              ")</f>
        <v xml:space="preserve">     Bad Debts/Over/Short                              </v>
      </c>
      <c r="C73" s="14"/>
      <c r="D73" s="1">
        <f>SUM(OSRRefD22_3x_0)</f>
        <v>-2.96</v>
      </c>
      <c r="E73" s="1"/>
      <c r="F73" s="5">
        <f t="shared" si="36"/>
        <v>-1.4824616275325178E-4</v>
      </c>
      <c r="G73" s="1"/>
      <c r="H73" s="1">
        <f>SUM(OSRRefH22_3x_0)</f>
        <v>-0.2</v>
      </c>
      <c r="I73" s="1"/>
      <c r="J73" s="5">
        <f t="shared" si="37"/>
        <v>-6.1419968245876403E-6</v>
      </c>
      <c r="K73" s="1"/>
      <c r="L73" s="1">
        <f t="shared" si="38"/>
        <v>-2.76</v>
      </c>
      <c r="M73" s="1"/>
      <c r="N73" s="5">
        <f t="shared" si="39"/>
        <v>13.799999999999999</v>
      </c>
      <c r="O73" s="14"/>
      <c r="P73" s="1">
        <f>SUM(OSRRefP22_3x_0)</f>
        <v>0.7</v>
      </c>
      <c r="Q73" s="1"/>
      <c r="R73" s="5">
        <f t="shared" si="40"/>
        <v>1.0051134428466653E-5</v>
      </c>
      <c r="S73" s="1"/>
      <c r="T73" s="1">
        <f>SUM(OSRRefT22_3x_0)</f>
        <v>29.71</v>
      </c>
      <c r="U73" s="1"/>
      <c r="V73" s="5">
        <f t="shared" si="41"/>
        <v>1.9350172868491515E-4</v>
      </c>
      <c r="W73" s="1"/>
      <c r="X73" s="1">
        <f t="shared" si="42"/>
        <v>-29.01</v>
      </c>
      <c r="Y73" s="1"/>
      <c r="Z73" s="5">
        <f t="shared" si="43"/>
        <v>-0.97643890945809497</v>
      </c>
    </row>
    <row r="74" spans="1:26" s="24" customFormat="1" hidden="1" outlineLevel="2" x14ac:dyDescent="0.25">
      <c r="A74" s="28"/>
      <c r="B74" s="11" t="str">
        <f>CONCATENATE("          ", "6272", " - ", "CASH (OVER/SHORT)")</f>
        <v xml:space="preserve">          6272 - CASH (OVER/SHORT)</v>
      </c>
      <c r="C74" s="11"/>
      <c r="D74" s="7">
        <v>-2.96</v>
      </c>
      <c r="E74" s="2"/>
      <c r="F74" s="6">
        <f t="shared" si="36"/>
        <v>-1.4824616275325178E-4</v>
      </c>
      <c r="G74" s="2"/>
      <c r="H74" s="7">
        <v>-0.2</v>
      </c>
      <c r="I74" s="2"/>
      <c r="J74" s="6">
        <f t="shared" si="37"/>
        <v>-6.1419968245876403E-6</v>
      </c>
      <c r="K74" s="2"/>
      <c r="L74" s="7">
        <f t="shared" si="38"/>
        <v>-2.76</v>
      </c>
      <c r="M74" s="2"/>
      <c r="N74" s="6">
        <f t="shared" si="39"/>
        <v>13.799999999999999</v>
      </c>
      <c r="O74" s="11"/>
      <c r="P74" s="7">
        <v>0.7</v>
      </c>
      <c r="Q74" s="2"/>
      <c r="R74" s="6">
        <f t="shared" si="40"/>
        <v>1.0051134428466653E-5</v>
      </c>
      <c r="S74" s="2"/>
      <c r="T74" s="7">
        <v>29.71</v>
      </c>
      <c r="U74" s="2"/>
      <c r="V74" s="6">
        <f t="shared" si="41"/>
        <v>1.9350172868491515E-4</v>
      </c>
      <c r="W74" s="2"/>
      <c r="X74" s="7">
        <f t="shared" si="42"/>
        <v>-29.01</v>
      </c>
      <c r="Y74" s="2"/>
      <c r="Z74" s="6">
        <f t="shared" si="43"/>
        <v>-0.97643890945809497</v>
      </c>
    </row>
    <row r="75" spans="1:26" s="27" customFormat="1" outlineLevel="1" collapsed="1" x14ac:dyDescent="0.25">
      <c r="A75" s="29"/>
      <c r="B75" s="14" t="str">
        <f>CONCATENATE("     ","Bank/card Fees                                    ")</f>
        <v xml:space="preserve">     Bank/card Fees                                    </v>
      </c>
      <c r="C75" s="14"/>
      <c r="D75" s="1">
        <f>SUM(OSRRefD22_4x_0)</f>
        <v>306.45</v>
      </c>
      <c r="E75" s="1"/>
      <c r="F75" s="5">
        <f t="shared" si="36"/>
        <v>1.5347985329639869E-2</v>
      </c>
      <c r="G75" s="1"/>
      <c r="H75" s="1">
        <f>SUM(OSRRefH22_4x_0)</f>
        <v>541.12</v>
      </c>
      <c r="I75" s="1"/>
      <c r="J75" s="5">
        <f t="shared" si="37"/>
        <v>1.6617786608604319E-2</v>
      </c>
      <c r="K75" s="1"/>
      <c r="L75" s="1">
        <f t="shared" si="38"/>
        <v>-234.67000000000002</v>
      </c>
      <c r="M75" s="1"/>
      <c r="N75" s="5">
        <f t="shared" si="39"/>
        <v>-0.43367460082791248</v>
      </c>
      <c r="O75" s="14"/>
      <c r="P75" s="1">
        <f>SUM(OSRRefP22_4x_0)</f>
        <v>1066.17</v>
      </c>
      <c r="Q75" s="1"/>
      <c r="R75" s="5">
        <f t="shared" si="40"/>
        <v>1.5308882847997562E-2</v>
      </c>
      <c r="S75" s="1"/>
      <c r="T75" s="1">
        <f>SUM(OSRRefT22_4x_0)</f>
        <v>2022.78</v>
      </c>
      <c r="U75" s="1"/>
      <c r="V75" s="5">
        <f t="shared" si="41"/>
        <v>1.3174400092536946E-2</v>
      </c>
      <c r="W75" s="1"/>
      <c r="X75" s="1">
        <f t="shared" si="42"/>
        <v>-956.6099999999999</v>
      </c>
      <c r="Y75" s="1"/>
      <c r="Z75" s="5">
        <f t="shared" si="43"/>
        <v>-0.472918458754783</v>
      </c>
    </row>
    <row r="76" spans="1:26" s="24" customFormat="1" hidden="1" outlineLevel="2" x14ac:dyDescent="0.25">
      <c r="A76" s="28"/>
      <c r="B76" s="11" t="str">
        <f>CONCATENATE("          ", "6381", " - ", "BANK/CREDIT CARD FEES")</f>
        <v xml:space="preserve">          6381 - BANK/CREDIT CARD FEES</v>
      </c>
      <c r="C76" s="11"/>
      <c r="D76" s="7">
        <v>306.45</v>
      </c>
      <c r="E76" s="2"/>
      <c r="F76" s="6">
        <f t="shared" si="36"/>
        <v>1.5347985329639869E-2</v>
      </c>
      <c r="G76" s="2"/>
      <c r="H76" s="7">
        <v>541.12</v>
      </c>
      <c r="I76" s="2"/>
      <c r="J76" s="6">
        <f t="shared" si="37"/>
        <v>1.6617786608604319E-2</v>
      </c>
      <c r="K76" s="2"/>
      <c r="L76" s="7">
        <f t="shared" si="38"/>
        <v>-234.67000000000002</v>
      </c>
      <c r="M76" s="2"/>
      <c r="N76" s="6">
        <f t="shared" si="39"/>
        <v>-0.43367460082791248</v>
      </c>
      <c r="O76" s="11"/>
      <c r="P76" s="7">
        <v>1066.17</v>
      </c>
      <c r="Q76" s="2"/>
      <c r="R76" s="6">
        <f t="shared" si="40"/>
        <v>1.5308882847997562E-2</v>
      </c>
      <c r="S76" s="2"/>
      <c r="T76" s="7">
        <v>2022.78</v>
      </c>
      <c r="U76" s="2"/>
      <c r="V76" s="6">
        <f t="shared" si="41"/>
        <v>1.3174400092536946E-2</v>
      </c>
      <c r="W76" s="2"/>
      <c r="X76" s="7">
        <f t="shared" si="42"/>
        <v>-956.6099999999999</v>
      </c>
      <c r="Y76" s="2"/>
      <c r="Z76" s="6">
        <f t="shared" si="43"/>
        <v>-0.472918458754783</v>
      </c>
    </row>
    <row r="77" spans="1:26" s="27" customFormat="1" outlineLevel="1" collapsed="1" x14ac:dyDescent="0.25">
      <c r="A77" s="29"/>
      <c r="B77" s="14" t="str">
        <f>CONCATENATE("     ","Discounts and Markdowns                           ")</f>
        <v xml:space="preserve">     Discounts and Markdowns                           </v>
      </c>
      <c r="C77" s="14"/>
      <c r="D77" s="1">
        <f>SUM(OSRRefD22_5x_0)</f>
        <v>830.95</v>
      </c>
      <c r="E77" s="1"/>
      <c r="F77" s="5">
        <f t="shared" si="36"/>
        <v>4.161660437155898E-2</v>
      </c>
      <c r="G77" s="1"/>
      <c r="H77" s="1">
        <f>SUM(OSRRefH22_5x_0)</f>
        <v>3506.67</v>
      </c>
      <c r="I77" s="1"/>
      <c r="J77" s="5">
        <f t="shared" si="37"/>
        <v>0.1076897800243837</v>
      </c>
      <c r="K77" s="1"/>
      <c r="L77" s="1">
        <f t="shared" si="38"/>
        <v>-2675.7200000000003</v>
      </c>
      <c r="M77" s="1"/>
      <c r="N77" s="5">
        <f t="shared" si="39"/>
        <v>-0.76303729749306326</v>
      </c>
      <c r="O77" s="14"/>
      <c r="P77" s="1">
        <f>SUM(OSRRefP22_5x_0)</f>
        <v>830.95</v>
      </c>
      <c r="Q77" s="1"/>
      <c r="R77" s="5">
        <f t="shared" si="40"/>
        <v>1.1931414504763382E-2</v>
      </c>
      <c r="S77" s="1"/>
      <c r="T77" s="1">
        <f>SUM(OSRRefT22_5x_0)</f>
        <v>22656.36</v>
      </c>
      <c r="U77" s="1"/>
      <c r="V77" s="5">
        <f t="shared" si="41"/>
        <v>0.14756125296895875</v>
      </c>
      <c r="W77" s="1"/>
      <c r="X77" s="1">
        <f t="shared" si="42"/>
        <v>-21825.41</v>
      </c>
      <c r="Y77" s="1"/>
      <c r="Z77" s="5">
        <f t="shared" si="43"/>
        <v>-0.96332376427634447</v>
      </c>
    </row>
    <row r="78" spans="1:26" s="24" customFormat="1" hidden="1" outlineLevel="2" x14ac:dyDescent="0.25">
      <c r="A78" s="28"/>
      <c r="B78" s="11" t="str">
        <f>CONCATENATE("          ", "6382", " - ", "DISCOUNTS/MARK DOWNS")</f>
        <v xml:space="preserve">          6382 - DISCOUNTS/MARK DOWNS</v>
      </c>
      <c r="C78" s="11"/>
      <c r="D78" s="7">
        <v>830.95</v>
      </c>
      <c r="E78" s="2"/>
      <c r="F78" s="6">
        <f t="shared" si="36"/>
        <v>4.161660437155898E-2</v>
      </c>
      <c r="G78" s="2"/>
      <c r="H78" s="7">
        <v>3506.67</v>
      </c>
      <c r="I78" s="2"/>
      <c r="J78" s="6">
        <f t="shared" si="37"/>
        <v>0.1076897800243837</v>
      </c>
      <c r="K78" s="2"/>
      <c r="L78" s="7">
        <f t="shared" si="38"/>
        <v>-2675.7200000000003</v>
      </c>
      <c r="M78" s="2"/>
      <c r="N78" s="6">
        <f t="shared" si="39"/>
        <v>-0.76303729749306326</v>
      </c>
      <c r="O78" s="11"/>
      <c r="P78" s="7">
        <v>830.95</v>
      </c>
      <c r="Q78" s="2"/>
      <c r="R78" s="6">
        <f t="shared" si="40"/>
        <v>1.1931414504763382E-2</v>
      </c>
      <c r="S78" s="2"/>
      <c r="T78" s="7">
        <v>22656.36</v>
      </c>
      <c r="U78" s="2"/>
      <c r="V78" s="6">
        <f t="shared" si="41"/>
        <v>0.14756125296895875</v>
      </c>
      <c r="W78" s="2"/>
      <c r="X78" s="7">
        <f t="shared" si="42"/>
        <v>-21825.41</v>
      </c>
      <c r="Y78" s="2"/>
      <c r="Z78" s="6">
        <f t="shared" si="43"/>
        <v>-0.96332376427634447</v>
      </c>
    </row>
    <row r="79" spans="1:26" s="27" customFormat="1" outlineLevel="1" collapsed="1" x14ac:dyDescent="0.25">
      <c r="A79" s="29"/>
      <c r="B79" s="14" t="str">
        <f>CONCATENATE("     ","Employees' Appreciation                           ")</f>
        <v xml:space="preserve">     Employees' Appreciation                           </v>
      </c>
      <c r="C79" s="14"/>
      <c r="D79" s="1">
        <f>SUM(OSRRefD22_6x_0)</f>
        <v>0</v>
      </c>
      <c r="E79" s="1"/>
      <c r="F79" s="5">
        <f t="shared" si="36"/>
        <v>0</v>
      </c>
      <c r="G79" s="1"/>
      <c r="H79" s="1">
        <f>SUM(OSRRefH22_6x_0)</f>
        <v>0</v>
      </c>
      <c r="I79" s="1"/>
      <c r="J79" s="5">
        <f t="shared" si="37"/>
        <v>0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SUM(OSRRefP22_6x_0)</f>
        <v>0</v>
      </c>
      <c r="Q79" s="1"/>
      <c r="R79" s="5">
        <f t="shared" si="40"/>
        <v>0</v>
      </c>
      <c r="S79" s="1"/>
      <c r="T79" s="1">
        <f>SUM(OSRRefT22_6x_0)</f>
        <v>120.93</v>
      </c>
      <c r="U79" s="1"/>
      <c r="V79" s="5">
        <f t="shared" si="41"/>
        <v>7.8761911982049102E-4</v>
      </c>
      <c r="W79" s="1"/>
      <c r="X79" s="1">
        <f t="shared" si="42"/>
        <v>-120.93</v>
      </c>
      <c r="Y79" s="1"/>
      <c r="Z79" s="5">
        <f t="shared" si="43"/>
        <v>-1</v>
      </c>
    </row>
    <row r="80" spans="1:26" s="24" customFormat="1" hidden="1" outlineLevel="2" x14ac:dyDescent="0.25">
      <c r="A80" s="28"/>
      <c r="B80" s="11" t="str">
        <f>CONCATENATE("          ", "6277", " - ", "EMPLOYEE APPRECIATION")</f>
        <v xml:space="preserve">          6277 - EMPLOYEE APPRECIATION</v>
      </c>
      <c r="C80" s="11"/>
      <c r="D80" s="7"/>
      <c r="E80" s="2"/>
      <c r="F80" s="6">
        <f t="shared" si="36"/>
        <v>0</v>
      </c>
      <c r="G80" s="2"/>
      <c r="H80" s="7"/>
      <c r="I80" s="2"/>
      <c r="J80" s="6">
        <f t="shared" si="37"/>
        <v>0</v>
      </c>
      <c r="K80" s="2"/>
      <c r="L80" s="7">
        <f t="shared" si="38"/>
        <v>0</v>
      </c>
      <c r="M80" s="2"/>
      <c r="N80" s="6">
        <f t="shared" si="39"/>
        <v>0</v>
      </c>
      <c r="O80" s="11"/>
      <c r="P80" s="7"/>
      <c r="Q80" s="2"/>
      <c r="R80" s="6">
        <f t="shared" si="40"/>
        <v>0</v>
      </c>
      <c r="S80" s="2"/>
      <c r="T80" s="7">
        <v>120.93</v>
      </c>
      <c r="U80" s="2"/>
      <c r="V80" s="6">
        <f t="shared" si="41"/>
        <v>7.8761911982049102E-4</v>
      </c>
      <c r="W80" s="2"/>
      <c r="X80" s="7">
        <f t="shared" si="42"/>
        <v>-120.93</v>
      </c>
      <c r="Y80" s="2"/>
      <c r="Z80" s="6">
        <f t="shared" si="43"/>
        <v>-1</v>
      </c>
    </row>
    <row r="81" spans="1:26" s="27" customFormat="1" outlineLevel="1" collapsed="1" x14ac:dyDescent="0.25">
      <c r="A81" s="29"/>
      <c r="B81" s="14" t="str">
        <f>CONCATENATE("     ","Insurance                                         ")</f>
        <v xml:space="preserve">     Insurance                                         </v>
      </c>
      <c r="C81" s="14"/>
      <c r="D81" s="1">
        <f>SUM(OSRRefD22_7x_0)</f>
        <v>161.18</v>
      </c>
      <c r="E81" s="1"/>
      <c r="F81" s="5">
        <f t="shared" si="36"/>
        <v>8.072404227219299E-3</v>
      </c>
      <c r="G81" s="1"/>
      <c r="H81" s="1">
        <f>SUM(OSRRefH22_7x_0)</f>
        <v>161.18</v>
      </c>
      <c r="I81" s="1"/>
      <c r="J81" s="5">
        <f t="shared" si="37"/>
        <v>4.9498352409351794E-3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SUM(OSRRefP22_7x_0)</f>
        <v>483.54</v>
      </c>
      <c r="Q81" s="1"/>
      <c r="R81" s="5">
        <f t="shared" si="40"/>
        <v>6.9430364879153805E-3</v>
      </c>
      <c r="S81" s="1"/>
      <c r="T81" s="1">
        <f>SUM(OSRRefT22_7x_0)</f>
        <v>483.54</v>
      </c>
      <c r="U81" s="1"/>
      <c r="V81" s="5">
        <f t="shared" si="41"/>
        <v>3.1493041362606485E-3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25">
      <c r="A82" s="28"/>
      <c r="B82" s="11" t="str">
        <f>CONCATENATE("          ", "6314", " - ", "LIABILITY INSURANCE")</f>
        <v xml:space="preserve">          6314 - LIABILITY INSURANCE</v>
      </c>
      <c r="C82" s="11"/>
      <c r="D82" s="7">
        <v>161.18</v>
      </c>
      <c r="E82" s="2"/>
      <c r="F82" s="6">
        <f t="shared" si="36"/>
        <v>8.072404227219299E-3</v>
      </c>
      <c r="G82" s="2"/>
      <c r="H82" s="7">
        <v>161.18</v>
      </c>
      <c r="I82" s="2"/>
      <c r="J82" s="6">
        <f t="shared" si="37"/>
        <v>4.9498352409351794E-3</v>
      </c>
      <c r="K82" s="2"/>
      <c r="L82" s="7">
        <f t="shared" si="38"/>
        <v>0</v>
      </c>
      <c r="M82" s="2"/>
      <c r="N82" s="6">
        <f t="shared" si="39"/>
        <v>0</v>
      </c>
      <c r="O82" s="11"/>
      <c r="P82" s="7">
        <v>483.54</v>
      </c>
      <c r="Q82" s="2"/>
      <c r="R82" s="6">
        <f t="shared" si="40"/>
        <v>6.9430364879153805E-3</v>
      </c>
      <c r="S82" s="2"/>
      <c r="T82" s="7">
        <v>483.54</v>
      </c>
      <c r="U82" s="2"/>
      <c r="V82" s="6">
        <f t="shared" si="41"/>
        <v>3.1493041362606485E-3</v>
      </c>
      <c r="W82" s="2"/>
      <c r="X82" s="7">
        <f t="shared" si="42"/>
        <v>0</v>
      </c>
      <c r="Y82" s="2"/>
      <c r="Z82" s="6">
        <f t="shared" si="43"/>
        <v>0</v>
      </c>
    </row>
    <row r="83" spans="1:26" s="27" customFormat="1" outlineLevel="1" collapsed="1" x14ac:dyDescent="0.25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100</v>
      </c>
      <c r="E83" s="1"/>
      <c r="F83" s="5">
        <f t="shared" si="36"/>
        <v>5.0083163092314795E-3</v>
      </c>
      <c r="G83" s="1"/>
      <c r="H83" s="1">
        <f>SUM(OSRRefH22_8x_0)</f>
        <v>300</v>
      </c>
      <c r="I83" s="1"/>
      <c r="J83" s="5">
        <f t="shared" si="37"/>
        <v>9.2129952368814605E-3</v>
      </c>
      <c r="K83" s="1"/>
      <c r="L83" s="1">
        <f t="shared" si="38"/>
        <v>-200</v>
      </c>
      <c r="M83" s="1"/>
      <c r="N83" s="5">
        <f t="shared" si="39"/>
        <v>-0.66666666666666663</v>
      </c>
      <c r="O83" s="14"/>
      <c r="P83" s="1">
        <f>SUM(OSRRefP22_8x_0)</f>
        <v>300</v>
      </c>
      <c r="Q83" s="1"/>
      <c r="R83" s="5">
        <f t="shared" si="40"/>
        <v>4.307629040771423E-3</v>
      </c>
      <c r="S83" s="1"/>
      <c r="T83" s="1">
        <f>SUM(OSRRefT22_8x_0)</f>
        <v>900</v>
      </c>
      <c r="U83" s="1"/>
      <c r="V83" s="5">
        <f t="shared" si="41"/>
        <v>5.8617151065777058E-3</v>
      </c>
      <c r="W83" s="1"/>
      <c r="X83" s="1">
        <f t="shared" si="42"/>
        <v>-600</v>
      </c>
      <c r="Y83" s="1"/>
      <c r="Z83" s="5">
        <f t="shared" si="43"/>
        <v>-0.66666666666666663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7">
        <v>100</v>
      </c>
      <c r="E84" s="2"/>
      <c r="F84" s="6">
        <f t="shared" si="36"/>
        <v>5.0083163092314795E-3</v>
      </c>
      <c r="G84" s="2"/>
      <c r="H84" s="7">
        <v>300</v>
      </c>
      <c r="I84" s="2"/>
      <c r="J84" s="6">
        <f t="shared" si="37"/>
        <v>9.2129952368814605E-3</v>
      </c>
      <c r="K84" s="2"/>
      <c r="L84" s="7">
        <f t="shared" si="38"/>
        <v>-200</v>
      </c>
      <c r="M84" s="2"/>
      <c r="N84" s="6">
        <f t="shared" si="39"/>
        <v>-0.66666666666666663</v>
      </c>
      <c r="O84" s="11"/>
      <c r="P84" s="7">
        <v>300</v>
      </c>
      <c r="Q84" s="2"/>
      <c r="R84" s="6">
        <f t="shared" si="40"/>
        <v>4.307629040771423E-3</v>
      </c>
      <c r="S84" s="2"/>
      <c r="T84" s="7">
        <v>900</v>
      </c>
      <c r="U84" s="2"/>
      <c r="V84" s="6">
        <f t="shared" si="41"/>
        <v>5.8617151065777058E-3</v>
      </c>
      <c r="W84" s="2"/>
      <c r="X84" s="7">
        <f t="shared" si="42"/>
        <v>-600</v>
      </c>
      <c r="Y84" s="2"/>
      <c r="Z84" s="6">
        <f t="shared" si="43"/>
        <v>-0.66666666666666663</v>
      </c>
    </row>
    <row r="85" spans="1:26" s="27" customFormat="1" outlineLevel="1" collapsed="1" x14ac:dyDescent="0.25">
      <c r="A85" s="29"/>
      <c r="B85" s="14" t="str">
        <f>CONCATENATE("     ","Professional Services                             ")</f>
        <v xml:space="preserve">     Professional Services 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0</v>
      </c>
      <c r="I85" s="1"/>
      <c r="J85" s="5">
        <f t="shared" si="37"/>
        <v>0</v>
      </c>
      <c r="K85" s="1"/>
      <c r="L85" s="1">
        <f t="shared" si="38"/>
        <v>0</v>
      </c>
      <c r="M85" s="1"/>
      <c r="N85" s="5">
        <f t="shared" si="39"/>
        <v>0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750</v>
      </c>
      <c r="U85" s="1"/>
      <c r="V85" s="5">
        <f t="shared" si="41"/>
        <v>4.8847625888147547E-3</v>
      </c>
      <c r="W85" s="1"/>
      <c r="X85" s="1">
        <f t="shared" si="42"/>
        <v>-750</v>
      </c>
      <c r="Y85" s="1"/>
      <c r="Z85" s="5">
        <f t="shared" si="43"/>
        <v>-1</v>
      </c>
    </row>
    <row r="86" spans="1:26" s="24" customFormat="1" hidden="1" outlineLevel="2" x14ac:dyDescent="0.25">
      <c r="A86" s="28"/>
      <c r="B86" s="11" t="str">
        <f>CONCATENATE("          ", "6336", " - ", "PROFESSIONAL SERVICES")</f>
        <v xml:space="preserve">          6336 - PROFESSIONAL SERVICES</v>
      </c>
      <c r="C86" s="11"/>
      <c r="D86" s="7"/>
      <c r="E86" s="2"/>
      <c r="F86" s="6">
        <f t="shared" si="36"/>
        <v>0</v>
      </c>
      <c r="G86" s="2"/>
      <c r="H86" s="7"/>
      <c r="I86" s="2"/>
      <c r="J86" s="6">
        <f t="shared" si="37"/>
        <v>0</v>
      </c>
      <c r="K86" s="2"/>
      <c r="L86" s="7">
        <f t="shared" si="38"/>
        <v>0</v>
      </c>
      <c r="M86" s="2"/>
      <c r="N86" s="6">
        <f t="shared" si="39"/>
        <v>0</v>
      </c>
      <c r="O86" s="11"/>
      <c r="P86" s="7"/>
      <c r="Q86" s="2"/>
      <c r="R86" s="6">
        <f t="shared" si="40"/>
        <v>0</v>
      </c>
      <c r="S86" s="2"/>
      <c r="T86" s="7">
        <v>750</v>
      </c>
      <c r="U86" s="2"/>
      <c r="V86" s="6">
        <f t="shared" si="41"/>
        <v>4.8847625888147547E-3</v>
      </c>
      <c r="W86" s="2"/>
      <c r="X86" s="7">
        <f t="shared" si="42"/>
        <v>-750</v>
      </c>
      <c r="Y86" s="2"/>
      <c r="Z86" s="6">
        <f t="shared" si="43"/>
        <v>-1</v>
      </c>
    </row>
    <row r="87" spans="1:26" s="27" customFormat="1" outlineLevel="1" collapsed="1" x14ac:dyDescent="0.25">
      <c r="A87" s="29"/>
      <c r="B87" s="14" t="str">
        <f>CONCATENATE("     ","Rent                                              ")</f>
        <v xml:space="preserve">     Rent                                              </v>
      </c>
      <c r="C87" s="14"/>
      <c r="D87" s="1">
        <f>SUM(OSRRefD22_10x_0)</f>
        <v>6900</v>
      </c>
      <c r="E87" s="1"/>
      <c r="F87" s="5">
        <f t="shared" si="36"/>
        <v>0.34557382533697206</v>
      </c>
      <c r="G87" s="1"/>
      <c r="H87" s="1">
        <f>SUM(OSRRefH22_10x_0)</f>
        <v>6900</v>
      </c>
      <c r="I87" s="1"/>
      <c r="J87" s="5">
        <f t="shared" si="37"/>
        <v>0.21189889044827359</v>
      </c>
      <c r="K87" s="1"/>
      <c r="L87" s="1">
        <f t="shared" si="38"/>
        <v>0</v>
      </c>
      <c r="M87" s="1"/>
      <c r="N87" s="5">
        <f t="shared" si="39"/>
        <v>0</v>
      </c>
      <c r="O87" s="14"/>
      <c r="P87" s="1">
        <f>SUM(OSRRefP22_10x_0)</f>
        <v>20700</v>
      </c>
      <c r="Q87" s="1"/>
      <c r="R87" s="5">
        <f t="shared" si="40"/>
        <v>0.29722640381322818</v>
      </c>
      <c r="S87" s="1"/>
      <c r="T87" s="1">
        <f>SUM(OSRRefT22_10x_0)</f>
        <v>20700</v>
      </c>
      <c r="U87" s="1"/>
      <c r="V87" s="5">
        <f t="shared" si="41"/>
        <v>0.13481944745128724</v>
      </c>
      <c r="W87" s="1"/>
      <c r="X87" s="1">
        <f t="shared" si="42"/>
        <v>0</v>
      </c>
      <c r="Y87" s="1"/>
      <c r="Z87" s="5">
        <f t="shared" si="43"/>
        <v>0</v>
      </c>
    </row>
    <row r="88" spans="1:26" s="24" customFormat="1" hidden="1" outlineLevel="2" x14ac:dyDescent="0.25">
      <c r="A88" s="28"/>
      <c r="B88" s="11" t="str">
        <f>CONCATENATE("          ", "6273", " - ", "RENT")</f>
        <v xml:space="preserve">          6273 - RENT</v>
      </c>
      <c r="C88" s="11"/>
      <c r="D88" s="7">
        <v>6900</v>
      </c>
      <c r="E88" s="2"/>
      <c r="F88" s="6">
        <f t="shared" si="36"/>
        <v>0.34557382533697206</v>
      </c>
      <c r="G88" s="2"/>
      <c r="H88" s="7">
        <v>6900</v>
      </c>
      <c r="I88" s="2"/>
      <c r="J88" s="6">
        <f t="shared" si="37"/>
        <v>0.21189889044827359</v>
      </c>
      <c r="K88" s="2"/>
      <c r="L88" s="7">
        <f t="shared" si="38"/>
        <v>0</v>
      </c>
      <c r="M88" s="2"/>
      <c r="N88" s="6">
        <f t="shared" si="39"/>
        <v>0</v>
      </c>
      <c r="O88" s="11"/>
      <c r="P88" s="7">
        <v>20700</v>
      </c>
      <c r="Q88" s="2"/>
      <c r="R88" s="6">
        <f t="shared" si="40"/>
        <v>0.29722640381322818</v>
      </c>
      <c r="S88" s="2"/>
      <c r="T88" s="7">
        <v>20700</v>
      </c>
      <c r="U88" s="2"/>
      <c r="V88" s="6">
        <f t="shared" si="41"/>
        <v>0.13481944745128724</v>
      </c>
      <c r="W88" s="2"/>
      <c r="X88" s="7">
        <f t="shared" si="42"/>
        <v>0</v>
      </c>
      <c r="Y88" s="2"/>
      <c r="Z88" s="6">
        <f t="shared" si="43"/>
        <v>0</v>
      </c>
    </row>
    <row r="89" spans="1:26" s="27" customFormat="1" outlineLevel="1" collapsed="1" x14ac:dyDescent="0.25">
      <c r="A89" s="29"/>
      <c r="B89" s="14" t="str">
        <f>CONCATENATE("     ","Repair and Maintenance                            ")</f>
        <v xml:space="preserve">     Repair and Maintenance                            </v>
      </c>
      <c r="C89" s="14"/>
      <c r="D89" s="1">
        <f>SUM(OSRRefD22_11x_0)</f>
        <v>48.21</v>
      </c>
      <c r="E89" s="1"/>
      <c r="F89" s="5">
        <f t="shared" si="36"/>
        <v>2.4145092926804962E-3</v>
      </c>
      <c r="G89" s="1"/>
      <c r="H89" s="1">
        <f>SUM(OSRRefH22_11x_0)</f>
        <v>0</v>
      </c>
      <c r="I89" s="1"/>
      <c r="J89" s="5">
        <f t="shared" si="37"/>
        <v>0</v>
      </c>
      <c r="K89" s="1"/>
      <c r="L89" s="1">
        <f t="shared" si="38"/>
        <v>48.21</v>
      </c>
      <c r="M89" s="1"/>
      <c r="N89" s="5">
        <f t="shared" si="39"/>
        <v>0</v>
      </c>
      <c r="O89" s="14"/>
      <c r="P89" s="1">
        <f>SUM(OSRRefP22_11x_0)</f>
        <v>48.21</v>
      </c>
      <c r="Q89" s="1"/>
      <c r="R89" s="5">
        <f t="shared" si="40"/>
        <v>6.9223598685196769E-4</v>
      </c>
      <c r="S89" s="1"/>
      <c r="T89" s="1">
        <f>SUM(OSRRefT22_11x_0)</f>
        <v>0</v>
      </c>
      <c r="U89" s="1"/>
      <c r="V89" s="5">
        <f t="shared" si="41"/>
        <v>0</v>
      </c>
      <c r="W89" s="1"/>
      <c r="X89" s="1">
        <f t="shared" si="42"/>
        <v>48.21</v>
      </c>
      <c r="Y89" s="1"/>
      <c r="Z89" s="5">
        <f t="shared" si="43"/>
        <v>0</v>
      </c>
    </row>
    <row r="90" spans="1:26" s="24" customFormat="1" hidden="1" outlineLevel="2" x14ac:dyDescent="0.25">
      <c r="A90" s="28"/>
      <c r="B90" s="11" t="str">
        <f>CONCATENATE("          ", "6373", " - ", "MAINTENANCE CONTRACTS")</f>
        <v xml:space="preserve">          6373 - MAINTENANCE CONTRACTS</v>
      </c>
      <c r="C90" s="11"/>
      <c r="D90" s="7">
        <v>48.21</v>
      </c>
      <c r="E90" s="2"/>
      <c r="F90" s="6">
        <f t="shared" si="36"/>
        <v>2.4145092926804962E-3</v>
      </c>
      <c r="G90" s="2"/>
      <c r="H90" s="7"/>
      <c r="I90" s="2"/>
      <c r="J90" s="6">
        <f t="shared" si="37"/>
        <v>0</v>
      </c>
      <c r="K90" s="2"/>
      <c r="L90" s="7">
        <f t="shared" si="38"/>
        <v>48.21</v>
      </c>
      <c r="M90" s="2"/>
      <c r="N90" s="6">
        <f t="shared" si="39"/>
        <v>0</v>
      </c>
      <c r="O90" s="11"/>
      <c r="P90" s="7">
        <v>48.21</v>
      </c>
      <c r="Q90" s="2"/>
      <c r="R90" s="6">
        <f t="shared" si="40"/>
        <v>6.9223598685196769E-4</v>
      </c>
      <c r="S90" s="2"/>
      <c r="T90" s="7"/>
      <c r="U90" s="2"/>
      <c r="V90" s="6">
        <f t="shared" si="41"/>
        <v>0</v>
      </c>
      <c r="W90" s="2"/>
      <c r="X90" s="7">
        <f t="shared" si="42"/>
        <v>48.21</v>
      </c>
      <c r="Y90" s="2"/>
      <c r="Z90" s="6">
        <f t="shared" si="43"/>
        <v>0</v>
      </c>
    </row>
    <row r="91" spans="1:26" s="27" customFormat="1" outlineLevel="1" collapsed="1" x14ac:dyDescent="0.25">
      <c r="A91" s="29"/>
      <c r="B91" s="14" t="str">
        <f>CONCATENATE("     ","Services                                          ")</f>
        <v xml:space="preserve">     Services                                          </v>
      </c>
      <c r="C91" s="14"/>
      <c r="D91" s="1">
        <f>SUM(OSRRefD22_12x_0)</f>
        <v>142.57</v>
      </c>
      <c r="E91" s="1"/>
      <c r="F91" s="5">
        <f t="shared" si="36"/>
        <v>7.1403565620713197E-3</v>
      </c>
      <c r="G91" s="1"/>
      <c r="H91" s="1">
        <f>SUM(OSRRefH22_12x_0)</f>
        <v>241.37</v>
      </c>
      <c r="I91" s="1"/>
      <c r="J91" s="5">
        <f t="shared" si="37"/>
        <v>7.412468867753594E-3</v>
      </c>
      <c r="K91" s="1"/>
      <c r="L91" s="1">
        <f t="shared" si="38"/>
        <v>-98.800000000000011</v>
      </c>
      <c r="M91" s="1"/>
      <c r="N91" s="5">
        <f t="shared" si="39"/>
        <v>-0.40933007416000333</v>
      </c>
      <c r="O91" s="14"/>
      <c r="P91" s="1">
        <f>SUM(OSRRefP22_12x_0)</f>
        <v>-109.03000000000003</v>
      </c>
      <c r="Q91" s="1"/>
      <c r="R91" s="5">
        <f t="shared" si="40"/>
        <v>-1.565535981051028E-3</v>
      </c>
      <c r="S91" s="1"/>
      <c r="T91" s="1">
        <f>SUM(OSRRefT22_12x_0)</f>
        <v>724.11</v>
      </c>
      <c r="U91" s="1"/>
      <c r="V91" s="5">
        <f t="shared" si="41"/>
        <v>4.7161405842488695E-3</v>
      </c>
      <c r="W91" s="1"/>
      <c r="X91" s="1">
        <f t="shared" si="42"/>
        <v>-833.1400000000001</v>
      </c>
      <c r="Y91" s="1"/>
      <c r="Z91" s="5">
        <f t="shared" si="43"/>
        <v>-1.1505710458355776</v>
      </c>
    </row>
    <row r="92" spans="1:26" s="24" customFormat="1" hidden="1" outlineLevel="2" x14ac:dyDescent="0.25">
      <c r="A92" s="28"/>
      <c r="B92" s="11" t="str">
        <f>CONCATENATE("          ", "6283", " - ", "PLANT SERVICE")</f>
        <v xml:space="preserve">          6283 - PLANT SERVICE</v>
      </c>
      <c r="C92" s="11"/>
      <c r="D92" s="7"/>
      <c r="E92" s="2"/>
      <c r="F92" s="6">
        <f t="shared" si="36"/>
        <v>0</v>
      </c>
      <c r="G92" s="2"/>
      <c r="H92" s="7">
        <v>59.55</v>
      </c>
      <c r="I92" s="2"/>
      <c r="J92" s="6">
        <f t="shared" si="37"/>
        <v>1.8287795545209697E-3</v>
      </c>
      <c r="K92" s="2"/>
      <c r="L92" s="7">
        <f t="shared" si="38"/>
        <v>-59.55</v>
      </c>
      <c r="M92" s="2"/>
      <c r="N92" s="6">
        <f t="shared" si="39"/>
        <v>-1</v>
      </c>
      <c r="O92" s="11"/>
      <c r="P92" s="7"/>
      <c r="Q92" s="2"/>
      <c r="R92" s="6">
        <f t="shared" si="40"/>
        <v>0</v>
      </c>
      <c r="S92" s="2"/>
      <c r="T92" s="7">
        <v>178.65</v>
      </c>
      <c r="U92" s="2"/>
      <c r="V92" s="6">
        <f t="shared" si="41"/>
        <v>1.1635504486556746E-3</v>
      </c>
      <c r="W92" s="2"/>
      <c r="X92" s="7">
        <f t="shared" si="42"/>
        <v>-178.65</v>
      </c>
      <c r="Y92" s="2"/>
      <c r="Z92" s="6">
        <f t="shared" si="43"/>
        <v>-1</v>
      </c>
    </row>
    <row r="93" spans="1:26" s="24" customFormat="1" hidden="1" outlineLevel="2" x14ac:dyDescent="0.25">
      <c r="A93" s="28"/>
      <c r="B93" s="11" t="str">
        <f>CONCATENATE("          ", "6284", " - ", "TRASH REMOVAL EXPENSE")</f>
        <v xml:space="preserve">          6284 - TRASH REMOVAL EXPENSE</v>
      </c>
      <c r="C93" s="11"/>
      <c r="D93" s="7">
        <v>142.57</v>
      </c>
      <c r="E93" s="2"/>
      <c r="F93" s="6">
        <f t="shared" si="36"/>
        <v>7.1403565620713197E-3</v>
      </c>
      <c r="G93" s="2"/>
      <c r="H93" s="7">
        <v>134.82</v>
      </c>
      <c r="I93" s="2"/>
      <c r="J93" s="6">
        <f t="shared" si="37"/>
        <v>4.1403200594545284E-3</v>
      </c>
      <c r="K93" s="2"/>
      <c r="L93" s="7">
        <f t="shared" si="38"/>
        <v>7.75</v>
      </c>
      <c r="M93" s="2"/>
      <c r="N93" s="6">
        <f t="shared" si="39"/>
        <v>5.7484052811155616E-2</v>
      </c>
      <c r="O93" s="11"/>
      <c r="P93" s="7">
        <v>427.71</v>
      </c>
      <c r="Q93" s="2"/>
      <c r="R93" s="6">
        <f t="shared" si="40"/>
        <v>6.1413867234278181E-3</v>
      </c>
      <c r="S93" s="2"/>
      <c r="T93" s="7">
        <v>404.46</v>
      </c>
      <c r="U93" s="2"/>
      <c r="V93" s="6">
        <f t="shared" si="41"/>
        <v>2.6342547688960206E-3</v>
      </c>
      <c r="W93" s="2"/>
      <c r="X93" s="7">
        <f t="shared" si="42"/>
        <v>23.25</v>
      </c>
      <c r="Y93" s="2"/>
      <c r="Z93" s="6">
        <f t="shared" si="43"/>
        <v>5.7484052811155616E-2</v>
      </c>
    </row>
    <row r="94" spans="1:26" s="24" customFormat="1" hidden="1" outlineLevel="2" x14ac:dyDescent="0.25">
      <c r="A94" s="28"/>
      <c r="B94" s="11" t="str">
        <f>CONCATENATE("          ", "6285", " - ", "JANITORIAL SERVICES")</f>
        <v xml:space="preserve">          6285 - JANITORIAL SERVICES</v>
      </c>
      <c r="C94" s="11"/>
      <c r="D94" s="7"/>
      <c r="E94" s="2"/>
      <c r="F94" s="6">
        <f t="shared" si="36"/>
        <v>0</v>
      </c>
      <c r="G94" s="2"/>
      <c r="H94" s="7">
        <v>47</v>
      </c>
      <c r="I94" s="2"/>
      <c r="J94" s="6">
        <f t="shared" si="37"/>
        <v>1.4433692537780954E-3</v>
      </c>
      <c r="K94" s="2"/>
      <c r="L94" s="7">
        <f t="shared" si="38"/>
        <v>-47</v>
      </c>
      <c r="M94" s="2"/>
      <c r="N94" s="6">
        <f t="shared" si="39"/>
        <v>-1</v>
      </c>
      <c r="O94" s="11"/>
      <c r="P94" s="7">
        <v>-536.74</v>
      </c>
      <c r="Q94" s="2"/>
      <c r="R94" s="6">
        <f t="shared" si="40"/>
        <v>-7.7069227044788456E-3</v>
      </c>
      <c r="S94" s="2"/>
      <c r="T94" s="7">
        <v>141</v>
      </c>
      <c r="U94" s="2"/>
      <c r="V94" s="6">
        <f t="shared" si="41"/>
        <v>9.1833536669717387E-4</v>
      </c>
      <c r="W94" s="2"/>
      <c r="X94" s="7">
        <f t="shared" si="42"/>
        <v>-677.74</v>
      </c>
      <c r="Y94" s="2"/>
      <c r="Z94" s="6">
        <f t="shared" si="43"/>
        <v>-4.8066666666666666</v>
      </c>
    </row>
    <row r="95" spans="1:26" s="27" customFormat="1" outlineLevel="1" collapsed="1" x14ac:dyDescent="0.25">
      <c r="A95" s="29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SUM(OSRRefD22_13x_0)</f>
        <v>0</v>
      </c>
      <c r="E95" s="1"/>
      <c r="F95" s="5">
        <f t="shared" ref="F95:F100" si="44">IF(D$12=0,0,D95/D$12)</f>
        <v>0</v>
      </c>
      <c r="G95" s="1"/>
      <c r="H95" s="1">
        <f>SUM(OSRRefH22_13x_0)</f>
        <v>0</v>
      </c>
      <c r="I95" s="1"/>
      <c r="J95" s="5">
        <f t="shared" ref="J95:J100" si="45">IF(H$12=0,0,H95/H$12)</f>
        <v>0</v>
      </c>
      <c r="K95" s="1"/>
      <c r="L95" s="1">
        <f t="shared" ref="L95:L100" si="46">+D95-H95</f>
        <v>0</v>
      </c>
      <c r="M95" s="1"/>
      <c r="N95" s="5">
        <f t="shared" ref="N95:N100" si="47">IF(H95=0,0,L95/H95)</f>
        <v>0</v>
      </c>
      <c r="O95" s="14"/>
      <c r="P95" s="1">
        <f>SUM(OSRRefP22_13x_0)</f>
        <v>75</v>
      </c>
      <c r="Q95" s="1"/>
      <c r="R95" s="5">
        <f t="shared" ref="R95:R100" si="48">IF(P$12=0,0,P95/P$12)</f>
        <v>1.0769072601928558E-3</v>
      </c>
      <c r="S95" s="1"/>
      <c r="T95" s="1">
        <f>SUM(OSRRefT22_13x_0)</f>
        <v>13.42</v>
      </c>
      <c r="U95" s="1"/>
      <c r="V95" s="5">
        <f t="shared" ref="V95:V100" si="49">IF(T$12=0,0,T95/T$12)</f>
        <v>8.7404685255858668E-5</v>
      </c>
      <c r="W95" s="1"/>
      <c r="X95" s="1">
        <f t="shared" ref="X95:X100" si="50">+P95-T95</f>
        <v>61.58</v>
      </c>
      <c r="Y95" s="1"/>
      <c r="Z95" s="5">
        <f t="shared" ref="Z95:Z100" si="51">IF(T95=0,0,X95/T95)</f>
        <v>4.5886736214605062</v>
      </c>
    </row>
    <row r="96" spans="1:26" s="24" customFormat="1" hidden="1" outlineLevel="2" x14ac:dyDescent="0.25">
      <c r="A96" s="28"/>
      <c r="B96" s="11" t="str">
        <f>CONCATENATE("          ", "6275", " - ", "SUBSCRIPTIONS")</f>
        <v xml:space="preserve">          6275 - SUBSCRIPTIONS</v>
      </c>
      <c r="C96" s="11"/>
      <c r="D96" s="7"/>
      <c r="E96" s="2"/>
      <c r="F96" s="6">
        <f t="shared" si="44"/>
        <v>0</v>
      </c>
      <c r="G96" s="2"/>
      <c r="H96" s="7"/>
      <c r="I96" s="2"/>
      <c r="J96" s="6">
        <f t="shared" si="45"/>
        <v>0</v>
      </c>
      <c r="K96" s="2"/>
      <c r="L96" s="7">
        <f t="shared" si="46"/>
        <v>0</v>
      </c>
      <c r="M96" s="2"/>
      <c r="N96" s="6">
        <f t="shared" si="47"/>
        <v>0</v>
      </c>
      <c r="O96" s="11"/>
      <c r="P96" s="7">
        <v>75</v>
      </c>
      <c r="Q96" s="2"/>
      <c r="R96" s="6">
        <f t="shared" si="48"/>
        <v>1.0769072601928558E-3</v>
      </c>
      <c r="S96" s="2"/>
      <c r="T96" s="7">
        <v>13.42</v>
      </c>
      <c r="U96" s="2"/>
      <c r="V96" s="6">
        <f t="shared" si="49"/>
        <v>8.7404685255858668E-5</v>
      </c>
      <c r="W96" s="2"/>
      <c r="X96" s="7">
        <f t="shared" si="50"/>
        <v>61.58</v>
      </c>
      <c r="Y96" s="2"/>
      <c r="Z96" s="6">
        <f t="shared" si="51"/>
        <v>4.5886736214605062</v>
      </c>
    </row>
    <row r="97" spans="1:26" s="27" customFormat="1" outlineLevel="1" collapsed="1" x14ac:dyDescent="0.25">
      <c r="A97" s="29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SUM(OSRRefD22_14x_0)</f>
        <v>265.7</v>
      </c>
      <c r="E97" s="1"/>
      <c r="F97" s="5">
        <f t="shared" si="44"/>
        <v>1.3307096433628041E-2</v>
      </c>
      <c r="G97" s="1"/>
      <c r="H97" s="1">
        <f>SUM(OSRRefH22_14x_0)</f>
        <v>576.04</v>
      </c>
      <c r="I97" s="1"/>
      <c r="J97" s="5">
        <f t="shared" si="45"/>
        <v>1.7690179254177318E-2</v>
      </c>
      <c r="K97" s="1"/>
      <c r="L97" s="1">
        <f t="shared" si="46"/>
        <v>-310.33999999999997</v>
      </c>
      <c r="M97" s="1"/>
      <c r="N97" s="5">
        <f t="shared" si="47"/>
        <v>-0.53874730921463787</v>
      </c>
      <c r="O97" s="14"/>
      <c r="P97" s="1">
        <f>SUM(OSRRefP22_14x_0)</f>
        <v>409.96999999999997</v>
      </c>
      <c r="Q97" s="1"/>
      <c r="R97" s="5">
        <f t="shared" si="48"/>
        <v>5.8866622594835345E-3</v>
      </c>
      <c r="S97" s="1"/>
      <c r="T97" s="1">
        <f>SUM(OSRRefT22_14x_0)</f>
        <v>1287.8900000000001</v>
      </c>
      <c r="U97" s="1"/>
      <c r="V97" s="5">
        <f t="shared" si="49"/>
        <v>8.3880491873448461E-3</v>
      </c>
      <c r="W97" s="1"/>
      <c r="X97" s="1">
        <f t="shared" si="50"/>
        <v>-877.92000000000007</v>
      </c>
      <c r="Y97" s="1"/>
      <c r="Z97" s="5">
        <f t="shared" si="51"/>
        <v>-0.68167312425750648</v>
      </c>
    </row>
    <row r="98" spans="1:26" s="24" customFormat="1" hidden="1" outlineLevel="2" x14ac:dyDescent="0.25">
      <c r="A98" s="28"/>
      <c r="B98" s="11" t="str">
        <f>CONCATENATE("          ", "6235", " - ", "COVID-19 EXPENSES")</f>
        <v xml:space="preserve">          6235 - COVID-19 EXPENSES</v>
      </c>
      <c r="C98" s="11"/>
      <c r="D98" s="7">
        <v>265.7</v>
      </c>
      <c r="E98" s="2"/>
      <c r="F98" s="6">
        <f t="shared" si="44"/>
        <v>1.3307096433628041E-2</v>
      </c>
      <c r="G98" s="2"/>
      <c r="H98" s="7"/>
      <c r="I98" s="2"/>
      <c r="J98" s="6">
        <f t="shared" si="45"/>
        <v>0</v>
      </c>
      <c r="K98" s="2"/>
      <c r="L98" s="7">
        <f t="shared" si="46"/>
        <v>265.7</v>
      </c>
      <c r="M98" s="2"/>
      <c r="N98" s="6">
        <f t="shared" si="47"/>
        <v>0</v>
      </c>
      <c r="O98" s="11"/>
      <c r="P98" s="7">
        <v>265.7</v>
      </c>
      <c r="Q98" s="2"/>
      <c r="R98" s="6">
        <f t="shared" si="48"/>
        <v>3.8151234537765568E-3</v>
      </c>
      <c r="S98" s="2"/>
      <c r="T98" s="7"/>
      <c r="U98" s="2"/>
      <c r="V98" s="6">
        <f t="shared" si="49"/>
        <v>0</v>
      </c>
      <c r="W98" s="2"/>
      <c r="X98" s="7">
        <f t="shared" si="50"/>
        <v>265.7</v>
      </c>
      <c r="Y98" s="2"/>
      <c r="Z98" s="6">
        <f t="shared" si="51"/>
        <v>0</v>
      </c>
    </row>
    <row r="99" spans="1:26" s="24" customFormat="1" hidden="1" outlineLevel="2" x14ac:dyDescent="0.25">
      <c r="A99" s="28"/>
      <c r="B99" s="11" t="str">
        <f>CONCATENATE("          ", "6237", " - ", "JANITORIAL SUPPLIES")</f>
        <v xml:space="preserve">          6237 - JANITORIAL SUPPLIES</v>
      </c>
      <c r="C99" s="11"/>
      <c r="D99" s="7"/>
      <c r="E99" s="2"/>
      <c r="F99" s="6">
        <f t="shared" si="44"/>
        <v>0</v>
      </c>
      <c r="G99" s="2"/>
      <c r="H99" s="7">
        <v>204.66</v>
      </c>
      <c r="I99" s="2"/>
      <c r="J99" s="6">
        <f t="shared" si="45"/>
        <v>6.2851053506005321E-3</v>
      </c>
      <c r="K99" s="2"/>
      <c r="L99" s="7">
        <f t="shared" si="46"/>
        <v>-204.66</v>
      </c>
      <c r="M99" s="2"/>
      <c r="N99" s="6">
        <f t="shared" si="47"/>
        <v>-1</v>
      </c>
      <c r="O99" s="11"/>
      <c r="P99" s="7">
        <v>139.31</v>
      </c>
      <c r="Q99" s="2"/>
      <c r="R99" s="6">
        <f t="shared" si="48"/>
        <v>2.0003193388995564E-3</v>
      </c>
      <c r="S99" s="2"/>
      <c r="T99" s="7">
        <v>204.66</v>
      </c>
      <c r="U99" s="2"/>
      <c r="V99" s="6">
        <f t="shared" si="49"/>
        <v>1.3329540152357702E-3</v>
      </c>
      <c r="W99" s="2"/>
      <c r="X99" s="7">
        <f t="shared" si="50"/>
        <v>-65.349999999999994</v>
      </c>
      <c r="Y99" s="2"/>
      <c r="Z99" s="6">
        <f t="shared" si="51"/>
        <v>-0.3193100752467507</v>
      </c>
    </row>
    <row r="100" spans="1:26" s="24" customFormat="1" hidden="1" outlineLevel="2" x14ac:dyDescent="0.25">
      <c r="A100" s="28"/>
      <c r="B100" s="11" t="str">
        <f>CONCATENATE("          ", "6241", " - ", "OFFICE EXPENSE")</f>
        <v xml:space="preserve">          6241 - OFFICE EXPENSE</v>
      </c>
      <c r="C100" s="11"/>
      <c r="D100" s="7"/>
      <c r="E100" s="2"/>
      <c r="F100" s="6">
        <f t="shared" si="44"/>
        <v>0</v>
      </c>
      <c r="G100" s="2"/>
      <c r="H100" s="7">
        <v>371.38</v>
      </c>
      <c r="I100" s="2"/>
      <c r="J100" s="6">
        <f t="shared" si="45"/>
        <v>1.140507390357679E-2</v>
      </c>
      <c r="K100" s="2"/>
      <c r="L100" s="7">
        <f t="shared" si="46"/>
        <v>-371.38</v>
      </c>
      <c r="M100" s="2"/>
      <c r="N100" s="6">
        <f t="shared" si="47"/>
        <v>-1</v>
      </c>
      <c r="O100" s="11"/>
      <c r="P100" s="7">
        <v>4.96</v>
      </c>
      <c r="Q100" s="2"/>
      <c r="R100" s="6">
        <f t="shared" si="48"/>
        <v>7.1219466807420867E-5</v>
      </c>
      <c r="S100" s="2"/>
      <c r="T100" s="7">
        <v>1083.23</v>
      </c>
      <c r="U100" s="2"/>
      <c r="V100" s="6">
        <f t="shared" si="49"/>
        <v>7.0550951721090752E-3</v>
      </c>
      <c r="W100" s="2"/>
      <c r="X100" s="7">
        <f t="shared" si="50"/>
        <v>-1078.27</v>
      </c>
      <c r="Y100" s="2"/>
      <c r="Z100" s="6">
        <f t="shared" si="51"/>
        <v>-0.99542110170508569</v>
      </c>
    </row>
    <row r="101" spans="1:26" s="27" customFormat="1" outlineLevel="1" collapsed="1" x14ac:dyDescent="0.25">
      <c r="A101" s="29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SUM(OSRRefD22_15x_0)</f>
        <v>511.48</v>
      </c>
      <c r="E101" s="1"/>
      <c r="F101" s="5">
        <f t="shared" ref="F101:F106" si="52">IF(D$12=0,0,D101/D$12)</f>
        <v>2.5616536258457171E-2</v>
      </c>
      <c r="G101" s="1"/>
      <c r="H101" s="1">
        <f>SUM(OSRRefH22_15x_0)</f>
        <v>1725.97</v>
      </c>
      <c r="I101" s="1"/>
      <c r="J101" s="5">
        <f t="shared" ref="J101:J106" si="53">IF(H$12=0,0,H101/H$12)</f>
        <v>5.3004511296667646E-2</v>
      </c>
      <c r="K101" s="1"/>
      <c r="L101" s="1">
        <f t="shared" ref="L101:L106" si="54">+D101-H101</f>
        <v>-1214.49</v>
      </c>
      <c r="M101" s="1"/>
      <c r="N101" s="5">
        <f t="shared" ref="N101:N106" si="55">IF(H101=0,0,L101/H101)</f>
        <v>-0.70365649460882862</v>
      </c>
      <c r="O101" s="14"/>
      <c r="P101" s="1">
        <f>SUM(OSRRefP22_15x_0)</f>
        <v>1071.28</v>
      </c>
      <c r="Q101" s="1"/>
      <c r="R101" s="5">
        <f t="shared" ref="R101:R106" si="56">IF(P$12=0,0,P101/P$12)</f>
        <v>1.5382256129325367E-2</v>
      </c>
      <c r="S101" s="1"/>
      <c r="T101" s="1">
        <f>SUM(OSRRefT22_15x_0)</f>
        <v>1976.9</v>
      </c>
      <c r="U101" s="1"/>
      <c r="V101" s="5">
        <f t="shared" ref="V101:V106" si="57">IF(T$12=0,0,T101/T$12)</f>
        <v>1.2875582882437184E-2</v>
      </c>
      <c r="W101" s="1"/>
      <c r="X101" s="1">
        <f t="shared" ref="X101:X106" si="58">+P101-T101</f>
        <v>-905.62000000000012</v>
      </c>
      <c r="Y101" s="1"/>
      <c r="Z101" s="5">
        <f t="shared" ref="Z101:Z106" si="59">IF(T101=0,0,X101/T101)</f>
        <v>-0.45810106732763423</v>
      </c>
    </row>
    <row r="102" spans="1:26" s="24" customFormat="1" hidden="1" outlineLevel="2" x14ac:dyDescent="0.25">
      <c r="A102" s="28"/>
      <c r="B102" s="11" t="str">
        <f>CONCATENATE("          ", "6309", " - ", "TELEPHONE")</f>
        <v xml:space="preserve">          6309 - TELEPHONE</v>
      </c>
      <c r="C102" s="11"/>
      <c r="D102" s="7">
        <v>511.48</v>
      </c>
      <c r="E102" s="2"/>
      <c r="F102" s="6">
        <f t="shared" si="52"/>
        <v>2.5616536258457171E-2</v>
      </c>
      <c r="G102" s="2"/>
      <c r="H102" s="7">
        <v>1725.97</v>
      </c>
      <c r="I102" s="2"/>
      <c r="J102" s="6">
        <f t="shared" si="53"/>
        <v>5.3004511296667646E-2</v>
      </c>
      <c r="K102" s="2"/>
      <c r="L102" s="7">
        <f t="shared" si="54"/>
        <v>-1214.49</v>
      </c>
      <c r="M102" s="2"/>
      <c r="N102" s="6">
        <f t="shared" si="55"/>
        <v>-0.70365649460882862</v>
      </c>
      <c r="O102" s="11"/>
      <c r="P102" s="7">
        <v>1071.28</v>
      </c>
      <c r="Q102" s="2"/>
      <c r="R102" s="6">
        <f t="shared" si="56"/>
        <v>1.5382256129325367E-2</v>
      </c>
      <c r="S102" s="2"/>
      <c r="T102" s="7">
        <v>1976.9</v>
      </c>
      <c r="U102" s="2"/>
      <c r="V102" s="6">
        <f t="shared" si="57"/>
        <v>1.2875582882437184E-2</v>
      </c>
      <c r="W102" s="2"/>
      <c r="X102" s="7">
        <f t="shared" si="58"/>
        <v>-905.62000000000012</v>
      </c>
      <c r="Y102" s="2"/>
      <c r="Z102" s="6">
        <f t="shared" si="59"/>
        <v>-0.45810106732763423</v>
      </c>
    </row>
    <row r="103" spans="1:26" s="27" customFormat="1" outlineLevel="1" collapsed="1" x14ac:dyDescent="0.25">
      <c r="A103" s="29"/>
      <c r="B103" s="14" t="str">
        <f>CONCATENATE("     ","Travel                                            ")</f>
        <v xml:space="preserve">     Travel                                            </v>
      </c>
      <c r="C103" s="14"/>
      <c r="D103" s="1">
        <f>SUM(OSRRefD22_16x_0)</f>
        <v>0</v>
      </c>
      <c r="E103" s="1"/>
      <c r="F103" s="5">
        <f t="shared" si="52"/>
        <v>0</v>
      </c>
      <c r="G103" s="1"/>
      <c r="H103" s="1">
        <f>SUM(OSRRefH22_16x_0)</f>
        <v>33.43</v>
      </c>
      <c r="I103" s="1"/>
      <c r="J103" s="5">
        <f t="shared" si="53"/>
        <v>1.0266347692298239E-3</v>
      </c>
      <c r="K103" s="1"/>
      <c r="L103" s="1">
        <f t="shared" si="54"/>
        <v>-33.43</v>
      </c>
      <c r="M103" s="1"/>
      <c r="N103" s="5">
        <f t="shared" si="55"/>
        <v>-1</v>
      </c>
      <c r="O103" s="14"/>
      <c r="P103" s="1">
        <f>SUM(OSRRefP22_16x_0)</f>
        <v>240.92</v>
      </c>
      <c r="Q103" s="1"/>
      <c r="R103" s="5">
        <f t="shared" si="56"/>
        <v>3.4593132950088376E-3</v>
      </c>
      <c r="S103" s="1"/>
      <c r="T103" s="1">
        <f>SUM(OSRRefT22_16x_0)</f>
        <v>102.1</v>
      </c>
      <c r="U103" s="1"/>
      <c r="V103" s="5">
        <f t="shared" si="57"/>
        <v>6.6497901375731517E-4</v>
      </c>
      <c r="W103" s="1"/>
      <c r="X103" s="1">
        <f t="shared" si="58"/>
        <v>138.82</v>
      </c>
      <c r="Y103" s="1"/>
      <c r="Z103" s="5">
        <f t="shared" si="59"/>
        <v>1.3596474045053868</v>
      </c>
    </row>
    <row r="104" spans="1:26" s="24" customFormat="1" hidden="1" outlineLevel="2" x14ac:dyDescent="0.25">
      <c r="A104" s="28"/>
      <c r="B104" s="11" t="str">
        <f>CONCATENATE("          ", "6294", " - ", "TRAVEL OPERATIONAL")</f>
        <v xml:space="preserve">          6294 - TRAVEL OPERATIONAL</v>
      </c>
      <c r="C104" s="11"/>
      <c r="D104" s="7"/>
      <c r="E104" s="2"/>
      <c r="F104" s="6">
        <f t="shared" si="52"/>
        <v>0</v>
      </c>
      <c r="G104" s="2"/>
      <c r="H104" s="7">
        <v>33.43</v>
      </c>
      <c r="I104" s="2"/>
      <c r="J104" s="6">
        <f t="shared" si="53"/>
        <v>1.0266347692298239E-3</v>
      </c>
      <c r="K104" s="2"/>
      <c r="L104" s="7">
        <f t="shared" si="54"/>
        <v>-33.43</v>
      </c>
      <c r="M104" s="2"/>
      <c r="N104" s="6">
        <f t="shared" si="55"/>
        <v>-1</v>
      </c>
      <c r="O104" s="11"/>
      <c r="P104" s="7">
        <v>240.92</v>
      </c>
      <c r="Q104" s="2"/>
      <c r="R104" s="6">
        <f t="shared" si="56"/>
        <v>3.4593132950088376E-3</v>
      </c>
      <c r="S104" s="2"/>
      <c r="T104" s="7">
        <v>102.1</v>
      </c>
      <c r="U104" s="2"/>
      <c r="V104" s="6">
        <f t="shared" si="57"/>
        <v>6.6497901375731517E-4</v>
      </c>
      <c r="W104" s="2"/>
      <c r="X104" s="7">
        <f t="shared" si="58"/>
        <v>138.82</v>
      </c>
      <c r="Y104" s="2"/>
      <c r="Z104" s="6">
        <f t="shared" si="59"/>
        <v>1.3596474045053868</v>
      </c>
    </row>
    <row r="105" spans="1:26" s="27" customFormat="1" outlineLevel="1" collapsed="1" x14ac:dyDescent="0.25">
      <c r="A105" s="29"/>
      <c r="B105" s="14" t="str">
        <f>CONCATENATE("     ","Utilities                                         ")</f>
        <v xml:space="preserve">     Utilities                                         </v>
      </c>
      <c r="C105" s="14"/>
      <c r="D105" s="1">
        <f>SUM(OSRRefD22_17x_0)</f>
        <v>28.01</v>
      </c>
      <c r="E105" s="1"/>
      <c r="F105" s="5">
        <f t="shared" si="52"/>
        <v>1.4028293982157375E-3</v>
      </c>
      <c r="G105" s="1"/>
      <c r="H105" s="1">
        <f>SUM(OSRRefH22_17x_0)</f>
        <v>55.02</v>
      </c>
      <c r="I105" s="1"/>
      <c r="J105" s="5">
        <f t="shared" si="53"/>
        <v>1.6896633264440598E-3</v>
      </c>
      <c r="K105" s="1"/>
      <c r="L105" s="1">
        <f t="shared" si="54"/>
        <v>-27.01</v>
      </c>
      <c r="M105" s="1"/>
      <c r="N105" s="5">
        <f t="shared" si="55"/>
        <v>-0.49091239549254817</v>
      </c>
      <c r="O105" s="14"/>
      <c r="P105" s="1">
        <f>SUM(OSRRefP22_17x_0)</f>
        <v>68.36</v>
      </c>
      <c r="Q105" s="1"/>
      <c r="R105" s="5">
        <f t="shared" si="56"/>
        <v>9.8156507075711501E-4</v>
      </c>
      <c r="S105" s="1"/>
      <c r="T105" s="1">
        <f>SUM(OSRRefT22_17x_0)</f>
        <v>151.80000000000001</v>
      </c>
      <c r="U105" s="1"/>
      <c r="V105" s="5">
        <f t="shared" si="57"/>
        <v>9.8867594797610631E-4</v>
      </c>
      <c r="W105" s="1"/>
      <c r="X105" s="1">
        <f t="shared" si="58"/>
        <v>-83.440000000000012</v>
      </c>
      <c r="Y105" s="1"/>
      <c r="Z105" s="5">
        <f t="shared" si="59"/>
        <v>-0.54967061923583671</v>
      </c>
    </row>
    <row r="106" spans="1:26" s="24" customFormat="1" hidden="1" outlineLevel="2" x14ac:dyDescent="0.25">
      <c r="A106" s="28"/>
      <c r="B106" s="11" t="str">
        <f>CONCATENATE("          ", "6274", " - ", "UTILITIES")</f>
        <v xml:space="preserve">          6274 - UTILITIES</v>
      </c>
      <c r="C106" s="11"/>
      <c r="D106" s="7">
        <v>28.01</v>
      </c>
      <c r="E106" s="2"/>
      <c r="F106" s="6">
        <f t="shared" si="52"/>
        <v>1.4028293982157375E-3</v>
      </c>
      <c r="G106" s="2"/>
      <c r="H106" s="7">
        <v>55.02</v>
      </c>
      <c r="I106" s="2"/>
      <c r="J106" s="6">
        <f t="shared" si="53"/>
        <v>1.6896633264440598E-3</v>
      </c>
      <c r="K106" s="2"/>
      <c r="L106" s="7">
        <f t="shared" si="54"/>
        <v>-27.01</v>
      </c>
      <c r="M106" s="2"/>
      <c r="N106" s="6">
        <f t="shared" si="55"/>
        <v>-0.49091239549254817</v>
      </c>
      <c r="O106" s="11"/>
      <c r="P106" s="7">
        <v>68.36</v>
      </c>
      <c r="Q106" s="2"/>
      <c r="R106" s="6">
        <f t="shared" si="56"/>
        <v>9.8156507075711501E-4</v>
      </c>
      <c r="S106" s="2"/>
      <c r="T106" s="7">
        <v>151.80000000000001</v>
      </c>
      <c r="U106" s="2"/>
      <c r="V106" s="6">
        <f t="shared" si="57"/>
        <v>9.8867594797610631E-4</v>
      </c>
      <c r="W106" s="2"/>
      <c r="X106" s="7">
        <f t="shared" si="58"/>
        <v>-83.440000000000012</v>
      </c>
      <c r="Y106" s="2"/>
      <c r="Z106" s="6">
        <f t="shared" si="59"/>
        <v>-0.54967061923583671</v>
      </c>
    </row>
    <row r="107" spans="1:26" s="60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x14ac:dyDescent="0.25">
      <c r="A108" s="10"/>
      <c r="B108" s="26" t="s">
        <v>0</v>
      </c>
      <c r="C108" s="10"/>
      <c r="D108" s="4">
        <f>SUM(0)</f>
        <v>0</v>
      </c>
      <c r="E108" s="4"/>
      <c r="F108" s="12">
        <f>IF(D$12=0,0,D108/D$12)</f>
        <v>0</v>
      </c>
      <c r="G108" s="4"/>
      <c r="H108" s="4">
        <f>SUM(0)</f>
        <v>0</v>
      </c>
      <c r="I108" s="4"/>
      <c r="J108" s="12">
        <f>IF(H$12=0,0,H108/H$12)</f>
        <v>0</v>
      </c>
      <c r="K108" s="4"/>
      <c r="L108" s="4">
        <f>+D108-H108</f>
        <v>0</v>
      </c>
      <c r="M108" s="4"/>
      <c r="N108" s="12">
        <f>IF(H108=0,0,L108/H108)</f>
        <v>0</v>
      </c>
      <c r="O108" s="10"/>
      <c r="P108" s="4">
        <f>SUM(0)</f>
        <v>0</v>
      </c>
      <c r="Q108" s="4"/>
      <c r="R108" s="12">
        <f>IF(P$12=0,0,P108/P$12)</f>
        <v>0</v>
      </c>
      <c r="S108" s="4"/>
      <c r="T108" s="4">
        <f>SUM(0)</f>
        <v>0</v>
      </c>
      <c r="U108" s="4"/>
      <c r="V108" s="12">
        <f>IF(T$12=0,0,T108/T$12)</f>
        <v>0</v>
      </c>
      <c r="W108" s="4"/>
      <c r="X108" s="4">
        <f>+P108-T108</f>
        <v>0</v>
      </c>
      <c r="Y108" s="4"/>
      <c r="Z108" s="12">
        <f>IF(T108=0,0,X108/T108)</f>
        <v>0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5" t="s">
        <v>3</v>
      </c>
      <c r="C110" s="25"/>
      <c r="D110" s="22">
        <f>+D53-D55+D108</f>
        <v>-11060.990000000005</v>
      </c>
      <c r="E110" s="13"/>
      <c r="F110" s="21">
        <f>IF(D$12=0,0,D110/D$12)</f>
        <v>-0.55396936613246328</v>
      </c>
      <c r="G110" s="13"/>
      <c r="H110" s="22">
        <f>+H53-H55+H108</f>
        <v>-6062.989999999998</v>
      </c>
      <c r="I110" s="13"/>
      <c r="J110" s="21">
        <f>IF(H$12=0,0,H110/H$12)</f>
        <v>-0.18619432663753302</v>
      </c>
      <c r="K110" s="15"/>
      <c r="L110" s="22">
        <f>+D110-H110</f>
        <v>-4998.0000000000073</v>
      </c>
      <c r="M110" s="15"/>
      <c r="N110" s="21">
        <f>IF(H110=0,0,L110/H110)</f>
        <v>0.82434574360175572</v>
      </c>
      <c r="O110" s="26"/>
      <c r="P110" s="22">
        <f>+P53-P55+P108</f>
        <v>-21460.170000000006</v>
      </c>
      <c r="Q110" s="13"/>
      <c r="R110" s="21">
        <f>IF(P$12=0,0,P110/P$12)</f>
        <v>-0.308141505039639</v>
      </c>
      <c r="S110" s="13"/>
      <c r="T110" s="22">
        <f>+T53-T55+T108</f>
        <v>-1015.9300000000221</v>
      </c>
      <c r="U110" s="13"/>
      <c r="V110" s="21">
        <f>IF(T$12=0,0,T110/T$12)</f>
        <v>-6.6167691424729091E-3</v>
      </c>
      <c r="W110" s="15"/>
      <c r="X110" s="22">
        <f>+P110-T110</f>
        <v>-20444.239999999983</v>
      </c>
      <c r="Y110" s="15"/>
      <c r="Z110" s="21">
        <f>IF(T110=0,0,X110/T110)</f>
        <v>20.123669937888966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1"/>
      <c r="B112" s="10" t="s">
        <v>13</v>
      </c>
      <c r="C112" s="10"/>
      <c r="D112" s="4">
        <v>4514.5600000000004</v>
      </c>
      <c r="E112" s="4"/>
      <c r="F112" s="12">
        <f>IF(D$12=0,0,D112/D$12)</f>
        <v>0.22610344477004071</v>
      </c>
      <c r="G112" s="4"/>
      <c r="H112" s="4">
        <v>1408.59</v>
      </c>
      <c r="I112" s="4"/>
      <c r="J112" s="12">
        <f>IF(H$12=0,0,H112/H$12)</f>
        <v>4.3257776535729521E-2</v>
      </c>
      <c r="K112" s="4"/>
      <c r="L112" s="4">
        <f>+D112-H112</f>
        <v>3105.9700000000003</v>
      </c>
      <c r="M112" s="4"/>
      <c r="N112" s="12">
        <f>IF(H112=0,0,L112/H112)</f>
        <v>2.20502062346034</v>
      </c>
      <c r="O112" s="10"/>
      <c r="P112" s="4">
        <v>12901.88</v>
      </c>
      <c r="Q112" s="4"/>
      <c r="R112" s="12">
        <f>IF(P$12=0,0,P112/P$12)</f>
        <v>0.18525504322849334</v>
      </c>
      <c r="S112" s="4"/>
      <c r="T112" s="4">
        <v>16492.09</v>
      </c>
      <c r="U112" s="4"/>
      <c r="V112" s="12">
        <f>IF(T$12=0,0,T112/T$12)</f>
        <v>0.10741325899115457</v>
      </c>
      <c r="W112" s="4"/>
      <c r="X112" s="4">
        <f>+P112-T112</f>
        <v>-3590.2100000000009</v>
      </c>
      <c r="Y112" s="4"/>
      <c r="Z112" s="12">
        <f>IF(T112=0,0,X112/T112)</f>
        <v>-0.21769284547925707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5" t="s">
        <v>4</v>
      </c>
      <c r="C114" s="25"/>
      <c r="D114" s="33">
        <f>+D110-D112</f>
        <v>-15575.550000000007</v>
      </c>
      <c r="E114" s="13"/>
      <c r="F114" s="32">
        <f>IF(D$12=0,0,D114/D$12)</f>
        <v>-0.78007281090250402</v>
      </c>
      <c r="G114" s="13"/>
      <c r="H114" s="33">
        <f>+H110-H112</f>
        <v>-7471.5799999999981</v>
      </c>
      <c r="I114" s="13"/>
      <c r="J114" s="32">
        <f>IF(H$12=0,0,H114/H$12)</f>
        <v>-0.22945210317326253</v>
      </c>
      <c r="K114" s="15"/>
      <c r="L114" s="33">
        <f>D114-H114</f>
        <v>-8103.9700000000084</v>
      </c>
      <c r="M114" s="15"/>
      <c r="N114" s="32">
        <f>IF(H114=0,0,L114/H114)</f>
        <v>1.0846393935419296</v>
      </c>
      <c r="O114" s="26"/>
      <c r="P114" s="33">
        <f>+P110-P112</f>
        <v>-34362.050000000003</v>
      </c>
      <c r="Q114" s="13"/>
      <c r="R114" s="32">
        <f>IF(P$12=0,0,P114/P$12)</f>
        <v>-0.49339654826813234</v>
      </c>
      <c r="S114" s="13"/>
      <c r="T114" s="33">
        <f>+T110-T112</f>
        <v>-17508.020000000022</v>
      </c>
      <c r="U114" s="13"/>
      <c r="V114" s="32">
        <f>IF(T$12=0,0,T114/T$12)</f>
        <v>-0.11403002813362748</v>
      </c>
      <c r="W114" s="15"/>
      <c r="X114" s="33">
        <f>P114-T114</f>
        <v>-16854.029999999981</v>
      </c>
      <c r="Y114" s="15"/>
      <c r="Z114" s="32">
        <f>IF(T114=0,0,X114/T114)</f>
        <v>0.96264626154185107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5" t="s">
        <v>5</v>
      </c>
      <c r="C117" s="25"/>
      <c r="D117" s="34">
        <f>SUM(D114:D116)</f>
        <v>-15575.550000000007</v>
      </c>
      <c r="E117" s="13"/>
      <c r="F117" s="31">
        <f>IF(D$12=0,0,D117/D$12)</f>
        <v>-0.78007281090250402</v>
      </c>
      <c r="G117" s="13"/>
      <c r="H117" s="34">
        <f>SUM(H114:H116)</f>
        <v>-7471.5799999999981</v>
      </c>
      <c r="I117" s="13"/>
      <c r="J117" s="31">
        <f>IF(H$12=0,0,H117/H$12)</f>
        <v>-0.22945210317326253</v>
      </c>
      <c r="K117" s="15"/>
      <c r="L117" s="34">
        <f>+D117-H117</f>
        <v>-8103.9700000000084</v>
      </c>
      <c r="M117" s="15"/>
      <c r="N117" s="31">
        <f>IF(H117=0,0,L117/H117)</f>
        <v>1.0846393935419296</v>
      </c>
      <c r="O117" s="26"/>
      <c r="P117" s="34">
        <f>SUM(P114:P116)</f>
        <v>-34362.050000000003</v>
      </c>
      <c r="Q117" s="13"/>
      <c r="R117" s="31">
        <f>IF(P$12=0,0,P117/P$12)</f>
        <v>-0.49339654826813234</v>
      </c>
      <c r="S117" s="13"/>
      <c r="T117" s="34">
        <f>SUM(T114:T116)</f>
        <v>-17508.020000000022</v>
      </c>
      <c r="U117" s="13"/>
      <c r="V117" s="31">
        <f>IF(T$12=0,0,T117/T$12)</f>
        <v>-0.11403002813362748</v>
      </c>
      <c r="W117" s="15"/>
      <c r="X117" s="34">
        <f>+P117-T117</f>
        <v>-16854.029999999981</v>
      </c>
      <c r="Y117" s="15"/>
      <c r="Z117" s="31">
        <f>IF(T117=0,0,X117/T117)</f>
        <v>0.96264626154185107</v>
      </c>
    </row>
    <row r="118" spans="1:26" ht="15.75" thickTop="1" x14ac:dyDescent="0.25">
      <c r="A118" s="9"/>
      <c r="C118" s="9"/>
      <c r="D118" s="18"/>
      <c r="E118" s="18"/>
      <c r="G118" s="18"/>
      <c r="H118" s="18"/>
      <c r="I118" s="18"/>
      <c r="J118" s="42"/>
      <c r="K118" s="18"/>
      <c r="L118" s="18"/>
      <c r="M118" s="18"/>
      <c r="P118" s="18"/>
      <c r="Q118" s="18"/>
      <c r="R118" s="42"/>
      <c r="S118" s="18"/>
      <c r="T118" s="18"/>
      <c r="U118" s="18"/>
      <c r="V118" s="42"/>
      <c r="W118" s="18"/>
      <c r="X118" s="18"/>
    </row>
    <row r="119" spans="1:26" x14ac:dyDescent="0.25">
      <c r="A119" s="9"/>
      <c r="B119" s="54">
        <v>44123.565465775464</v>
      </c>
      <c r="D119" s="18"/>
      <c r="E119" s="18"/>
      <c r="G119" s="18"/>
      <c r="H119" s="18"/>
      <c r="I119" s="18"/>
      <c r="J119" s="42"/>
      <c r="K119" s="18"/>
      <c r="L119" s="18"/>
      <c r="M119" s="18"/>
      <c r="P119" s="18"/>
      <c r="Q119" s="18"/>
      <c r="R119" s="42"/>
      <c r="S119" s="18"/>
      <c r="T119" s="18"/>
      <c r="U119" s="18"/>
      <c r="V119" s="42"/>
      <c r="W119" s="18"/>
      <c r="X119" s="18"/>
    </row>
    <row r="120" spans="1:26" x14ac:dyDescent="0.25">
      <c r="A120" s="9"/>
      <c r="B120" s="59" t="s">
        <v>313</v>
      </c>
      <c r="D120" s="18"/>
      <c r="E120" s="18"/>
      <c r="G120" s="18"/>
      <c r="H120" s="18"/>
      <c r="I120" s="18"/>
      <c r="J120" s="42"/>
      <c r="K120" s="18"/>
      <c r="L120" s="18"/>
      <c r="M120" s="18"/>
      <c r="P120" s="18"/>
      <c r="Q120" s="18"/>
      <c r="R120" s="42"/>
      <c r="S120" s="18"/>
      <c r="T120" s="18"/>
      <c r="U120" s="18"/>
      <c r="V120" s="42"/>
      <c r="W120" s="18"/>
      <c r="X120" s="18"/>
    </row>
    <row r="121" spans="1:26" x14ac:dyDescent="0.25">
      <c r="A121" s="9"/>
      <c r="B121" s="58"/>
      <c r="D121" s="18"/>
      <c r="E121" s="18"/>
      <c r="G121" s="18"/>
      <c r="H121" s="18"/>
      <c r="I121" s="18"/>
      <c r="J121" s="42"/>
      <c r="K121" s="18"/>
      <c r="L121" s="18"/>
      <c r="M121" s="18"/>
      <c r="P121" s="18"/>
      <c r="Q121" s="18"/>
      <c r="R121" s="42"/>
      <c r="S121" s="18"/>
      <c r="T121" s="18"/>
      <c r="U121" s="18"/>
      <c r="V121" s="42"/>
      <c r="W121" s="18"/>
      <c r="X121" s="18"/>
    </row>
    <row r="122" spans="1:26" x14ac:dyDescent="0.25">
      <c r="D122" s="18"/>
      <c r="E122" s="18"/>
      <c r="G122" s="18"/>
      <c r="H122" s="18"/>
      <c r="I122" s="18"/>
      <c r="J122" s="42"/>
      <c r="K122" s="18"/>
      <c r="L122" s="18"/>
      <c r="M122" s="18"/>
      <c r="P122" s="18"/>
      <c r="Q122" s="18"/>
      <c r="R122" s="42"/>
      <c r="S122" s="18"/>
      <c r="T122" s="18"/>
      <c r="U122" s="18"/>
      <c r="V122" s="42"/>
      <c r="W122" s="18"/>
      <c r="X122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303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9104.9600000000009</v>
      </c>
      <c r="E12" s="4"/>
      <c r="F12" s="12"/>
      <c r="G12" s="4"/>
      <c r="H12" s="4">
        <f>SUM(OSRRefH13x_0)</f>
        <v>65688.590000000011</v>
      </c>
      <c r="I12" s="4"/>
      <c r="J12" s="12"/>
      <c r="K12" s="4"/>
      <c r="L12" s="4">
        <f t="shared" ref="L12:L27" si="0">+D12-H12</f>
        <v>-56583.630000000012</v>
      </c>
      <c r="M12" s="4"/>
      <c r="N12" s="12">
        <f t="shared" ref="N12:N27" si="1">IF(H12=0,0,L12/H12)</f>
        <v>-0.86139206215265085</v>
      </c>
      <c r="O12" s="10"/>
      <c r="P12" s="4">
        <f>SUM(OSRRefP13x_0)</f>
        <v>61477.1</v>
      </c>
      <c r="Q12" s="4"/>
      <c r="R12" s="12"/>
      <c r="S12" s="4"/>
      <c r="T12" s="4">
        <f>SUM(OSRRefT13x_0)</f>
        <v>171964.24</v>
      </c>
      <c r="U12" s="4"/>
      <c r="V12" s="12"/>
      <c r="W12" s="4"/>
      <c r="X12" s="4">
        <f t="shared" ref="X12:X27" si="2">+P12-T12</f>
        <v>-110487.13999999998</v>
      </c>
      <c r="Y12" s="4"/>
      <c r="Z12" s="12">
        <f t="shared" ref="Z12:Z27" si="3">IF(T12=0,0,X12/T12)</f>
        <v>-0.64250067339581762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-7.3</f>
        <v>-7.3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-7.3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--8785.72</f>
        <v>8785.7199999999993</v>
      </c>
      <c r="E14" s="2"/>
      <c r="F14" s="19"/>
      <c r="G14" s="2"/>
      <c r="H14" s="2">
        <f>--20926.4</f>
        <v>20926.400000000001</v>
      </c>
      <c r="I14" s="2"/>
      <c r="J14" s="19"/>
      <c r="K14" s="2"/>
      <c r="L14" s="2">
        <f t="shared" si="0"/>
        <v>-12140.680000000002</v>
      </c>
      <c r="M14" s="2"/>
      <c r="N14" s="19">
        <f t="shared" si="1"/>
        <v>-0.58016094502637827</v>
      </c>
      <c r="O14" s="11"/>
      <c r="P14" s="2">
        <f>--52221.77</f>
        <v>52221.77</v>
      </c>
      <c r="Q14" s="2"/>
      <c r="R14" s="19"/>
      <c r="S14" s="2"/>
      <c r="T14" s="2">
        <f>--95294.2</f>
        <v>95294.2</v>
      </c>
      <c r="U14" s="2"/>
      <c r="V14" s="19"/>
      <c r="W14" s="2"/>
      <c r="X14" s="2">
        <f t="shared" si="2"/>
        <v>-43072.43</v>
      </c>
      <c r="Y14" s="2"/>
      <c r="Z14" s="19">
        <f t="shared" si="3"/>
        <v>-0.45199424519015852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--476.85</f>
        <v>476.85</v>
      </c>
      <c r="E15" s="2"/>
      <c r="F15" s="19"/>
      <c r="G15" s="2"/>
      <c r="H15" s="2">
        <f>--7680.9</f>
        <v>7680.9</v>
      </c>
      <c r="I15" s="2"/>
      <c r="J15" s="19"/>
      <c r="K15" s="2"/>
      <c r="L15" s="2">
        <f t="shared" si="0"/>
        <v>-7204.0499999999993</v>
      </c>
      <c r="M15" s="2"/>
      <c r="N15" s="19">
        <f t="shared" si="1"/>
        <v>-0.93791743155099006</v>
      </c>
      <c r="O15" s="11"/>
      <c r="P15" s="2">
        <f>--9433.72</f>
        <v>9433.7199999999993</v>
      </c>
      <c r="Q15" s="2"/>
      <c r="R15" s="19"/>
      <c r="S15" s="2"/>
      <c r="T15" s="2">
        <f>--19757.89</f>
        <v>19757.89</v>
      </c>
      <c r="U15" s="2"/>
      <c r="V15" s="19"/>
      <c r="W15" s="2"/>
      <c r="X15" s="2">
        <f t="shared" si="2"/>
        <v>-10324.17</v>
      </c>
      <c r="Y15" s="2"/>
      <c r="Z15" s="19">
        <f t="shared" si="3"/>
        <v>-0.52253403577001389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--2.99</f>
        <v>2.99</v>
      </c>
      <c r="E16" s="2"/>
      <c r="F16" s="19"/>
      <c r="G16" s="2"/>
      <c r="H16" s="2">
        <f>--18.47</f>
        <v>18.47</v>
      </c>
      <c r="I16" s="2"/>
      <c r="J16" s="19"/>
      <c r="K16" s="2"/>
      <c r="L16" s="2">
        <f t="shared" si="0"/>
        <v>-15.479999999999999</v>
      </c>
      <c r="M16" s="2"/>
      <c r="N16" s="19">
        <f t="shared" si="1"/>
        <v>-0.83811586356253387</v>
      </c>
      <c r="O16" s="11"/>
      <c r="P16" s="2">
        <f>--7.98</f>
        <v>7.98</v>
      </c>
      <c r="Q16" s="2"/>
      <c r="R16" s="19"/>
      <c r="S16" s="2"/>
      <c r="T16" s="2">
        <f>--95.73</f>
        <v>95.73</v>
      </c>
      <c r="U16" s="2"/>
      <c r="V16" s="19"/>
      <c r="W16" s="2"/>
      <c r="X16" s="2">
        <f t="shared" si="2"/>
        <v>-87.75</v>
      </c>
      <c r="Y16" s="2"/>
      <c r="Z16" s="19">
        <f t="shared" si="3"/>
        <v>-0.9166405515512378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ref="D17:D21" si="4">0</f>
        <v>0</v>
      </c>
      <c r="E17" s="2"/>
      <c r="F17" s="19"/>
      <c r="G17" s="2"/>
      <c r="H17" s="2">
        <f>--488.97</f>
        <v>488.97</v>
      </c>
      <c r="I17" s="2"/>
      <c r="J17" s="19"/>
      <c r="K17" s="2"/>
      <c r="L17" s="2">
        <f t="shared" si="0"/>
        <v>-488.97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--971.35</f>
        <v>971.35</v>
      </c>
      <c r="U17" s="2"/>
      <c r="V17" s="19"/>
      <c r="W17" s="2"/>
      <c r="X17" s="2">
        <f t="shared" si="2"/>
        <v>-971.35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si="4"/>
        <v>0</v>
      </c>
      <c r="E18" s="2"/>
      <c r="F18" s="19"/>
      <c r="G18" s="2"/>
      <c r="H18" s="2">
        <f>--49.9</f>
        <v>49.9</v>
      </c>
      <c r="I18" s="2"/>
      <c r="J18" s="19"/>
      <c r="K18" s="2"/>
      <c r="L18" s="2">
        <f t="shared" si="0"/>
        <v>-49.9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--3912.58</f>
        <v>3912.58</v>
      </c>
      <c r="U18" s="2"/>
      <c r="V18" s="19"/>
      <c r="W18" s="2"/>
      <c r="X18" s="2">
        <f t="shared" si="2"/>
        <v>-3912.58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--19.9</f>
        <v>19.899999999999999</v>
      </c>
      <c r="I19" s="2"/>
      <c r="J19" s="19"/>
      <c r="K19" s="2"/>
      <c r="L19" s="2">
        <f t="shared" si="0"/>
        <v>-19.899999999999999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--177.09</f>
        <v>177.09</v>
      </c>
      <c r="U19" s="2"/>
      <c r="V19" s="19"/>
      <c r="W19" s="2"/>
      <c r="X19" s="2">
        <f t="shared" si="2"/>
        <v>-177.09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 t="shared" si="4"/>
        <v>0</v>
      </c>
      <c r="E20" s="2"/>
      <c r="F20" s="19"/>
      <c r="G20" s="2"/>
      <c r="H20" s="2">
        <f>-24.65</f>
        <v>-24.65</v>
      </c>
      <c r="I20" s="2"/>
      <c r="J20" s="19"/>
      <c r="K20" s="2"/>
      <c r="L20" s="2">
        <f t="shared" si="0"/>
        <v>24.65</v>
      </c>
      <c r="M20" s="2"/>
      <c r="N20" s="19">
        <f t="shared" si="1"/>
        <v>-1</v>
      </c>
      <c r="O20" s="11"/>
      <c r="P20" s="2">
        <f>--457.5</f>
        <v>457.5</v>
      </c>
      <c r="Q20" s="2"/>
      <c r="R20" s="19"/>
      <c r="S20" s="2"/>
      <c r="T20" s="2">
        <f>--152.75</f>
        <v>152.75</v>
      </c>
      <c r="U20" s="2"/>
      <c r="V20" s="19"/>
      <c r="W20" s="2"/>
      <c r="X20" s="2">
        <f t="shared" si="2"/>
        <v>304.75</v>
      </c>
      <c r="Y20" s="2"/>
      <c r="Z20" s="19">
        <f t="shared" si="3"/>
        <v>1.9950900163666121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 t="shared" si="4"/>
        <v>0</v>
      </c>
      <c r="E21" s="2"/>
      <c r="F21" s="19"/>
      <c r="G21" s="2"/>
      <c r="H21" s="2">
        <f>--1589.5</f>
        <v>1589.5</v>
      </c>
      <c r="I21" s="2"/>
      <c r="J21" s="19"/>
      <c r="K21" s="2"/>
      <c r="L21" s="2">
        <f t="shared" si="0"/>
        <v>-1589.5</v>
      </c>
      <c r="M21" s="2"/>
      <c r="N21" s="19">
        <f t="shared" si="1"/>
        <v>-1</v>
      </c>
      <c r="O21" s="11"/>
      <c r="P21" s="2">
        <f>--5.98</f>
        <v>5.98</v>
      </c>
      <c r="Q21" s="2"/>
      <c r="R21" s="19"/>
      <c r="S21" s="2"/>
      <c r="T21" s="2">
        <f>--2101.5</f>
        <v>2101.5</v>
      </c>
      <c r="U21" s="2"/>
      <c r="V21" s="19"/>
      <c r="W21" s="2"/>
      <c r="X21" s="2">
        <f t="shared" si="2"/>
        <v>-2095.52</v>
      </c>
      <c r="Y21" s="2"/>
      <c r="Z21" s="19">
        <f t="shared" si="3"/>
        <v>-0.99715441351415657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--49.7</f>
        <v>49.7</v>
      </c>
      <c r="E22" s="2"/>
      <c r="F22" s="19"/>
      <c r="G22" s="2"/>
      <c r="H22" s="2">
        <f>--34744.75</f>
        <v>34744.75</v>
      </c>
      <c r="I22" s="2"/>
      <c r="J22" s="19"/>
      <c r="K22" s="2"/>
      <c r="L22" s="2">
        <f t="shared" si="0"/>
        <v>-34695.050000000003</v>
      </c>
      <c r="M22" s="2"/>
      <c r="N22" s="19">
        <f t="shared" si="1"/>
        <v>-0.99856956806424002</v>
      </c>
      <c r="O22" s="11"/>
      <c r="P22" s="2">
        <f>--65.2</f>
        <v>65.2</v>
      </c>
      <c r="Q22" s="2"/>
      <c r="R22" s="19"/>
      <c r="S22" s="2"/>
      <c r="T22" s="2">
        <f>--50093.5</f>
        <v>50093.5</v>
      </c>
      <c r="U22" s="2"/>
      <c r="V22" s="19"/>
      <c r="W22" s="2"/>
      <c r="X22" s="2">
        <f t="shared" si="2"/>
        <v>-50028.3</v>
      </c>
      <c r="Y22" s="2"/>
      <c r="Z22" s="19">
        <f t="shared" si="3"/>
        <v>-0.99869843392855362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--24</f>
        <v>24</v>
      </c>
      <c r="E23" s="2"/>
      <c r="F23" s="19"/>
      <c r="G23" s="2"/>
      <c r="H23" s="2">
        <f>--344.5</f>
        <v>344.5</v>
      </c>
      <c r="I23" s="2"/>
      <c r="J23" s="19"/>
      <c r="K23" s="2"/>
      <c r="L23" s="2">
        <f t="shared" si="0"/>
        <v>-320.5</v>
      </c>
      <c r="M23" s="2"/>
      <c r="N23" s="19">
        <f t="shared" si="1"/>
        <v>-0.93033381712626995</v>
      </c>
      <c r="O23" s="11"/>
      <c r="P23" s="2">
        <f>--48</f>
        <v>48</v>
      </c>
      <c r="Q23" s="2"/>
      <c r="R23" s="19"/>
      <c r="S23" s="2"/>
      <c r="T23" s="2">
        <f>--414.9</f>
        <v>414.9</v>
      </c>
      <c r="U23" s="2"/>
      <c r="V23" s="19"/>
      <c r="W23" s="2"/>
      <c r="X23" s="2">
        <f t="shared" si="2"/>
        <v>-366.9</v>
      </c>
      <c r="Y23" s="2"/>
      <c r="Z23" s="19">
        <f t="shared" si="3"/>
        <v>-0.88430947216196676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-234.3</f>
        <v>-234.3</v>
      </c>
      <c r="E24" s="2"/>
      <c r="F24" s="19"/>
      <c r="G24" s="2"/>
      <c r="H24" s="2">
        <f>-150.05</f>
        <v>-150.05000000000001</v>
      </c>
      <c r="I24" s="2"/>
      <c r="J24" s="19"/>
      <c r="K24" s="2"/>
      <c r="L24" s="2">
        <f t="shared" si="0"/>
        <v>-84.25</v>
      </c>
      <c r="M24" s="2"/>
      <c r="N24" s="19">
        <f t="shared" si="1"/>
        <v>0.5614795068310563</v>
      </c>
      <c r="O24" s="11"/>
      <c r="P24" s="2">
        <f>-755.75</f>
        <v>-755.75</v>
      </c>
      <c r="Q24" s="2"/>
      <c r="R24" s="19"/>
      <c r="S24" s="2"/>
      <c r="T24" s="2">
        <f>-613.75</f>
        <v>-613.75</v>
      </c>
      <c r="U24" s="2"/>
      <c r="V24" s="19"/>
      <c r="W24" s="2"/>
      <c r="X24" s="2">
        <f t="shared" si="2"/>
        <v>-142</v>
      </c>
      <c r="Y24" s="2"/>
      <c r="Z24" s="19">
        <f t="shared" si="3"/>
        <v>0.23136456211812628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7" si="6">0</f>
        <v>0</v>
      </c>
      <c r="E25" s="2"/>
      <c r="F25" s="19"/>
      <c r="G25" s="2"/>
      <c r="H25" s="2">
        <f t="shared" ref="H25:H27" si="7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8">0</f>
        <v>0</v>
      </c>
      <c r="Q25" s="2"/>
      <c r="R25" s="19"/>
      <c r="S25" s="2"/>
      <c r="T25" s="2">
        <f>-16.2</f>
        <v>-16.2</v>
      </c>
      <c r="U25" s="2"/>
      <c r="V25" s="19"/>
      <c r="W25" s="2"/>
      <c r="X25" s="2">
        <f t="shared" si="2"/>
        <v>16.2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6"/>
        <v>0</v>
      </c>
      <c r="E26" s="2"/>
      <c r="F26" s="19"/>
      <c r="G26" s="2"/>
      <c r="H26" s="2">
        <f t="shared" si="7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8"/>
        <v>0</v>
      </c>
      <c r="Q26" s="2"/>
      <c r="R26" s="19"/>
      <c r="S26" s="2"/>
      <c r="T26" s="2">
        <f>-369.15</f>
        <v>-369.15</v>
      </c>
      <c r="U26" s="2"/>
      <c r="V26" s="19"/>
      <c r="W26" s="2"/>
      <c r="X26" s="2">
        <f t="shared" si="2"/>
        <v>369.15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6"/>
        <v>0</v>
      </c>
      <c r="E27" s="2"/>
      <c r="F27" s="19"/>
      <c r="G27" s="2"/>
      <c r="H27" s="2">
        <f t="shared" si="7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8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6" t="s">
        <v>8</v>
      </c>
      <c r="C29" s="10"/>
      <c r="D29" s="4">
        <f>SUM(OSRRefD16x_0)</f>
        <v>0</v>
      </c>
      <c r="E29" s="4"/>
      <c r="F29" s="12">
        <f t="shared" ref="F29:F34" si="9">IF(D$12=0,0,D29/D$12)</f>
        <v>0</v>
      </c>
      <c r="G29" s="4"/>
      <c r="H29" s="4">
        <f>SUM(OSRRefH16x_0)</f>
        <v>26.160000000000046</v>
      </c>
      <c r="I29" s="4"/>
      <c r="J29" s="12">
        <f t="shared" ref="J29:J34" si="10">IF(H$12=0,0,H29/H$12)</f>
        <v>3.9824267806631321E-4</v>
      </c>
      <c r="K29" s="4"/>
      <c r="L29" s="4">
        <f t="shared" ref="L29:L34" si="11">+D29-H29</f>
        <v>-26.160000000000046</v>
      </c>
      <c r="M29" s="4"/>
      <c r="N29" s="12">
        <f t="shared" ref="N29:N34" si="12">IF(H29=0,0,L29/H29)</f>
        <v>-1</v>
      </c>
      <c r="O29" s="10"/>
      <c r="P29" s="4">
        <f>SUM(OSRRefP16x_0)</f>
        <v>0</v>
      </c>
      <c r="Q29" s="4"/>
      <c r="R29" s="12">
        <f t="shared" ref="R29:R34" si="13">IF(P$12=0,0,P29/P$12)</f>
        <v>0</v>
      </c>
      <c r="S29" s="4"/>
      <c r="T29" s="4">
        <f>SUM(OSRRefT16x_0)</f>
        <v>1891.58</v>
      </c>
      <c r="U29" s="4"/>
      <c r="V29" s="12">
        <f t="shared" ref="V29:V34" si="14">IF(T$12=0,0,T29/T$12)</f>
        <v>1.0999845084070968E-2</v>
      </c>
      <c r="W29" s="4"/>
      <c r="X29" s="4">
        <f t="shared" ref="X29:X34" si="15">+P29-T29</f>
        <v>-1891.58</v>
      </c>
      <c r="Y29" s="4"/>
      <c r="Z29" s="12">
        <f t="shared" ref="Z29:Z34" si="16">IF(T29=0,0,X29/T29)</f>
        <v>-1</v>
      </c>
    </row>
    <row r="30" spans="1:26" s="24" customFormat="1" hidden="1" outlineLevel="1" x14ac:dyDescent="0.25">
      <c r="A30" s="44"/>
      <c r="B30" s="11" t="str">
        <f>CONCATENATE("          ", "5092", " - ", "PURCHASES @ COST-GRAD MERCH")</f>
        <v xml:space="preserve">          5092 - PURCHASES @ COST-GRAD MERCH</v>
      </c>
      <c r="C30" s="11"/>
      <c r="D30" s="2"/>
      <c r="E30" s="2"/>
      <c r="F30" s="19">
        <f t="shared" si="9"/>
        <v>0</v>
      </c>
      <c r="G30" s="2"/>
      <c r="H30" s="2">
        <v>-615.04999999999995</v>
      </c>
      <c r="I30" s="2"/>
      <c r="J30" s="19">
        <f t="shared" si="10"/>
        <v>-9.3631177043075487E-3</v>
      </c>
      <c r="K30" s="2"/>
      <c r="L30" s="2">
        <f t="shared" si="11"/>
        <v>615.04999999999995</v>
      </c>
      <c r="M30" s="2"/>
      <c r="N30" s="19">
        <f t="shared" si="12"/>
        <v>-1</v>
      </c>
      <c r="O30" s="11"/>
      <c r="P30" s="2"/>
      <c r="Q30" s="2"/>
      <c r="R30" s="19">
        <f t="shared" si="13"/>
        <v>0</v>
      </c>
      <c r="S30" s="2"/>
      <c r="T30" s="2">
        <v>12.95</v>
      </c>
      <c r="U30" s="2"/>
      <c r="V30" s="19">
        <f t="shared" si="14"/>
        <v>7.5306354390889641E-5</v>
      </c>
      <c r="W30" s="2"/>
      <c r="X30" s="2">
        <f t="shared" si="15"/>
        <v>-12.95</v>
      </c>
      <c r="Y30" s="2"/>
      <c r="Z30" s="19">
        <f t="shared" si="16"/>
        <v>-1</v>
      </c>
    </row>
    <row r="31" spans="1:26" s="24" customFormat="1" hidden="1" outlineLevel="1" x14ac:dyDescent="0.25">
      <c r="A31" s="44"/>
      <c r="B31" s="11" t="str">
        <f>CONCATENATE("          ", "5095", " - ", "PURCHASES @ COST-CUSTOMER SERV")</f>
        <v xml:space="preserve">          5095 - PURCHASES @ COST-CUSTOMER SERV</v>
      </c>
      <c r="C31" s="11"/>
      <c r="D31" s="2"/>
      <c r="E31" s="2"/>
      <c r="F31" s="19">
        <f t="shared" si="9"/>
        <v>0</v>
      </c>
      <c r="G31" s="2"/>
      <c r="H31" s="2"/>
      <c r="I31" s="2"/>
      <c r="J31" s="19">
        <f t="shared" si="10"/>
        <v>0</v>
      </c>
      <c r="K31" s="2"/>
      <c r="L31" s="2">
        <f t="shared" si="11"/>
        <v>0</v>
      </c>
      <c r="M31" s="2"/>
      <c r="N31" s="19">
        <f t="shared" si="12"/>
        <v>0</v>
      </c>
      <c r="O31" s="11"/>
      <c r="P31" s="2"/>
      <c r="Q31" s="2"/>
      <c r="R31" s="19">
        <f t="shared" si="13"/>
        <v>0</v>
      </c>
      <c r="S31" s="2"/>
      <c r="T31" s="2">
        <v>11.85</v>
      </c>
      <c r="U31" s="2"/>
      <c r="V31" s="19">
        <f t="shared" si="14"/>
        <v>6.8909675639539948E-5</v>
      </c>
      <c r="W31" s="2"/>
      <c r="X31" s="2">
        <f t="shared" si="15"/>
        <v>-11.85</v>
      </c>
      <c r="Y31" s="2"/>
      <c r="Z31" s="19">
        <f t="shared" si="16"/>
        <v>-1</v>
      </c>
    </row>
    <row r="32" spans="1:26" s="24" customFormat="1" hidden="1" outlineLevel="1" x14ac:dyDescent="0.25">
      <c r="A32" s="44"/>
      <c r="B32" s="11" t="str">
        <f>CONCATENATE("          ", "5200", " - ", "PURCHASES OFFSET")</f>
        <v xml:space="preserve">          5200 - PURCHASES OFFSET</v>
      </c>
      <c r="C32" s="11"/>
      <c r="D32" s="2"/>
      <c r="E32" s="2"/>
      <c r="F32" s="19">
        <f t="shared" si="9"/>
        <v>0</v>
      </c>
      <c r="G32" s="2"/>
      <c r="H32" s="2">
        <v>604</v>
      </c>
      <c r="I32" s="2"/>
      <c r="J32" s="19">
        <f t="shared" si="10"/>
        <v>9.194899753518837E-3</v>
      </c>
      <c r="K32" s="2"/>
      <c r="L32" s="2">
        <f t="shared" si="11"/>
        <v>-604</v>
      </c>
      <c r="M32" s="2"/>
      <c r="N32" s="19">
        <f t="shared" si="12"/>
        <v>-1</v>
      </c>
      <c r="O32" s="11"/>
      <c r="P32" s="2"/>
      <c r="Q32" s="2"/>
      <c r="R32" s="19">
        <f t="shared" si="13"/>
        <v>0</v>
      </c>
      <c r="S32" s="2"/>
      <c r="T32" s="2">
        <v>-96</v>
      </c>
      <c r="U32" s="2"/>
      <c r="V32" s="19">
        <f t="shared" si="14"/>
        <v>-5.5825560011779195E-4</v>
      </c>
      <c r="W32" s="2"/>
      <c r="X32" s="2">
        <f t="shared" si="15"/>
        <v>96</v>
      </c>
      <c r="Y32" s="2"/>
      <c r="Z32" s="19">
        <f t="shared" si="16"/>
        <v>-1</v>
      </c>
    </row>
    <row r="33" spans="1:26" s="24" customFormat="1" hidden="1" outlineLevel="1" x14ac:dyDescent="0.25">
      <c r="A33" s="44"/>
      <c r="B33" s="11" t="str">
        <f>CONCATENATE("          ", "5300", " - ", "COG$ OFFSET")</f>
        <v xml:space="preserve">          5300 - COG$ OFFSET</v>
      </c>
      <c r="C33" s="11"/>
      <c r="D33" s="2"/>
      <c r="E33" s="2"/>
      <c r="F33" s="19">
        <f t="shared" si="9"/>
        <v>0</v>
      </c>
      <c r="G33" s="2"/>
      <c r="H33" s="2">
        <v>26</v>
      </c>
      <c r="I33" s="2"/>
      <c r="J33" s="19">
        <f t="shared" si="10"/>
        <v>3.9580694303226779E-4</v>
      </c>
      <c r="K33" s="2"/>
      <c r="L33" s="2">
        <f t="shared" si="11"/>
        <v>-26</v>
      </c>
      <c r="M33" s="2"/>
      <c r="N33" s="19">
        <f t="shared" si="12"/>
        <v>-1</v>
      </c>
      <c r="O33" s="11"/>
      <c r="P33" s="2"/>
      <c r="Q33" s="2"/>
      <c r="R33" s="19">
        <f t="shared" si="13"/>
        <v>0</v>
      </c>
      <c r="S33" s="2"/>
      <c r="T33" s="2">
        <v>1892</v>
      </c>
      <c r="U33" s="2"/>
      <c r="V33" s="19">
        <f t="shared" si="14"/>
        <v>1.1002287452321484E-2</v>
      </c>
      <c r="W33" s="2"/>
      <c r="X33" s="2">
        <f t="shared" si="15"/>
        <v>-1892</v>
      </c>
      <c r="Y33" s="2"/>
      <c r="Z33" s="19">
        <f t="shared" si="16"/>
        <v>-1</v>
      </c>
    </row>
    <row r="34" spans="1:26" s="24" customFormat="1" hidden="1" outlineLevel="1" x14ac:dyDescent="0.25">
      <c r="A34" s="44"/>
      <c r="B34" s="11" t="str">
        <f>CONCATENATE("          ", "5592", " - ", "FREIGHT-IN-GRAD MERCH")</f>
        <v xml:space="preserve">          5592 - FREIGHT-IN-GRAD MERCH</v>
      </c>
      <c r="C34" s="11"/>
      <c r="D34" s="2"/>
      <c r="E34" s="2"/>
      <c r="F34" s="19">
        <f t="shared" si="9"/>
        <v>0</v>
      </c>
      <c r="G34" s="2"/>
      <c r="H34" s="2">
        <v>11.21</v>
      </c>
      <c r="I34" s="2"/>
      <c r="J34" s="19">
        <f t="shared" si="10"/>
        <v>1.7065368582275855E-4</v>
      </c>
      <c r="K34" s="2"/>
      <c r="L34" s="2">
        <f t="shared" si="11"/>
        <v>-11.21</v>
      </c>
      <c r="M34" s="2"/>
      <c r="N34" s="19">
        <f t="shared" si="12"/>
        <v>-1</v>
      </c>
      <c r="O34" s="11"/>
      <c r="P34" s="2"/>
      <c r="Q34" s="2"/>
      <c r="R34" s="19">
        <f t="shared" si="13"/>
        <v>0</v>
      </c>
      <c r="S34" s="2"/>
      <c r="T34" s="2">
        <v>70.78</v>
      </c>
      <c r="U34" s="2"/>
      <c r="V34" s="19">
        <f t="shared" si="14"/>
        <v>4.1159720183684702E-4</v>
      </c>
      <c r="W34" s="2"/>
      <c r="X34" s="2">
        <f t="shared" si="15"/>
        <v>-70.78</v>
      </c>
      <c r="Y34" s="2"/>
      <c r="Z34" s="19">
        <f t="shared" si="16"/>
        <v>-1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5" t="s">
        <v>6</v>
      </c>
      <c r="C36" s="25"/>
      <c r="D36" s="22">
        <f>D12-D29</f>
        <v>9104.9600000000009</v>
      </c>
      <c r="E36" s="13"/>
      <c r="F36" s="21">
        <f>IF(D$12=0,0,D36/D$12)</f>
        <v>1</v>
      </c>
      <c r="G36" s="13"/>
      <c r="H36" s="22">
        <f>H12-H29</f>
        <v>65662.430000000008</v>
      </c>
      <c r="I36" s="13"/>
      <c r="J36" s="21">
        <f>IF(H$12=0,0,H36/H$12)</f>
        <v>0.99960175732193368</v>
      </c>
      <c r="K36" s="15"/>
      <c r="L36" s="22">
        <f>+D36-H36</f>
        <v>-56557.470000000008</v>
      </c>
      <c r="M36" s="15"/>
      <c r="N36" s="21">
        <f>IF(H36=0,0,L36/H36)</f>
        <v>-0.86133684056468829</v>
      </c>
      <c r="O36" s="26"/>
      <c r="P36" s="22">
        <f>P12-P29</f>
        <v>61477.1</v>
      </c>
      <c r="Q36" s="13"/>
      <c r="R36" s="21">
        <f>IF(P$12=0,0,P36/P$12)</f>
        <v>1</v>
      </c>
      <c r="S36" s="13"/>
      <c r="T36" s="22">
        <f>T12-T29</f>
        <v>170072.66</v>
      </c>
      <c r="U36" s="13"/>
      <c r="V36" s="21">
        <f>IF(T$12=0,0,T36/T$12)</f>
        <v>0.98900015491592908</v>
      </c>
      <c r="W36" s="15"/>
      <c r="X36" s="22">
        <f>+P36-T36</f>
        <v>-108595.56</v>
      </c>
      <c r="Y36" s="15"/>
      <c r="Z36" s="21">
        <f>IF(T36=0,0,X36/T36)</f>
        <v>-0.63852449888183083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6" t="s">
        <v>9</v>
      </c>
      <c r="C38" s="10"/>
      <c r="D38" s="20">
        <f>SUM(OSRRefD22x_0)</f>
        <v>38313.039999999994</v>
      </c>
      <c r="E38" s="20"/>
      <c r="F38" s="36">
        <f t="shared" ref="F38:F47" si="17">IF(D$12=0,0,D38/D$12)</f>
        <v>4.2079306224299708</v>
      </c>
      <c r="G38" s="20"/>
      <c r="H38" s="20">
        <f>SUM(OSRRefH22x_0)</f>
        <v>58502.80000000001</v>
      </c>
      <c r="I38" s="20"/>
      <c r="J38" s="36">
        <f t="shared" ref="J38:J47" si="18">IF(H$12=0,0,H38/H$12)</f>
        <v>0.89060824718569842</v>
      </c>
      <c r="K38" s="4"/>
      <c r="L38" s="20">
        <f t="shared" ref="L38:L47" si="19">+D38-H38</f>
        <v>-20189.760000000017</v>
      </c>
      <c r="M38" s="4"/>
      <c r="N38" s="36">
        <f t="shared" ref="N38:N47" si="20">IF(H38=0,0,L38/H38)</f>
        <v>-0.34510758459424185</v>
      </c>
      <c r="O38" s="10"/>
      <c r="P38" s="20">
        <f>SUM(OSRRefP22x_0)</f>
        <v>37056.379999999976</v>
      </c>
      <c r="Q38" s="20"/>
      <c r="R38" s="36">
        <f t="shared" ref="R38:R47" si="21">IF(P$12=0,0,P38/P$12)</f>
        <v>0.60276720925352656</v>
      </c>
      <c r="S38" s="20"/>
      <c r="T38" s="20">
        <f>SUM(OSRRefT22x_0)</f>
        <v>120315.00000000001</v>
      </c>
      <c r="U38" s="20"/>
      <c r="V38" s="36">
        <f t="shared" ref="V38:V47" si="22">IF(T$12=0,0,T38/T$12)</f>
        <v>0.69965127633512658</v>
      </c>
      <c r="W38" s="4"/>
      <c r="X38" s="20">
        <f t="shared" ref="X38:X47" si="23">+P38-T38</f>
        <v>-83258.620000000039</v>
      </c>
      <c r="Y38" s="4"/>
      <c r="Z38" s="36">
        <f t="shared" ref="Z38:Z47" si="24">IF(T38=0,0,X38/T38)</f>
        <v>-0.69200531936998733</v>
      </c>
    </row>
    <row r="39" spans="1:26" s="27" customFormat="1" outlineLevel="1" collapsed="1" x14ac:dyDescent="0.25">
      <c r="A39" s="29"/>
      <c r="B39" s="14" t="str">
        <f>CONCATENATE("     ","*Benefits                                         ")</f>
        <v xml:space="preserve">     *Benefits                                         </v>
      </c>
      <c r="C39" s="14"/>
      <c r="D39" s="1">
        <f>SUM(OSRRefD22_0x_0)</f>
        <v>9025.3599999999988</v>
      </c>
      <c r="E39" s="1"/>
      <c r="F39" s="5">
        <f t="shared" si="17"/>
        <v>0.99125751238885151</v>
      </c>
      <c r="G39" s="1"/>
      <c r="H39" s="1">
        <f>SUM(OSRRefH22_0x_0)</f>
        <v>7974.0300000000007</v>
      </c>
      <c r="I39" s="1"/>
      <c r="J39" s="5">
        <f t="shared" si="18"/>
        <v>0.12139140145952287</v>
      </c>
      <c r="K39" s="1"/>
      <c r="L39" s="1">
        <f t="shared" si="19"/>
        <v>1051.3299999999981</v>
      </c>
      <c r="M39" s="1"/>
      <c r="N39" s="5">
        <f t="shared" si="20"/>
        <v>0.13184424939459696</v>
      </c>
      <c r="O39" s="14"/>
      <c r="P39" s="1">
        <f>SUM(OSRRefP22_0x_0)</f>
        <v>25858.910000000003</v>
      </c>
      <c r="Q39" s="1"/>
      <c r="R39" s="5">
        <f t="shared" si="21"/>
        <v>0.42062670490312659</v>
      </c>
      <c r="S39" s="1"/>
      <c r="T39" s="1">
        <f>SUM(OSRRefT22_0x_0)</f>
        <v>23116.100000000002</v>
      </c>
      <c r="U39" s="1"/>
      <c r="V39" s="5">
        <f t="shared" si="22"/>
        <v>0.13442387789461346</v>
      </c>
      <c r="W39" s="1"/>
      <c r="X39" s="1">
        <f t="shared" si="23"/>
        <v>2742.8100000000013</v>
      </c>
      <c r="Y39" s="1"/>
      <c r="Z39" s="5">
        <f t="shared" si="24"/>
        <v>0.1186536656269873</v>
      </c>
    </row>
    <row r="40" spans="1:26" s="24" customFormat="1" hidden="1" outlineLevel="2" x14ac:dyDescent="0.25">
      <c r="A40" s="28"/>
      <c r="B40" s="11" t="str">
        <f>CONCATENATE("          ", "6111", " - ", "F.I.C.A.")</f>
        <v xml:space="preserve">          6111 - F.I.C.A.</v>
      </c>
      <c r="C40" s="11"/>
      <c r="D40" s="7">
        <v>1220.78</v>
      </c>
      <c r="E40" s="2"/>
      <c r="F40" s="6">
        <f t="shared" si="17"/>
        <v>0.1340785681650441</v>
      </c>
      <c r="G40" s="2"/>
      <c r="H40" s="7">
        <v>1053.6400000000001</v>
      </c>
      <c r="I40" s="2"/>
      <c r="J40" s="6">
        <f t="shared" si="18"/>
        <v>1.6039924132943025E-2</v>
      </c>
      <c r="K40" s="2"/>
      <c r="L40" s="7">
        <f t="shared" si="19"/>
        <v>167.13999999999987</v>
      </c>
      <c r="M40" s="2"/>
      <c r="N40" s="6">
        <f t="shared" si="20"/>
        <v>0.15863103147184984</v>
      </c>
      <c r="O40" s="11"/>
      <c r="P40" s="7">
        <v>3554.26</v>
      </c>
      <c r="Q40" s="2"/>
      <c r="R40" s="6">
        <f t="shared" si="21"/>
        <v>5.7814373156834013E-2</v>
      </c>
      <c r="S40" s="2"/>
      <c r="T40" s="7">
        <v>3542.57</v>
      </c>
      <c r="U40" s="2"/>
      <c r="V40" s="6">
        <f t="shared" si="22"/>
        <v>2.0600620221971733E-2</v>
      </c>
      <c r="W40" s="2"/>
      <c r="X40" s="7">
        <f t="shared" si="23"/>
        <v>11.690000000000055</v>
      </c>
      <c r="Y40" s="2"/>
      <c r="Z40" s="6">
        <f t="shared" si="24"/>
        <v>3.2998642228664653E-3</v>
      </c>
    </row>
    <row r="41" spans="1:26" s="24" customFormat="1" hidden="1" outlineLevel="2" x14ac:dyDescent="0.25">
      <c r="A41" s="28"/>
      <c r="B41" s="11" t="str">
        <f>CONCATENATE("          ", "6112", " - ", "COMPENSATION INSURANCE")</f>
        <v xml:space="preserve">          6112 - COMPENSATION INSURANCE</v>
      </c>
      <c r="C41" s="11"/>
      <c r="D41" s="7">
        <v>316.77</v>
      </c>
      <c r="E41" s="2"/>
      <c r="F41" s="6">
        <f t="shared" si="17"/>
        <v>3.4790927143007765E-2</v>
      </c>
      <c r="G41" s="2"/>
      <c r="H41" s="7">
        <v>238.77</v>
      </c>
      <c r="I41" s="2"/>
      <c r="J41" s="6">
        <f t="shared" si="18"/>
        <v>3.6348778379928686E-3</v>
      </c>
      <c r="K41" s="2"/>
      <c r="L41" s="7">
        <f t="shared" si="19"/>
        <v>77.999999999999972</v>
      </c>
      <c r="M41" s="2"/>
      <c r="N41" s="6">
        <f t="shared" si="20"/>
        <v>0.3266742053021735</v>
      </c>
      <c r="O41" s="11"/>
      <c r="P41" s="7">
        <v>922.34</v>
      </c>
      <c r="Q41" s="2"/>
      <c r="R41" s="6">
        <f t="shared" si="21"/>
        <v>1.5002984851269822E-2</v>
      </c>
      <c r="S41" s="2"/>
      <c r="T41" s="7">
        <v>641.23</v>
      </c>
      <c r="U41" s="2"/>
      <c r="V41" s="6">
        <f t="shared" si="22"/>
        <v>3.7288566506617892E-3</v>
      </c>
      <c r="W41" s="2"/>
      <c r="X41" s="7">
        <f t="shared" si="23"/>
        <v>281.11</v>
      </c>
      <c r="Y41" s="2"/>
      <c r="Z41" s="6">
        <f t="shared" si="24"/>
        <v>0.43839184068119086</v>
      </c>
    </row>
    <row r="42" spans="1:26" s="24" customFormat="1" hidden="1" outlineLevel="2" x14ac:dyDescent="0.25">
      <c r="A42" s="28"/>
      <c r="B42" s="11" t="str">
        <f>CONCATENATE("          ", "6113", " - ", "GROUP INSURANCE")</f>
        <v xml:space="preserve">          6113 - GROUP INSURANCE</v>
      </c>
      <c r="C42" s="11"/>
      <c r="D42" s="7">
        <v>3423.78</v>
      </c>
      <c r="E42" s="2"/>
      <c r="F42" s="6">
        <f t="shared" si="17"/>
        <v>0.37603460092081675</v>
      </c>
      <c r="G42" s="2"/>
      <c r="H42" s="7">
        <v>3051.28</v>
      </c>
      <c r="I42" s="2"/>
      <c r="J42" s="6">
        <f t="shared" si="18"/>
        <v>4.6450684966749929E-2</v>
      </c>
      <c r="K42" s="2"/>
      <c r="L42" s="7">
        <f t="shared" si="19"/>
        <v>372.5</v>
      </c>
      <c r="M42" s="2"/>
      <c r="N42" s="6">
        <f t="shared" si="20"/>
        <v>0.12207991400330352</v>
      </c>
      <c r="O42" s="11"/>
      <c r="P42" s="7">
        <v>9469.99</v>
      </c>
      <c r="Q42" s="2"/>
      <c r="R42" s="6">
        <f t="shared" si="21"/>
        <v>0.15404093556787812</v>
      </c>
      <c r="S42" s="2"/>
      <c r="T42" s="7">
        <v>8534.86</v>
      </c>
      <c r="U42" s="2"/>
      <c r="V42" s="6">
        <f t="shared" si="22"/>
        <v>4.9631597825222272E-2</v>
      </c>
      <c r="W42" s="2"/>
      <c r="X42" s="7">
        <f t="shared" si="23"/>
        <v>935.1299999999992</v>
      </c>
      <c r="Y42" s="2"/>
      <c r="Z42" s="6">
        <f t="shared" si="24"/>
        <v>0.10956594484268038</v>
      </c>
    </row>
    <row r="43" spans="1:26" s="24" customFormat="1" hidden="1" outlineLevel="2" x14ac:dyDescent="0.25">
      <c r="A43" s="28"/>
      <c r="B43" s="11" t="str">
        <f>CONCATENATE("          ", "6114", " - ", "STATE UNEMPLOYMENT INSURANCE")</f>
        <v xml:space="preserve">          6114 - STATE UNEMPLOYMENT INSURANCE</v>
      </c>
      <c r="C43" s="11"/>
      <c r="D43" s="7">
        <v>44.52</v>
      </c>
      <c r="E43" s="2"/>
      <c r="F43" s="6">
        <f t="shared" si="17"/>
        <v>4.889642568446209E-3</v>
      </c>
      <c r="G43" s="2"/>
      <c r="H43" s="7">
        <v>47.03</v>
      </c>
      <c r="I43" s="2"/>
      <c r="J43" s="6">
        <f t="shared" si="18"/>
        <v>7.1595386656952129E-4</v>
      </c>
      <c r="K43" s="2"/>
      <c r="L43" s="7">
        <f t="shared" si="19"/>
        <v>-2.509999999999998</v>
      </c>
      <c r="M43" s="2"/>
      <c r="N43" s="6">
        <f t="shared" si="20"/>
        <v>-5.3370189240910013E-2</v>
      </c>
      <c r="O43" s="11"/>
      <c r="P43" s="7">
        <v>129.62</v>
      </c>
      <c r="Q43" s="2"/>
      <c r="R43" s="6">
        <f t="shared" si="21"/>
        <v>2.1084273656369608E-3</v>
      </c>
      <c r="S43" s="2"/>
      <c r="T43" s="7">
        <v>130.82</v>
      </c>
      <c r="U43" s="2"/>
      <c r="V43" s="6">
        <f t="shared" si="22"/>
        <v>7.6073955841051604E-4</v>
      </c>
      <c r="W43" s="2"/>
      <c r="X43" s="7">
        <f t="shared" si="23"/>
        <v>-1.1999999999999886</v>
      </c>
      <c r="Y43" s="2"/>
      <c r="Z43" s="6">
        <f t="shared" si="24"/>
        <v>-9.1729093410792585E-3</v>
      </c>
    </row>
    <row r="44" spans="1:26" s="24" customFormat="1" hidden="1" outlineLevel="2" x14ac:dyDescent="0.25">
      <c r="A44" s="28"/>
      <c r="B44" s="11" t="str">
        <f>CONCATENATE("          ", "6115", " - ", "P.E.R.S.")</f>
        <v xml:space="preserve">          6115 - P.E.R.S.</v>
      </c>
      <c r="C44" s="11"/>
      <c r="D44" s="7">
        <v>1614.45</v>
      </c>
      <c r="E44" s="2"/>
      <c r="F44" s="6">
        <f t="shared" si="17"/>
        <v>0.17731544125399781</v>
      </c>
      <c r="G44" s="2"/>
      <c r="H44" s="7">
        <v>1187.75</v>
      </c>
      <c r="I44" s="2"/>
      <c r="J44" s="6">
        <f t="shared" si="18"/>
        <v>1.8081526791791386E-2</v>
      </c>
      <c r="K44" s="2"/>
      <c r="L44" s="7">
        <f t="shared" si="19"/>
        <v>426.70000000000005</v>
      </c>
      <c r="M44" s="2"/>
      <c r="N44" s="6">
        <f t="shared" si="20"/>
        <v>0.35925068406651234</v>
      </c>
      <c r="O44" s="11"/>
      <c r="P44" s="7">
        <v>5295.36</v>
      </c>
      <c r="Q44" s="2"/>
      <c r="R44" s="6">
        <f t="shared" si="21"/>
        <v>8.6135487848320758E-2</v>
      </c>
      <c r="S44" s="2"/>
      <c r="T44" s="7">
        <v>3501.13</v>
      </c>
      <c r="U44" s="2"/>
      <c r="V44" s="6">
        <f t="shared" si="22"/>
        <v>2.0359639887920885E-2</v>
      </c>
      <c r="W44" s="2"/>
      <c r="X44" s="7">
        <f t="shared" si="23"/>
        <v>1794.2299999999996</v>
      </c>
      <c r="Y44" s="2"/>
      <c r="Z44" s="6">
        <f t="shared" si="24"/>
        <v>0.51247168771225271</v>
      </c>
    </row>
    <row r="45" spans="1:26" s="24" customFormat="1" hidden="1" outlineLevel="2" x14ac:dyDescent="0.25">
      <c r="A45" s="28"/>
      <c r="B45" s="11" t="str">
        <f>CONCATENATE("          ", "6118", " - ", "VACATION")</f>
        <v xml:space="preserve">          6118 - VACATION</v>
      </c>
      <c r="C45" s="11"/>
      <c r="D45" s="7">
        <v>1216.0999999999999</v>
      </c>
      <c r="E45" s="2"/>
      <c r="F45" s="6">
        <f t="shared" si="17"/>
        <v>0.13356456261202682</v>
      </c>
      <c r="G45" s="2"/>
      <c r="H45" s="7">
        <v>1236.01</v>
      </c>
      <c r="I45" s="2"/>
      <c r="J45" s="6">
        <f t="shared" si="18"/>
        <v>1.8816205371435128E-2</v>
      </c>
      <c r="K45" s="2"/>
      <c r="L45" s="7">
        <f t="shared" si="19"/>
        <v>-19.910000000000082</v>
      </c>
      <c r="M45" s="2"/>
      <c r="N45" s="6">
        <f t="shared" si="20"/>
        <v>-1.6108283913560638E-2</v>
      </c>
      <c r="O45" s="11"/>
      <c r="P45" s="7">
        <v>3411.08</v>
      </c>
      <c r="Q45" s="2"/>
      <c r="R45" s="6">
        <f t="shared" si="21"/>
        <v>5.5485375855399817E-2</v>
      </c>
      <c r="S45" s="2"/>
      <c r="T45" s="7">
        <v>3793.07</v>
      </c>
      <c r="U45" s="2"/>
      <c r="V45" s="6">
        <f t="shared" si="22"/>
        <v>2.2057318428529097E-2</v>
      </c>
      <c r="W45" s="2"/>
      <c r="X45" s="7">
        <f t="shared" si="23"/>
        <v>-381.99000000000024</v>
      </c>
      <c r="Y45" s="2"/>
      <c r="Z45" s="6">
        <f t="shared" si="24"/>
        <v>-0.10070734260111208</v>
      </c>
    </row>
    <row r="46" spans="1:26" s="24" customFormat="1" hidden="1" outlineLevel="2" x14ac:dyDescent="0.25">
      <c r="A46" s="28"/>
      <c r="B46" s="11" t="str">
        <f>CONCATENATE("          ", "6119", " - ", "SICK LEAVE")</f>
        <v xml:space="preserve">          6119 - SICK LEAVE</v>
      </c>
      <c r="C46" s="11"/>
      <c r="D46" s="7">
        <v>738.5</v>
      </c>
      <c r="E46" s="2"/>
      <c r="F46" s="6">
        <f t="shared" si="17"/>
        <v>8.1109636945137592E-2</v>
      </c>
      <c r="G46" s="2"/>
      <c r="H46" s="7">
        <v>809.89</v>
      </c>
      <c r="I46" s="2"/>
      <c r="J46" s="6">
        <f t="shared" si="18"/>
        <v>1.2329234042015514E-2</v>
      </c>
      <c r="K46" s="2"/>
      <c r="L46" s="7">
        <f t="shared" si="19"/>
        <v>-71.389999999999986</v>
      </c>
      <c r="M46" s="2"/>
      <c r="N46" s="6">
        <f t="shared" si="20"/>
        <v>-8.8147773154378981E-2</v>
      </c>
      <c r="O46" s="11"/>
      <c r="P46" s="7">
        <v>2109.52</v>
      </c>
      <c r="Q46" s="2"/>
      <c r="R46" s="6">
        <f t="shared" si="21"/>
        <v>3.431391526275638E-2</v>
      </c>
      <c r="S46" s="2"/>
      <c r="T46" s="7">
        <v>2236.9699999999998</v>
      </c>
      <c r="U46" s="2"/>
      <c r="V46" s="6">
        <f t="shared" si="22"/>
        <v>1.3008344060369759E-2</v>
      </c>
      <c r="W46" s="2"/>
      <c r="X46" s="7">
        <f t="shared" si="23"/>
        <v>-127.44999999999982</v>
      </c>
      <c r="Y46" s="2"/>
      <c r="Z46" s="6">
        <f t="shared" si="24"/>
        <v>-5.6974389464319965E-2</v>
      </c>
    </row>
    <row r="47" spans="1:26" s="24" customFormat="1" hidden="1" outlineLevel="2" x14ac:dyDescent="0.25">
      <c r="A47" s="28"/>
      <c r="B47" s="11" t="str">
        <f>CONCATENATE("          ", "6156", " - ", "EMPLOYEE MEALS")</f>
        <v xml:space="preserve">          6156 - EMPLOYEE MEALS</v>
      </c>
      <c r="C47" s="11"/>
      <c r="D47" s="7">
        <v>450.46</v>
      </c>
      <c r="E47" s="2"/>
      <c r="F47" s="6">
        <f t="shared" si="17"/>
        <v>4.9474132780374644E-2</v>
      </c>
      <c r="G47" s="2"/>
      <c r="H47" s="7">
        <v>349.66</v>
      </c>
      <c r="I47" s="2"/>
      <c r="J47" s="6">
        <f t="shared" si="18"/>
        <v>5.322994450025491E-3</v>
      </c>
      <c r="K47" s="2"/>
      <c r="L47" s="7">
        <f t="shared" si="19"/>
        <v>100.79999999999995</v>
      </c>
      <c r="M47" s="2"/>
      <c r="N47" s="6">
        <f t="shared" si="20"/>
        <v>0.28828004347080005</v>
      </c>
      <c r="O47" s="11"/>
      <c r="P47" s="7">
        <v>966.74</v>
      </c>
      <c r="Q47" s="2"/>
      <c r="R47" s="6">
        <f t="shared" si="21"/>
        <v>1.5725204995030672E-2</v>
      </c>
      <c r="S47" s="2"/>
      <c r="T47" s="7">
        <v>735.45</v>
      </c>
      <c r="U47" s="2"/>
      <c r="V47" s="6">
        <f t="shared" si="22"/>
        <v>4.2767612615273974E-3</v>
      </c>
      <c r="W47" s="2"/>
      <c r="X47" s="7">
        <f t="shared" si="23"/>
        <v>231.28999999999996</v>
      </c>
      <c r="Y47" s="2"/>
      <c r="Z47" s="6">
        <f t="shared" si="24"/>
        <v>0.3144877286015364</v>
      </c>
    </row>
    <row r="48" spans="1:26" s="27" customFormat="1" outlineLevel="1" collapsed="1" x14ac:dyDescent="0.25">
      <c r="A48" s="29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15984.94</v>
      </c>
      <c r="E48" s="1"/>
      <c r="F48" s="5">
        <f t="shared" ref="F48:F52" si="25">IF(D$12=0,0,D48/D$12)</f>
        <v>1.755629898428988</v>
      </c>
      <c r="G48" s="1"/>
      <c r="H48" s="1">
        <f>SUM(OSRRefH22_1x_0)</f>
        <v>18204.34</v>
      </c>
      <c r="I48" s="1"/>
      <c r="J48" s="5">
        <f t="shared" ref="J48:J52" si="26">IF(H$12=0,0,H48/H$12)</f>
        <v>0.27713092943538592</v>
      </c>
      <c r="K48" s="1"/>
      <c r="L48" s="1">
        <f t="shared" ref="L48:L52" si="27">+D48-H48</f>
        <v>-2219.3999999999996</v>
      </c>
      <c r="M48" s="1"/>
      <c r="N48" s="5">
        <f t="shared" ref="N48:N52" si="28">IF(H48=0,0,L48/H48)</f>
        <v>-0.12191598267226385</v>
      </c>
      <c r="O48" s="14"/>
      <c r="P48" s="1">
        <f>SUM(OSRRefP22_1x_0)</f>
        <v>44550.659999999996</v>
      </c>
      <c r="Q48" s="1"/>
      <c r="R48" s="5">
        <f t="shared" ref="R48:R52" si="29">IF(P$12=0,0,P48/P$12)</f>
        <v>0.72467081238379816</v>
      </c>
      <c r="S48" s="1"/>
      <c r="T48" s="1">
        <f>SUM(OSRRefT22_1x_0)</f>
        <v>54248.100000000006</v>
      </c>
      <c r="U48" s="1"/>
      <c r="V48" s="5">
        <f t="shared" ref="V48:V52" si="30">IF(T$12=0,0,T48/T$12)</f>
        <v>0.31546151688281243</v>
      </c>
      <c r="W48" s="1"/>
      <c r="X48" s="1">
        <f t="shared" ref="X48:X52" si="31">+P48-T48</f>
        <v>-9697.4400000000096</v>
      </c>
      <c r="Y48" s="1"/>
      <c r="Z48" s="5">
        <f t="shared" ref="Z48:Z52" si="32">IF(T48=0,0,X48/T48)</f>
        <v>-0.17876091512882494</v>
      </c>
    </row>
    <row r="49" spans="1:26" s="24" customFormat="1" hidden="1" outlineLevel="2" x14ac:dyDescent="0.25">
      <c r="A49" s="28"/>
      <c r="B49" s="11" t="str">
        <f>CONCATENATE("          ", "6002", " - ", "STAFF SALARIES")</f>
        <v xml:space="preserve">          6002 - STAFF SALARIES</v>
      </c>
      <c r="C49" s="11"/>
      <c r="D49" s="7">
        <v>14903.76</v>
      </c>
      <c r="E49" s="2"/>
      <c r="F49" s="6">
        <f t="shared" si="25"/>
        <v>1.6368836326573646</v>
      </c>
      <c r="G49" s="2"/>
      <c r="H49" s="7">
        <v>11858.2</v>
      </c>
      <c r="I49" s="2"/>
      <c r="J49" s="6">
        <f t="shared" si="26"/>
        <v>0.18052145737943223</v>
      </c>
      <c r="K49" s="2"/>
      <c r="L49" s="7">
        <f t="shared" si="27"/>
        <v>3045.5599999999995</v>
      </c>
      <c r="M49" s="2"/>
      <c r="N49" s="6">
        <f t="shared" si="28"/>
        <v>0.25683155959589138</v>
      </c>
      <c r="O49" s="11"/>
      <c r="P49" s="7">
        <v>42013.96</v>
      </c>
      <c r="Q49" s="2"/>
      <c r="R49" s="6">
        <f t="shared" si="29"/>
        <v>0.68340829349465082</v>
      </c>
      <c r="S49" s="2"/>
      <c r="T49" s="7">
        <v>36786.97</v>
      </c>
      <c r="U49" s="2"/>
      <c r="V49" s="6">
        <f t="shared" si="30"/>
        <v>0.21392220847776261</v>
      </c>
      <c r="W49" s="2"/>
      <c r="X49" s="7">
        <f t="shared" si="31"/>
        <v>5226.989999999998</v>
      </c>
      <c r="Y49" s="2"/>
      <c r="Z49" s="6">
        <f t="shared" si="32"/>
        <v>0.1420880817311129</v>
      </c>
    </row>
    <row r="50" spans="1:26" s="24" customFormat="1" hidden="1" outlineLevel="2" x14ac:dyDescent="0.25">
      <c r="A50" s="28"/>
      <c r="B50" s="11" t="str">
        <f>CONCATENATE("          ", "6005", " - ", "TEMPORARY WAGES-HOURLY")</f>
        <v xml:space="preserve">          6005 - TEMPORARY WAGES-HOURLY</v>
      </c>
      <c r="C50" s="11"/>
      <c r="D50" s="7"/>
      <c r="E50" s="2"/>
      <c r="F50" s="6">
        <f t="shared" si="25"/>
        <v>0</v>
      </c>
      <c r="G50" s="2"/>
      <c r="H50" s="7">
        <v>1690.5</v>
      </c>
      <c r="I50" s="2"/>
      <c r="J50" s="6">
        <f t="shared" si="26"/>
        <v>2.5735062969078796E-2</v>
      </c>
      <c r="K50" s="2"/>
      <c r="L50" s="7">
        <f t="shared" si="27"/>
        <v>-1690.5</v>
      </c>
      <c r="M50" s="2"/>
      <c r="N50" s="6">
        <f t="shared" si="28"/>
        <v>-1</v>
      </c>
      <c r="O50" s="11"/>
      <c r="P50" s="7">
        <v>383.25</v>
      </c>
      <c r="Q50" s="2"/>
      <c r="R50" s="6">
        <f t="shared" si="29"/>
        <v>6.234028605773532E-3</v>
      </c>
      <c r="S50" s="2"/>
      <c r="T50" s="7">
        <v>4182.5</v>
      </c>
      <c r="U50" s="2"/>
      <c r="V50" s="6">
        <f t="shared" si="30"/>
        <v>2.4321917161381927E-2</v>
      </c>
      <c r="W50" s="2"/>
      <c r="X50" s="7">
        <f t="shared" si="31"/>
        <v>-3799.25</v>
      </c>
      <c r="Y50" s="2"/>
      <c r="Z50" s="6">
        <f t="shared" si="32"/>
        <v>-0.90836820083682013</v>
      </c>
    </row>
    <row r="51" spans="1:26" s="24" customFormat="1" hidden="1" outlineLevel="2" x14ac:dyDescent="0.25">
      <c r="A51" s="28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5"/>
        <v>0</v>
      </c>
      <c r="G51" s="2"/>
      <c r="H51" s="7"/>
      <c r="I51" s="2"/>
      <c r="J51" s="6">
        <f t="shared" si="26"/>
        <v>0</v>
      </c>
      <c r="K51" s="2"/>
      <c r="L51" s="7">
        <f t="shared" si="27"/>
        <v>0</v>
      </c>
      <c r="M51" s="2"/>
      <c r="N51" s="6">
        <f t="shared" si="28"/>
        <v>0</v>
      </c>
      <c r="O51" s="11"/>
      <c r="P51" s="7"/>
      <c r="Q51" s="2"/>
      <c r="R51" s="6">
        <f t="shared" si="29"/>
        <v>0</v>
      </c>
      <c r="S51" s="2"/>
      <c r="T51" s="7">
        <v>57.37</v>
      </c>
      <c r="U51" s="2"/>
      <c r="V51" s="6">
        <f t="shared" si="30"/>
        <v>3.3361587269539294E-4</v>
      </c>
      <c r="W51" s="2"/>
      <c r="X51" s="7">
        <f t="shared" si="31"/>
        <v>-57.37</v>
      </c>
      <c r="Y51" s="2"/>
      <c r="Z51" s="6">
        <f t="shared" si="32"/>
        <v>-1</v>
      </c>
    </row>
    <row r="52" spans="1:26" s="24" customFormat="1" hidden="1" outlineLevel="2" x14ac:dyDescent="0.25">
      <c r="A52" s="28"/>
      <c r="B52" s="11" t="str">
        <f>CONCATENATE("          ", "6007", " - ", "STUDENT HOURLY")</f>
        <v xml:space="preserve">          6007 - STUDENT HOURLY</v>
      </c>
      <c r="C52" s="11"/>
      <c r="D52" s="7">
        <v>1081.18</v>
      </c>
      <c r="E52" s="2"/>
      <c r="F52" s="6">
        <f t="shared" si="25"/>
        <v>0.11874626577162338</v>
      </c>
      <c r="G52" s="2"/>
      <c r="H52" s="7">
        <v>4655.6400000000003</v>
      </c>
      <c r="I52" s="2"/>
      <c r="J52" s="6">
        <f t="shared" si="26"/>
        <v>7.0874409086874895E-2</v>
      </c>
      <c r="K52" s="2"/>
      <c r="L52" s="7">
        <f t="shared" si="27"/>
        <v>-3574.46</v>
      </c>
      <c r="M52" s="2"/>
      <c r="N52" s="6">
        <f t="shared" si="28"/>
        <v>-0.76776984474744603</v>
      </c>
      <c r="O52" s="11"/>
      <c r="P52" s="7">
        <v>2153.4499999999998</v>
      </c>
      <c r="Q52" s="2"/>
      <c r="R52" s="6">
        <f t="shared" si="29"/>
        <v>3.5028490283373806E-2</v>
      </c>
      <c r="S52" s="2"/>
      <c r="T52" s="7">
        <v>13221.26</v>
      </c>
      <c r="U52" s="2"/>
      <c r="V52" s="6">
        <f t="shared" si="30"/>
        <v>7.6883775370972476E-2</v>
      </c>
      <c r="W52" s="2"/>
      <c r="X52" s="7">
        <f t="shared" si="31"/>
        <v>-11067.810000000001</v>
      </c>
      <c r="Y52" s="2"/>
      <c r="Z52" s="6">
        <f t="shared" si="32"/>
        <v>-0.83712218048809273</v>
      </c>
    </row>
    <row r="53" spans="1:26" s="27" customFormat="1" outlineLevel="1" collapsed="1" x14ac:dyDescent="0.25">
      <c r="A53" s="29"/>
      <c r="B53" s="14" t="str">
        <f>CONCATENATE("     ","Advertising/Promo                                 ")</f>
        <v xml:space="preserve">     Advertising/Promo                                 </v>
      </c>
      <c r="C53" s="14"/>
      <c r="D53" s="1">
        <f>SUM(OSRRefD22_2x_0)</f>
        <v>0</v>
      </c>
      <c r="E53" s="1"/>
      <c r="F53" s="5">
        <f t="shared" ref="F53:F63" si="33">IF(D$12=0,0,D53/D$12)</f>
        <v>0</v>
      </c>
      <c r="G53" s="1"/>
      <c r="H53" s="1">
        <f>SUM(OSRRefH22_2x_0)</f>
        <v>-857.46</v>
      </c>
      <c r="I53" s="1"/>
      <c r="J53" s="5">
        <f t="shared" ref="J53:J63" si="34">IF(H$12=0,0,H53/H$12)</f>
        <v>-1.3053408514324938E-2</v>
      </c>
      <c r="K53" s="1"/>
      <c r="L53" s="1">
        <f t="shared" ref="L53:L63" si="35">+D53-H53</f>
        <v>857.46</v>
      </c>
      <c r="M53" s="1"/>
      <c r="N53" s="5">
        <f t="shared" ref="N53:N63" si="36">IF(H53=0,0,L53/H53)</f>
        <v>-1</v>
      </c>
      <c r="O53" s="14"/>
      <c r="P53" s="1">
        <f>SUM(OSRRefP22_2x_0)</f>
        <v>0</v>
      </c>
      <c r="Q53" s="1"/>
      <c r="R53" s="5">
        <f t="shared" ref="R53:R63" si="37">IF(P$12=0,0,P53/P$12)</f>
        <v>0</v>
      </c>
      <c r="S53" s="1"/>
      <c r="T53" s="1">
        <f>SUM(OSRRefT22_2x_0)</f>
        <v>-857.46</v>
      </c>
      <c r="U53" s="1"/>
      <c r="V53" s="5">
        <f t="shared" ref="V53:V63" si="38">IF(T$12=0,0,T53/T$12)</f>
        <v>-4.9862692383021035E-3</v>
      </c>
      <c r="W53" s="1"/>
      <c r="X53" s="1">
        <f t="shared" ref="X53:X63" si="39">+P53-T53</f>
        <v>857.46</v>
      </c>
      <c r="Y53" s="1"/>
      <c r="Z53" s="5">
        <f t="shared" ref="Z53:Z63" si="40">IF(T53=0,0,X53/T53)</f>
        <v>-1</v>
      </c>
    </row>
    <row r="54" spans="1:26" s="24" customFormat="1" hidden="1" outlineLevel="2" x14ac:dyDescent="0.25">
      <c r="A54" s="28"/>
      <c r="B54" s="11" t="str">
        <f>CONCATENATE("          ", "6362", " - ", "ADVERTISING EXPENSE")</f>
        <v xml:space="preserve">          6362 - ADVERTISING EXPENSE</v>
      </c>
      <c r="C54" s="11"/>
      <c r="D54" s="7"/>
      <c r="E54" s="2"/>
      <c r="F54" s="6">
        <f t="shared" si="33"/>
        <v>0</v>
      </c>
      <c r="G54" s="2"/>
      <c r="H54" s="7">
        <v>-857.46</v>
      </c>
      <c r="I54" s="2"/>
      <c r="J54" s="6">
        <f t="shared" si="34"/>
        <v>-1.3053408514324938E-2</v>
      </c>
      <c r="K54" s="2"/>
      <c r="L54" s="7">
        <f t="shared" si="35"/>
        <v>857.46</v>
      </c>
      <c r="M54" s="2"/>
      <c r="N54" s="6">
        <f t="shared" si="36"/>
        <v>-1</v>
      </c>
      <c r="O54" s="11"/>
      <c r="P54" s="7"/>
      <c r="Q54" s="2"/>
      <c r="R54" s="6">
        <f t="shared" si="37"/>
        <v>0</v>
      </c>
      <c r="S54" s="2"/>
      <c r="T54" s="7">
        <v>-857.46</v>
      </c>
      <c r="U54" s="2"/>
      <c r="V54" s="6">
        <f t="shared" si="38"/>
        <v>-4.9862692383021035E-3</v>
      </c>
      <c r="W54" s="2"/>
      <c r="X54" s="7">
        <f t="shared" si="39"/>
        <v>857.46</v>
      </c>
      <c r="Y54" s="2"/>
      <c r="Z54" s="6">
        <f t="shared" si="40"/>
        <v>-1</v>
      </c>
    </row>
    <row r="55" spans="1:26" s="27" customFormat="1" outlineLevel="1" collapsed="1" x14ac:dyDescent="0.25">
      <c r="A55" s="29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SUM(OSRRefD22_3x_0)</f>
        <v>169.88</v>
      </c>
      <c r="E55" s="1"/>
      <c r="F55" s="5">
        <f t="shared" si="33"/>
        <v>1.8657962253540925E-2</v>
      </c>
      <c r="G55" s="1"/>
      <c r="H55" s="1">
        <f>SUM(OSRRefH22_3x_0)</f>
        <v>0</v>
      </c>
      <c r="I55" s="1"/>
      <c r="J55" s="5">
        <f t="shared" si="34"/>
        <v>0</v>
      </c>
      <c r="K55" s="1"/>
      <c r="L55" s="1">
        <f t="shared" si="35"/>
        <v>169.88</v>
      </c>
      <c r="M55" s="1"/>
      <c r="N55" s="5">
        <f t="shared" si="36"/>
        <v>0</v>
      </c>
      <c r="O55" s="14"/>
      <c r="P55" s="1">
        <f>SUM(OSRRefP22_3x_0)</f>
        <v>509.64</v>
      </c>
      <c r="Q55" s="1"/>
      <c r="R55" s="5">
        <f t="shared" si="37"/>
        <v>8.2899160825738363E-3</v>
      </c>
      <c r="S55" s="1"/>
      <c r="T55" s="1">
        <f>SUM(OSRRefT22_3x_0)</f>
        <v>0</v>
      </c>
      <c r="U55" s="1"/>
      <c r="V55" s="5">
        <f t="shared" si="38"/>
        <v>0</v>
      </c>
      <c r="W55" s="1"/>
      <c r="X55" s="1">
        <f t="shared" si="39"/>
        <v>509.64</v>
      </c>
      <c r="Y55" s="1"/>
      <c r="Z55" s="5">
        <f t="shared" si="40"/>
        <v>0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169.88</v>
      </c>
      <c r="E56" s="2"/>
      <c r="F56" s="6">
        <f t="shared" si="33"/>
        <v>1.8657962253540925E-2</v>
      </c>
      <c r="G56" s="2"/>
      <c r="H56" s="7"/>
      <c r="I56" s="2"/>
      <c r="J56" s="6">
        <f t="shared" si="34"/>
        <v>0</v>
      </c>
      <c r="K56" s="2"/>
      <c r="L56" s="7">
        <f t="shared" si="35"/>
        <v>169.88</v>
      </c>
      <c r="M56" s="2"/>
      <c r="N56" s="6">
        <f t="shared" si="36"/>
        <v>0</v>
      </c>
      <c r="O56" s="11"/>
      <c r="P56" s="7">
        <v>509.64</v>
      </c>
      <c r="Q56" s="2"/>
      <c r="R56" s="6">
        <f t="shared" si="37"/>
        <v>8.2899160825738363E-3</v>
      </c>
      <c r="S56" s="2"/>
      <c r="T56" s="7"/>
      <c r="U56" s="2"/>
      <c r="V56" s="6">
        <f t="shared" si="38"/>
        <v>0</v>
      </c>
      <c r="W56" s="2"/>
      <c r="X56" s="7">
        <f t="shared" si="39"/>
        <v>509.64</v>
      </c>
      <c r="Y56" s="2"/>
      <c r="Z56" s="6">
        <f t="shared" si="40"/>
        <v>0</v>
      </c>
    </row>
    <row r="57" spans="1:26" s="27" customFormat="1" outlineLevel="1" collapsed="1" x14ac:dyDescent="0.25">
      <c r="A57" s="29"/>
      <c r="B57" s="14" t="str">
        <f>CONCATENATE("     ","Discounts and Markdowns                           ")</f>
        <v xml:space="preserve">     Discounts and Markdowns                           </v>
      </c>
      <c r="C57" s="14"/>
      <c r="D57" s="1">
        <f>SUM(OSRRefD22_4x_0)</f>
        <v>0</v>
      </c>
      <c r="E57" s="1"/>
      <c r="F57" s="5">
        <f t="shared" si="33"/>
        <v>0</v>
      </c>
      <c r="G57" s="1"/>
      <c r="H57" s="1">
        <f>SUM(OSRRefH22_4x_0)</f>
        <v>140.38999999999999</v>
      </c>
      <c r="I57" s="1"/>
      <c r="J57" s="5">
        <f t="shared" si="34"/>
        <v>2.1372052589346182E-3</v>
      </c>
      <c r="K57" s="1"/>
      <c r="L57" s="1">
        <f t="shared" si="35"/>
        <v>-140.38999999999999</v>
      </c>
      <c r="M57" s="1"/>
      <c r="N57" s="5">
        <f t="shared" si="36"/>
        <v>-1</v>
      </c>
      <c r="O57" s="14"/>
      <c r="P57" s="1">
        <f>SUM(OSRRefP22_4x_0)</f>
        <v>0</v>
      </c>
      <c r="Q57" s="1"/>
      <c r="R57" s="5">
        <f t="shared" si="37"/>
        <v>0</v>
      </c>
      <c r="S57" s="1"/>
      <c r="T57" s="1">
        <f>SUM(OSRRefT22_4x_0)</f>
        <v>305.81</v>
      </c>
      <c r="U57" s="1"/>
      <c r="V57" s="5">
        <f t="shared" si="38"/>
        <v>1.7783348445002288E-3</v>
      </c>
      <c r="W57" s="1"/>
      <c r="X57" s="1">
        <f t="shared" si="39"/>
        <v>-305.81</v>
      </c>
      <c r="Y57" s="1"/>
      <c r="Z57" s="5">
        <f t="shared" si="40"/>
        <v>-1</v>
      </c>
    </row>
    <row r="58" spans="1:26" s="24" customFormat="1" hidden="1" outlineLevel="2" x14ac:dyDescent="0.25">
      <c r="A58" s="28"/>
      <c r="B58" s="11" t="str">
        <f>CONCATENATE("          ", "6382", " - ", "DISCOUNTS/MARK DOWNS")</f>
        <v xml:space="preserve">          6382 - DISCOUNTS/MARK DOWNS</v>
      </c>
      <c r="C58" s="11"/>
      <c r="D58" s="7"/>
      <c r="E58" s="2"/>
      <c r="F58" s="6">
        <f t="shared" si="33"/>
        <v>0</v>
      </c>
      <c r="G58" s="2"/>
      <c r="H58" s="7">
        <v>140.38999999999999</v>
      </c>
      <c r="I58" s="2"/>
      <c r="J58" s="6">
        <f t="shared" si="34"/>
        <v>2.1372052589346182E-3</v>
      </c>
      <c r="K58" s="2"/>
      <c r="L58" s="7">
        <f t="shared" si="35"/>
        <v>-140.38999999999999</v>
      </c>
      <c r="M58" s="2"/>
      <c r="N58" s="6">
        <f t="shared" si="36"/>
        <v>-1</v>
      </c>
      <c r="O58" s="11"/>
      <c r="P58" s="7"/>
      <c r="Q58" s="2"/>
      <c r="R58" s="6">
        <f t="shared" si="37"/>
        <v>0</v>
      </c>
      <c r="S58" s="2"/>
      <c r="T58" s="7">
        <v>305.81</v>
      </c>
      <c r="U58" s="2"/>
      <c r="V58" s="6">
        <f t="shared" si="38"/>
        <v>1.7783348445002288E-3</v>
      </c>
      <c r="W58" s="2"/>
      <c r="X58" s="7">
        <f t="shared" si="39"/>
        <v>-305.81</v>
      </c>
      <c r="Y58" s="2"/>
      <c r="Z58" s="6">
        <f t="shared" si="40"/>
        <v>-1</v>
      </c>
    </row>
    <row r="59" spans="1:26" s="27" customFormat="1" outlineLevel="1" collapsed="1" x14ac:dyDescent="0.25">
      <c r="A59" s="29"/>
      <c r="B59" s="14" t="str">
        <f>CONCATENATE("     ","Equipment Rental                                  ")</f>
        <v xml:space="preserve">     Equipment Rental                                  </v>
      </c>
      <c r="C59" s="14"/>
      <c r="D59" s="1">
        <f>SUM(OSRRefD22_5x_0)</f>
        <v>1205.6400000000001</v>
      </c>
      <c r="E59" s="1"/>
      <c r="F59" s="5">
        <f t="shared" si="33"/>
        <v>0.13241573823498401</v>
      </c>
      <c r="G59" s="1"/>
      <c r="H59" s="1">
        <f>SUM(OSRRefH22_5x_0)</f>
        <v>1205.6400000000001</v>
      </c>
      <c r="I59" s="1"/>
      <c r="J59" s="5">
        <f t="shared" si="34"/>
        <v>1.8353872415285515E-2</v>
      </c>
      <c r="K59" s="1"/>
      <c r="L59" s="1">
        <f t="shared" si="35"/>
        <v>0</v>
      </c>
      <c r="M59" s="1"/>
      <c r="N59" s="5">
        <f t="shared" si="36"/>
        <v>0</v>
      </c>
      <c r="O59" s="14"/>
      <c r="P59" s="1">
        <f>SUM(OSRRefP22_5x_0)</f>
        <v>3616.92</v>
      </c>
      <c r="Q59" s="1"/>
      <c r="R59" s="5">
        <f t="shared" si="37"/>
        <v>5.8833614467826235E-2</v>
      </c>
      <c r="S59" s="1"/>
      <c r="T59" s="1">
        <f>SUM(OSRRefT22_5x_0)</f>
        <v>3616.92</v>
      </c>
      <c r="U59" s="1"/>
      <c r="V59" s="5">
        <f t="shared" si="38"/>
        <v>2.1032977553937959E-2</v>
      </c>
      <c r="W59" s="1"/>
      <c r="X59" s="1">
        <f t="shared" si="39"/>
        <v>0</v>
      </c>
      <c r="Y59" s="1"/>
      <c r="Z59" s="5">
        <f t="shared" si="40"/>
        <v>0</v>
      </c>
    </row>
    <row r="60" spans="1:26" s="24" customFormat="1" hidden="1" outlineLevel="2" x14ac:dyDescent="0.25">
      <c r="A60" s="28"/>
      <c r="B60" s="11" t="str">
        <f>CONCATENATE("          ", "6351", " - ", "EQUIPMENT RENTAL")</f>
        <v xml:space="preserve">          6351 - EQUIPMENT RENTAL</v>
      </c>
      <c r="C60" s="11"/>
      <c r="D60" s="7">
        <v>1205.6400000000001</v>
      </c>
      <c r="E60" s="2"/>
      <c r="F60" s="6">
        <f t="shared" si="33"/>
        <v>0.13241573823498401</v>
      </c>
      <c r="G60" s="2"/>
      <c r="H60" s="7">
        <v>1205.6400000000001</v>
      </c>
      <c r="I60" s="2"/>
      <c r="J60" s="6">
        <f t="shared" si="34"/>
        <v>1.8353872415285515E-2</v>
      </c>
      <c r="K60" s="2"/>
      <c r="L60" s="7">
        <f t="shared" si="35"/>
        <v>0</v>
      </c>
      <c r="M60" s="2"/>
      <c r="N60" s="6">
        <f t="shared" si="36"/>
        <v>0</v>
      </c>
      <c r="O60" s="11"/>
      <c r="P60" s="7">
        <v>3616.92</v>
      </c>
      <c r="Q60" s="2"/>
      <c r="R60" s="6">
        <f t="shared" si="37"/>
        <v>5.8833614467826235E-2</v>
      </c>
      <c r="S60" s="2"/>
      <c r="T60" s="7">
        <v>3616.92</v>
      </c>
      <c r="U60" s="2"/>
      <c r="V60" s="6">
        <f t="shared" si="38"/>
        <v>2.1032977553937959E-2</v>
      </c>
      <c r="W60" s="2"/>
      <c r="X60" s="7">
        <f t="shared" si="39"/>
        <v>0</v>
      </c>
      <c r="Y60" s="2"/>
      <c r="Z60" s="6">
        <f t="shared" si="40"/>
        <v>0</v>
      </c>
    </row>
    <row r="61" spans="1:26" s="27" customFormat="1" outlineLevel="1" collapsed="1" x14ac:dyDescent="0.25">
      <c r="A61" s="29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SUM(OSRRefD22_6x_0)</f>
        <v>-6321.6000000000013</v>
      </c>
      <c r="E61" s="1"/>
      <c r="F61" s="5">
        <f t="shared" si="33"/>
        <v>-0.69430288546023278</v>
      </c>
      <c r="G61" s="1"/>
      <c r="H61" s="1">
        <f>SUM(OSRRefH22_6x_0)</f>
        <v>7286.9499999999989</v>
      </c>
      <c r="I61" s="1"/>
      <c r="J61" s="5">
        <f t="shared" si="34"/>
        <v>0.11093174628957628</v>
      </c>
      <c r="K61" s="1"/>
      <c r="L61" s="1">
        <f t="shared" si="35"/>
        <v>-13608.55</v>
      </c>
      <c r="M61" s="1"/>
      <c r="N61" s="5">
        <f t="shared" si="36"/>
        <v>-1.8675234494541615</v>
      </c>
      <c r="O61" s="14"/>
      <c r="P61" s="1">
        <f>SUM(OSRRefP22_6x_0)</f>
        <v>-82000.679999999993</v>
      </c>
      <c r="Q61" s="1"/>
      <c r="R61" s="5">
        <f t="shared" si="37"/>
        <v>-1.3338410562632264</v>
      </c>
      <c r="S61" s="1"/>
      <c r="T61" s="1">
        <f>SUM(OSRRefT22_6x_0)</f>
        <v>-8513.2200000000012</v>
      </c>
      <c r="U61" s="1"/>
      <c r="V61" s="5">
        <f t="shared" si="38"/>
        <v>-4.9505757708695725E-2</v>
      </c>
      <c r="W61" s="1"/>
      <c r="X61" s="1">
        <f t="shared" si="39"/>
        <v>-73487.459999999992</v>
      </c>
      <c r="Y61" s="1"/>
      <c r="Z61" s="5">
        <f t="shared" si="40"/>
        <v>8.6321579848752865</v>
      </c>
    </row>
    <row r="62" spans="1:26" s="24" customFormat="1" hidden="1" outlineLevel="2" x14ac:dyDescent="0.25">
      <c r="A62" s="28"/>
      <c r="B62" s="11" t="str">
        <f>CONCATENATE("          ", "6305", " - ", "FREIGHT OUT")</f>
        <v xml:space="preserve">          6305 - FREIGHT OUT</v>
      </c>
      <c r="C62" s="11"/>
      <c r="D62" s="7">
        <v>5262.44</v>
      </c>
      <c r="E62" s="2"/>
      <c r="F62" s="6">
        <f t="shared" si="33"/>
        <v>0.57797508171370315</v>
      </c>
      <c r="G62" s="2"/>
      <c r="H62" s="7">
        <v>8515.89</v>
      </c>
      <c r="I62" s="2"/>
      <c r="J62" s="6">
        <f t="shared" si="34"/>
        <v>0.12964032261919456</v>
      </c>
      <c r="K62" s="2"/>
      <c r="L62" s="7">
        <f t="shared" si="35"/>
        <v>-3253.45</v>
      </c>
      <c r="M62" s="2"/>
      <c r="N62" s="6">
        <f t="shared" si="36"/>
        <v>-0.38204462481314344</v>
      </c>
      <c r="O62" s="11"/>
      <c r="P62" s="7">
        <v>25040.79</v>
      </c>
      <c r="Q62" s="2"/>
      <c r="R62" s="6">
        <f t="shared" si="37"/>
        <v>0.40731898544336026</v>
      </c>
      <c r="S62" s="2"/>
      <c r="T62" s="7">
        <v>12129.32</v>
      </c>
      <c r="U62" s="2"/>
      <c r="V62" s="6">
        <f t="shared" si="38"/>
        <v>7.0533966829382663E-2</v>
      </c>
      <c r="W62" s="2"/>
      <c r="X62" s="7">
        <f t="shared" si="39"/>
        <v>12911.470000000001</v>
      </c>
      <c r="Y62" s="2"/>
      <c r="Z62" s="6">
        <f t="shared" si="40"/>
        <v>1.0644842414908668</v>
      </c>
    </row>
    <row r="63" spans="1:26" s="24" customFormat="1" hidden="1" outlineLevel="2" x14ac:dyDescent="0.25">
      <c r="A63" s="28"/>
      <c r="B63" s="11" t="str">
        <f>CONCATENATE("          ", "6307", " - ", "POSTAGE")</f>
        <v xml:space="preserve">          6307 - POSTAGE</v>
      </c>
      <c r="C63" s="11"/>
      <c r="D63" s="7">
        <v>-11584.04</v>
      </c>
      <c r="E63" s="2"/>
      <c r="F63" s="6">
        <f t="shared" si="33"/>
        <v>-1.2722779671739359</v>
      </c>
      <c r="G63" s="2"/>
      <c r="H63" s="7">
        <v>-1228.94</v>
      </c>
      <c r="I63" s="2"/>
      <c r="J63" s="6">
        <f t="shared" si="34"/>
        <v>-1.8708576329618278E-2</v>
      </c>
      <c r="K63" s="2"/>
      <c r="L63" s="7">
        <f t="shared" si="35"/>
        <v>-10355.1</v>
      </c>
      <c r="M63" s="2"/>
      <c r="N63" s="6">
        <f t="shared" si="36"/>
        <v>8.4260419548554033</v>
      </c>
      <c r="O63" s="11"/>
      <c r="P63" s="7">
        <v>-107041.47</v>
      </c>
      <c r="Q63" s="2"/>
      <c r="R63" s="6">
        <f t="shared" si="37"/>
        <v>-1.7411600417065867</v>
      </c>
      <c r="S63" s="2"/>
      <c r="T63" s="7">
        <v>-20642.54</v>
      </c>
      <c r="U63" s="2"/>
      <c r="V63" s="6">
        <f t="shared" si="38"/>
        <v>-0.12003972453807839</v>
      </c>
      <c r="W63" s="2"/>
      <c r="X63" s="7">
        <f t="shared" si="39"/>
        <v>-86398.93</v>
      </c>
      <c r="Y63" s="2"/>
      <c r="Z63" s="6">
        <f t="shared" si="40"/>
        <v>4.1854795969875793</v>
      </c>
    </row>
    <row r="64" spans="1:26" s="27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SUM(OSRRefD22_7x_0)</f>
        <v>0</v>
      </c>
      <c r="E64" s="1"/>
      <c r="F64" s="5">
        <f t="shared" ref="F64:F78" si="41">IF(D$12=0,0,D64/D$12)</f>
        <v>0</v>
      </c>
      <c r="G64" s="1"/>
      <c r="H64" s="1">
        <f>SUM(OSRRefH22_7x_0)</f>
        <v>80.17</v>
      </c>
      <c r="I64" s="1"/>
      <c r="J64" s="5">
        <f t="shared" ref="J64:J78" si="42">IF(H$12=0,0,H64/H$12)</f>
        <v>1.2204554854960349E-3</v>
      </c>
      <c r="K64" s="1"/>
      <c r="L64" s="1">
        <f t="shared" ref="L64:L78" si="43">+D64-H64</f>
        <v>-80.17</v>
      </c>
      <c r="M64" s="1"/>
      <c r="N64" s="5">
        <f t="shared" ref="N64:N78" si="44">IF(H64=0,0,L64/H64)</f>
        <v>-1</v>
      </c>
      <c r="O64" s="14"/>
      <c r="P64" s="1">
        <f>SUM(OSRRefP22_7x_0)</f>
        <v>0</v>
      </c>
      <c r="Q64" s="1"/>
      <c r="R64" s="5">
        <f t="shared" ref="R64:R78" si="45">IF(P$12=0,0,P64/P$12)</f>
        <v>0</v>
      </c>
      <c r="S64" s="1"/>
      <c r="T64" s="1">
        <f>SUM(OSRRefT22_7x_0)</f>
        <v>80.17</v>
      </c>
      <c r="U64" s="1"/>
      <c r="V64" s="5">
        <f t="shared" ref="V64:V78" si="46">IF(T$12=0,0,T64/T$12)</f>
        <v>4.6620157772336857E-4</v>
      </c>
      <c r="W64" s="1"/>
      <c r="X64" s="1">
        <f t="shared" ref="X64:X78" si="47">+P64-T64</f>
        <v>-80.17</v>
      </c>
      <c r="Y64" s="1"/>
      <c r="Z64" s="5">
        <f t="shared" ref="Z64:Z78" si="48">IF(T64=0,0,X64/T64)</f>
        <v>-1</v>
      </c>
    </row>
    <row r="65" spans="1:26" s="24" customFormat="1" hidden="1" outlineLevel="2" x14ac:dyDescent="0.25">
      <c r="A65" s="28"/>
      <c r="B65" s="11" t="str">
        <f>CONCATENATE("          ", "6279", " - ", "GENERAL EXPENSE")</f>
        <v xml:space="preserve">          6279 - GENERAL EXPENSE</v>
      </c>
      <c r="C65" s="11"/>
      <c r="D65" s="7"/>
      <c r="E65" s="2"/>
      <c r="F65" s="6">
        <f t="shared" si="41"/>
        <v>0</v>
      </c>
      <c r="G65" s="2"/>
      <c r="H65" s="7">
        <v>80.17</v>
      </c>
      <c r="I65" s="2"/>
      <c r="J65" s="6">
        <f t="shared" si="42"/>
        <v>1.2204554854960349E-3</v>
      </c>
      <c r="K65" s="2"/>
      <c r="L65" s="7">
        <f t="shared" si="43"/>
        <v>-80.17</v>
      </c>
      <c r="M65" s="2"/>
      <c r="N65" s="6">
        <f t="shared" si="44"/>
        <v>-1</v>
      </c>
      <c r="O65" s="11"/>
      <c r="P65" s="7"/>
      <c r="Q65" s="2"/>
      <c r="R65" s="6">
        <f t="shared" si="45"/>
        <v>0</v>
      </c>
      <c r="S65" s="2"/>
      <c r="T65" s="7">
        <v>80.17</v>
      </c>
      <c r="U65" s="2"/>
      <c r="V65" s="6">
        <f t="shared" si="46"/>
        <v>4.6620157772336857E-4</v>
      </c>
      <c r="W65" s="2"/>
      <c r="X65" s="7">
        <f t="shared" si="47"/>
        <v>-80.17</v>
      </c>
      <c r="Y65" s="2"/>
      <c r="Z65" s="6">
        <f t="shared" si="48"/>
        <v>-1</v>
      </c>
    </row>
    <row r="66" spans="1:26" s="27" customFormat="1" outlineLevel="1" collapsed="1" x14ac:dyDescent="0.25">
      <c r="A66" s="29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SUM(OSRRefD22_8x_0)</f>
        <v>0</v>
      </c>
      <c r="E66" s="1"/>
      <c r="F66" s="5">
        <f t="shared" si="41"/>
        <v>0</v>
      </c>
      <c r="G66" s="1"/>
      <c r="H66" s="1">
        <f>SUM(OSRRefH22_8x_0)</f>
        <v>100</v>
      </c>
      <c r="I66" s="1"/>
      <c r="J66" s="5">
        <f t="shared" si="42"/>
        <v>1.5223343962779531E-3</v>
      </c>
      <c r="K66" s="1"/>
      <c r="L66" s="1">
        <f t="shared" si="43"/>
        <v>-100</v>
      </c>
      <c r="M66" s="1"/>
      <c r="N66" s="5">
        <f t="shared" si="44"/>
        <v>-1</v>
      </c>
      <c r="O66" s="14"/>
      <c r="P66" s="1">
        <f>SUM(OSRRefP22_8x_0)</f>
        <v>0</v>
      </c>
      <c r="Q66" s="1"/>
      <c r="R66" s="5">
        <f t="shared" si="45"/>
        <v>0</v>
      </c>
      <c r="S66" s="1"/>
      <c r="T66" s="1">
        <f>SUM(OSRRefT22_8x_0)</f>
        <v>200</v>
      </c>
      <c r="U66" s="1"/>
      <c r="V66" s="5">
        <f t="shared" si="46"/>
        <v>1.1630325002453998E-3</v>
      </c>
      <c r="W66" s="1"/>
      <c r="X66" s="1">
        <f t="shared" si="47"/>
        <v>-200</v>
      </c>
      <c r="Y66" s="1"/>
      <c r="Z66" s="5">
        <f t="shared" si="48"/>
        <v>-1</v>
      </c>
    </row>
    <row r="67" spans="1:26" s="24" customFormat="1" hidden="1" outlineLevel="2" x14ac:dyDescent="0.25">
      <c r="A67" s="28"/>
      <c r="B67" s="11" t="str">
        <f>CONCATENATE("          ", "6408", " - ", "INVENTORY ADJUSTMENT")</f>
        <v xml:space="preserve">          6408 - INVENTORY ADJUSTMENT</v>
      </c>
      <c r="C67" s="11"/>
      <c r="D67" s="7"/>
      <c r="E67" s="2"/>
      <c r="F67" s="6">
        <f t="shared" si="41"/>
        <v>0</v>
      </c>
      <c r="G67" s="2"/>
      <c r="H67" s="7">
        <v>100</v>
      </c>
      <c r="I67" s="2"/>
      <c r="J67" s="6">
        <f t="shared" si="42"/>
        <v>1.5223343962779531E-3</v>
      </c>
      <c r="K67" s="2"/>
      <c r="L67" s="7">
        <f t="shared" si="43"/>
        <v>-100</v>
      </c>
      <c r="M67" s="2"/>
      <c r="N67" s="6">
        <f t="shared" si="44"/>
        <v>-1</v>
      </c>
      <c r="O67" s="11"/>
      <c r="P67" s="7"/>
      <c r="Q67" s="2"/>
      <c r="R67" s="6">
        <f t="shared" si="45"/>
        <v>0</v>
      </c>
      <c r="S67" s="2"/>
      <c r="T67" s="7">
        <v>200</v>
      </c>
      <c r="U67" s="2"/>
      <c r="V67" s="6">
        <f t="shared" si="46"/>
        <v>1.1630325002453998E-3</v>
      </c>
      <c r="W67" s="2"/>
      <c r="X67" s="7">
        <f t="shared" si="47"/>
        <v>-200</v>
      </c>
      <c r="Y67" s="2"/>
      <c r="Z67" s="6">
        <f t="shared" si="48"/>
        <v>-1</v>
      </c>
    </row>
    <row r="68" spans="1:26" s="27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SUM(OSRRefD22_9x_0)</f>
        <v>7243.55</v>
      </c>
      <c r="E68" s="1"/>
      <c r="F68" s="5">
        <f t="shared" si="41"/>
        <v>0.79556088110216838</v>
      </c>
      <c r="G68" s="1"/>
      <c r="H68" s="1">
        <f>SUM(OSRRefH22_9x_0)</f>
        <v>6637.41</v>
      </c>
      <c r="I68" s="1"/>
      <c r="J68" s="5">
        <f t="shared" si="42"/>
        <v>0.10104357545199248</v>
      </c>
      <c r="K68" s="1"/>
      <c r="L68" s="1">
        <f t="shared" si="43"/>
        <v>606.14000000000033</v>
      </c>
      <c r="M68" s="1"/>
      <c r="N68" s="5">
        <f t="shared" si="44"/>
        <v>9.1321765568196073E-2</v>
      </c>
      <c r="O68" s="14"/>
      <c r="P68" s="1">
        <f>SUM(OSRRefP22_9x_0)</f>
        <v>18846.670000000002</v>
      </c>
      <c r="Q68" s="1"/>
      <c r="R68" s="5">
        <f t="shared" si="45"/>
        <v>0.30656407019849674</v>
      </c>
      <c r="S68" s="1"/>
      <c r="T68" s="1">
        <f>SUM(OSRRefT22_9x_0)</f>
        <v>18447.43</v>
      </c>
      <c r="U68" s="1"/>
      <c r="V68" s="5">
        <f t="shared" si="46"/>
        <v>0.10727480318000999</v>
      </c>
      <c r="W68" s="1"/>
      <c r="X68" s="1">
        <f t="shared" si="47"/>
        <v>399.2400000000016</v>
      </c>
      <c r="Y68" s="1"/>
      <c r="Z68" s="5">
        <f t="shared" si="48"/>
        <v>2.1642039026574519E-2</v>
      </c>
    </row>
    <row r="69" spans="1:26" s="24" customFormat="1" hidden="1" outlineLevel="2" x14ac:dyDescent="0.25">
      <c r="A69" s="28"/>
      <c r="B69" s="11" t="str">
        <f>CONCATENATE("          ", "6373", " - ", "MAINTENANCE CONTRACTS")</f>
        <v xml:space="preserve">          6373 - MAINTENANCE CONTRACTS</v>
      </c>
      <c r="C69" s="11"/>
      <c r="D69" s="7">
        <v>7243.55</v>
      </c>
      <c r="E69" s="2"/>
      <c r="F69" s="6">
        <f t="shared" si="41"/>
        <v>0.79556088110216838</v>
      </c>
      <c r="G69" s="2"/>
      <c r="H69" s="7">
        <v>6637.41</v>
      </c>
      <c r="I69" s="2"/>
      <c r="J69" s="6">
        <f t="shared" si="42"/>
        <v>0.10104357545199248</v>
      </c>
      <c r="K69" s="2"/>
      <c r="L69" s="7">
        <f t="shared" si="43"/>
        <v>606.14000000000033</v>
      </c>
      <c r="M69" s="2"/>
      <c r="N69" s="6">
        <f t="shared" si="44"/>
        <v>9.1321765568196073E-2</v>
      </c>
      <c r="O69" s="11"/>
      <c r="P69" s="7">
        <v>18846.670000000002</v>
      </c>
      <c r="Q69" s="2"/>
      <c r="R69" s="6">
        <f t="shared" si="45"/>
        <v>0.30656407019849674</v>
      </c>
      <c r="S69" s="2"/>
      <c r="T69" s="7">
        <v>18447.43</v>
      </c>
      <c r="U69" s="2"/>
      <c r="V69" s="6">
        <f t="shared" si="46"/>
        <v>0.10727480318000999</v>
      </c>
      <c r="W69" s="2"/>
      <c r="X69" s="7">
        <f t="shared" si="47"/>
        <v>399.2400000000016</v>
      </c>
      <c r="Y69" s="2"/>
      <c r="Z69" s="6">
        <f t="shared" si="48"/>
        <v>2.1642039026574519E-2</v>
      </c>
    </row>
    <row r="70" spans="1:26" s="27" customFormat="1" outlineLevel="1" collapsed="1" x14ac:dyDescent="0.25">
      <c r="A70" s="29"/>
      <c r="B70" s="14" t="str">
        <f>CONCATENATE("     ","Royalty &amp; Commissions                             ")</f>
        <v xml:space="preserve">     Royalty &amp; Commissions                             </v>
      </c>
      <c r="C70" s="14"/>
      <c r="D70" s="1">
        <f>SUM(OSRRefD22_10x_0)</f>
        <v>62.6</v>
      </c>
      <c r="E70" s="1"/>
      <c r="F70" s="5">
        <f t="shared" si="41"/>
        <v>6.8753734228376613E-3</v>
      </c>
      <c r="G70" s="1"/>
      <c r="H70" s="1">
        <f>SUM(OSRRefH22_10x_0)</f>
        <v>10215.44</v>
      </c>
      <c r="I70" s="1"/>
      <c r="J70" s="5">
        <f t="shared" si="42"/>
        <v>0.15551315685113654</v>
      </c>
      <c r="K70" s="1"/>
      <c r="L70" s="1">
        <f t="shared" si="43"/>
        <v>-10152.84</v>
      </c>
      <c r="M70" s="1"/>
      <c r="N70" s="5">
        <f t="shared" si="44"/>
        <v>-0.99387202117578877</v>
      </c>
      <c r="O70" s="14"/>
      <c r="P70" s="1">
        <f>SUM(OSRRefP22_10x_0)</f>
        <v>5384.8</v>
      </c>
      <c r="Q70" s="1"/>
      <c r="R70" s="5">
        <f t="shared" si="45"/>
        <v>8.7590338516293068E-2</v>
      </c>
      <c r="S70" s="1"/>
      <c r="T70" s="1">
        <f>SUM(OSRRefT22_10x_0)</f>
        <v>14469.62</v>
      </c>
      <c r="U70" s="1"/>
      <c r="V70" s="5">
        <f t="shared" si="46"/>
        <v>8.4143191631004227E-2</v>
      </c>
      <c r="W70" s="1"/>
      <c r="X70" s="1">
        <f t="shared" si="47"/>
        <v>-9084.82</v>
      </c>
      <c r="Y70" s="1"/>
      <c r="Z70" s="5">
        <f t="shared" si="48"/>
        <v>-0.62785477434790959</v>
      </c>
    </row>
    <row r="71" spans="1:26" s="24" customFormat="1" hidden="1" outlineLevel="2" x14ac:dyDescent="0.25">
      <c r="A71" s="28"/>
      <c r="B71" s="11" t="str">
        <f>CONCATENATE("          ", "6259", " - ", "ROYALTY &amp; COMMISSIONS")</f>
        <v xml:space="preserve">          6259 - ROYALTY &amp; COMMISSIONS</v>
      </c>
      <c r="C71" s="11"/>
      <c r="D71" s="7">
        <v>62.6</v>
      </c>
      <c r="E71" s="2"/>
      <c r="F71" s="6">
        <f t="shared" si="41"/>
        <v>6.8753734228376613E-3</v>
      </c>
      <c r="G71" s="2"/>
      <c r="H71" s="7">
        <v>10215.44</v>
      </c>
      <c r="I71" s="2"/>
      <c r="J71" s="6">
        <f t="shared" si="42"/>
        <v>0.15551315685113654</v>
      </c>
      <c r="K71" s="2"/>
      <c r="L71" s="7">
        <f t="shared" si="43"/>
        <v>-10152.84</v>
      </c>
      <c r="M71" s="2"/>
      <c r="N71" s="6">
        <f t="shared" si="44"/>
        <v>-0.99387202117578877</v>
      </c>
      <c r="O71" s="11"/>
      <c r="P71" s="7">
        <v>5384.8</v>
      </c>
      <c r="Q71" s="2"/>
      <c r="R71" s="6">
        <f t="shared" si="45"/>
        <v>8.7590338516293068E-2</v>
      </c>
      <c r="S71" s="2"/>
      <c r="T71" s="7">
        <v>14469.62</v>
      </c>
      <c r="U71" s="2"/>
      <c r="V71" s="6">
        <f t="shared" si="46"/>
        <v>8.4143191631004227E-2</v>
      </c>
      <c r="W71" s="2"/>
      <c r="X71" s="7">
        <f t="shared" si="47"/>
        <v>-9084.82</v>
      </c>
      <c r="Y71" s="2"/>
      <c r="Z71" s="6">
        <f t="shared" si="48"/>
        <v>-0.62785477434790959</v>
      </c>
    </row>
    <row r="72" spans="1:26" s="27" customFormat="1" outlineLevel="1" collapsed="1" x14ac:dyDescent="0.25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SUM(OSRRefD22_11x_0)</f>
        <v>10677.67</v>
      </c>
      <c r="E72" s="1"/>
      <c r="F72" s="5">
        <f t="shared" si="41"/>
        <v>1.1727311267704634</v>
      </c>
      <c r="G72" s="1"/>
      <c r="H72" s="1">
        <f>SUM(OSRRefH22_11x_0)</f>
        <v>7168.18</v>
      </c>
      <c r="I72" s="1"/>
      <c r="J72" s="5">
        <f t="shared" si="42"/>
        <v>0.10912366972711698</v>
      </c>
      <c r="K72" s="1"/>
      <c r="L72" s="1">
        <f t="shared" si="43"/>
        <v>3509.49</v>
      </c>
      <c r="M72" s="1"/>
      <c r="N72" s="5">
        <f t="shared" si="44"/>
        <v>0.48959289526769689</v>
      </c>
      <c r="O72" s="14"/>
      <c r="P72" s="1">
        <f>SUM(OSRRefP22_11x_0)</f>
        <v>19608.690000000002</v>
      </c>
      <c r="Q72" s="1"/>
      <c r="R72" s="5">
        <f t="shared" si="45"/>
        <v>0.31895925474688952</v>
      </c>
      <c r="S72" s="1"/>
      <c r="T72" s="1">
        <f>SUM(OSRRefT22_11x_0)</f>
        <v>14461.77</v>
      </c>
      <c r="U72" s="1"/>
      <c r="V72" s="5">
        <f t="shared" si="46"/>
        <v>8.4097542605369585E-2</v>
      </c>
      <c r="W72" s="1"/>
      <c r="X72" s="1">
        <f t="shared" si="47"/>
        <v>5146.9200000000019</v>
      </c>
      <c r="Y72" s="1"/>
      <c r="Z72" s="5">
        <f t="shared" si="48"/>
        <v>0.35589834439352869</v>
      </c>
    </row>
    <row r="73" spans="1:26" s="24" customFormat="1" hidden="1" outlineLevel="2" x14ac:dyDescent="0.25">
      <c r="A73" s="28"/>
      <c r="B73" s="11" t="str">
        <f>CONCATENATE("          ", "6234", " - ", "EXPENDABLE SUPPLIES &amp; EQUIPMEN")</f>
        <v xml:space="preserve">          6234 - EXPENDABLE SUPPLIES &amp; EQUIPMEN</v>
      </c>
      <c r="C73" s="11"/>
      <c r="D73" s="7"/>
      <c r="E73" s="2"/>
      <c r="F73" s="6">
        <f t="shared" si="41"/>
        <v>0</v>
      </c>
      <c r="G73" s="2"/>
      <c r="H73" s="7"/>
      <c r="I73" s="2"/>
      <c r="J73" s="6">
        <f t="shared" si="42"/>
        <v>0</v>
      </c>
      <c r="K73" s="2"/>
      <c r="L73" s="7">
        <f t="shared" si="43"/>
        <v>0</v>
      </c>
      <c r="M73" s="2"/>
      <c r="N73" s="6">
        <f t="shared" si="44"/>
        <v>0</v>
      </c>
      <c r="O73" s="11"/>
      <c r="P73" s="7"/>
      <c r="Q73" s="2"/>
      <c r="R73" s="6">
        <f t="shared" si="45"/>
        <v>0</v>
      </c>
      <c r="S73" s="2"/>
      <c r="T73" s="7">
        <v>1017.27</v>
      </c>
      <c r="U73" s="2"/>
      <c r="V73" s="6">
        <f t="shared" si="46"/>
        <v>5.9155903576231898E-3</v>
      </c>
      <c r="W73" s="2"/>
      <c r="X73" s="7">
        <f t="shared" si="47"/>
        <v>-1017.27</v>
      </c>
      <c r="Y73" s="2"/>
      <c r="Z73" s="6">
        <f t="shared" si="48"/>
        <v>-1</v>
      </c>
    </row>
    <row r="74" spans="1:26" s="24" customFormat="1" hidden="1" outlineLevel="2" x14ac:dyDescent="0.25">
      <c r="A74" s="28"/>
      <c r="B74" s="11" t="str">
        <f>CONCATENATE("          ", "6235", " - ", "COVID-19 EXPENSES")</f>
        <v xml:space="preserve">          6235 - COVID-19 EXPENSES</v>
      </c>
      <c r="C74" s="11"/>
      <c r="D74" s="7"/>
      <c r="E74" s="2"/>
      <c r="F74" s="6">
        <f t="shared" si="41"/>
        <v>0</v>
      </c>
      <c r="G74" s="2"/>
      <c r="H74" s="7"/>
      <c r="I74" s="2"/>
      <c r="J74" s="6">
        <f t="shared" si="42"/>
        <v>0</v>
      </c>
      <c r="K74" s="2"/>
      <c r="L74" s="7">
        <f t="shared" si="43"/>
        <v>0</v>
      </c>
      <c r="M74" s="2"/>
      <c r="N74" s="6">
        <f t="shared" si="44"/>
        <v>0</v>
      </c>
      <c r="O74" s="11"/>
      <c r="P74" s="7">
        <v>310.91000000000003</v>
      </c>
      <c r="Q74" s="2"/>
      <c r="R74" s="6">
        <f t="shared" si="45"/>
        <v>5.057330290465881E-3</v>
      </c>
      <c r="S74" s="2"/>
      <c r="T74" s="7"/>
      <c r="U74" s="2"/>
      <c r="V74" s="6">
        <f t="shared" si="46"/>
        <v>0</v>
      </c>
      <c r="W74" s="2"/>
      <c r="X74" s="7">
        <f t="shared" si="47"/>
        <v>310.91000000000003</v>
      </c>
      <c r="Y74" s="2"/>
      <c r="Z74" s="6">
        <f t="shared" si="48"/>
        <v>0</v>
      </c>
    </row>
    <row r="75" spans="1:26" s="24" customFormat="1" hidden="1" outlineLevel="2" x14ac:dyDescent="0.25">
      <c r="A75" s="28"/>
      <c r="B75" s="11" t="str">
        <f>CONCATENATE("          ", "6241", " - ", "OFFICE EXPENSE")</f>
        <v xml:space="preserve">          6241 - OFFICE EXPENSE</v>
      </c>
      <c r="C75" s="11"/>
      <c r="D75" s="7">
        <v>4590.26</v>
      </c>
      <c r="E75" s="2"/>
      <c r="F75" s="6">
        <f t="shared" si="41"/>
        <v>0.50414938670790421</v>
      </c>
      <c r="G75" s="2"/>
      <c r="H75" s="7">
        <v>87.41</v>
      </c>
      <c r="I75" s="2"/>
      <c r="J75" s="6">
        <f t="shared" si="42"/>
        <v>1.3306724957865587E-3</v>
      </c>
      <c r="K75" s="2"/>
      <c r="L75" s="7">
        <f t="shared" si="43"/>
        <v>4502.8500000000004</v>
      </c>
      <c r="M75" s="2"/>
      <c r="N75" s="6">
        <f t="shared" si="44"/>
        <v>51.514128818213024</v>
      </c>
      <c r="O75" s="11"/>
      <c r="P75" s="7">
        <v>4590.26</v>
      </c>
      <c r="Q75" s="2"/>
      <c r="R75" s="6">
        <f t="shared" si="45"/>
        <v>7.466617651125379E-2</v>
      </c>
      <c r="S75" s="2"/>
      <c r="T75" s="7">
        <v>115.02</v>
      </c>
      <c r="U75" s="2"/>
      <c r="V75" s="6">
        <f t="shared" si="46"/>
        <v>6.6885999089112951E-4</v>
      </c>
      <c r="W75" s="2"/>
      <c r="X75" s="7">
        <f t="shared" si="47"/>
        <v>4475.24</v>
      </c>
      <c r="Y75" s="2"/>
      <c r="Z75" s="6">
        <f t="shared" si="48"/>
        <v>38.908363762823853</v>
      </c>
    </row>
    <row r="76" spans="1:26" s="24" customFormat="1" hidden="1" outlineLevel="2" x14ac:dyDescent="0.25">
      <c r="A76" s="28"/>
      <c r="B76" s="11" t="str">
        <f>CONCATENATE("          ", "6243", " - ", "PAPER SUPPLIES")</f>
        <v xml:space="preserve">          6243 - PAPER SUPPLIES</v>
      </c>
      <c r="C76" s="11"/>
      <c r="D76" s="7"/>
      <c r="E76" s="2"/>
      <c r="F76" s="6">
        <f t="shared" si="41"/>
        <v>0</v>
      </c>
      <c r="G76" s="2"/>
      <c r="H76" s="7">
        <v>318.66000000000003</v>
      </c>
      <c r="I76" s="2"/>
      <c r="J76" s="6">
        <f t="shared" si="42"/>
        <v>4.8510707871793259E-3</v>
      </c>
      <c r="K76" s="2"/>
      <c r="L76" s="7">
        <f t="shared" si="43"/>
        <v>-318.66000000000003</v>
      </c>
      <c r="M76" s="2"/>
      <c r="N76" s="6">
        <f t="shared" si="44"/>
        <v>-1</v>
      </c>
      <c r="O76" s="11"/>
      <c r="P76" s="7">
        <v>3124.69</v>
      </c>
      <c r="Q76" s="2"/>
      <c r="R76" s="6">
        <f t="shared" si="45"/>
        <v>5.082689326594781E-2</v>
      </c>
      <c r="S76" s="2"/>
      <c r="T76" s="7">
        <v>2976.95</v>
      </c>
      <c r="U76" s="2"/>
      <c r="V76" s="6">
        <f t="shared" si="46"/>
        <v>1.7311448008027714E-2</v>
      </c>
      <c r="W76" s="2"/>
      <c r="X76" s="7">
        <f t="shared" si="47"/>
        <v>147.74000000000024</v>
      </c>
      <c r="Y76" s="2"/>
      <c r="Z76" s="6">
        <f t="shared" si="48"/>
        <v>4.962797494079519E-2</v>
      </c>
    </row>
    <row r="77" spans="1:26" s="24" customFormat="1" hidden="1" outlineLevel="2" x14ac:dyDescent="0.25">
      <c r="A77" s="28"/>
      <c r="B77" s="11" t="str">
        <f>CONCATENATE("          ", "6245", " - ", "PRINTING")</f>
        <v xml:space="preserve">          6245 - PRINTING</v>
      </c>
      <c r="C77" s="11"/>
      <c r="D77" s="7">
        <v>288.3</v>
      </c>
      <c r="E77" s="2"/>
      <c r="F77" s="6">
        <f t="shared" si="41"/>
        <v>3.1664060028819455E-2</v>
      </c>
      <c r="G77" s="2"/>
      <c r="H77" s="7">
        <v>254.9</v>
      </c>
      <c r="I77" s="2"/>
      <c r="J77" s="6">
        <f t="shared" si="42"/>
        <v>3.8804303761125025E-3</v>
      </c>
      <c r="K77" s="2"/>
      <c r="L77" s="7">
        <f t="shared" si="43"/>
        <v>33.400000000000006</v>
      </c>
      <c r="M77" s="2"/>
      <c r="N77" s="6">
        <f t="shared" si="44"/>
        <v>0.13103177716751668</v>
      </c>
      <c r="O77" s="11"/>
      <c r="P77" s="7">
        <v>-7.2</v>
      </c>
      <c r="Q77" s="2"/>
      <c r="R77" s="6">
        <f t="shared" si="45"/>
        <v>-1.1711678006932663E-4</v>
      </c>
      <c r="S77" s="2"/>
      <c r="T77" s="7">
        <v>242.2</v>
      </c>
      <c r="U77" s="2"/>
      <c r="V77" s="6">
        <f t="shared" si="46"/>
        <v>1.4084323577971793E-3</v>
      </c>
      <c r="W77" s="2"/>
      <c r="X77" s="7">
        <f t="shared" si="47"/>
        <v>-249.39999999999998</v>
      </c>
      <c r="Y77" s="2"/>
      <c r="Z77" s="6">
        <f t="shared" si="48"/>
        <v>-1.0297274979355904</v>
      </c>
    </row>
    <row r="78" spans="1:26" s="24" customFormat="1" hidden="1" outlineLevel="2" x14ac:dyDescent="0.25">
      <c r="A78" s="28"/>
      <c r="B78" s="11" t="str">
        <f>CONCATENATE("          ", "6247", " - ", "STORE SUPPLIES")</f>
        <v xml:space="preserve">          6247 - STORE SUPPLIES</v>
      </c>
      <c r="C78" s="11"/>
      <c r="D78" s="7">
        <v>5799.11</v>
      </c>
      <c r="E78" s="2"/>
      <c r="F78" s="6">
        <f t="shared" si="41"/>
        <v>0.63691768003373972</v>
      </c>
      <c r="G78" s="2"/>
      <c r="H78" s="7">
        <v>6507.21</v>
      </c>
      <c r="I78" s="2"/>
      <c r="J78" s="6">
        <f t="shared" si="42"/>
        <v>9.9061496068038588E-2</v>
      </c>
      <c r="K78" s="2"/>
      <c r="L78" s="7">
        <f t="shared" si="43"/>
        <v>-708.10000000000036</v>
      </c>
      <c r="M78" s="2"/>
      <c r="N78" s="6">
        <f t="shared" si="44"/>
        <v>-0.10881775753356666</v>
      </c>
      <c r="O78" s="11"/>
      <c r="P78" s="7">
        <v>11590.03</v>
      </c>
      <c r="Q78" s="2"/>
      <c r="R78" s="6">
        <f t="shared" si="45"/>
        <v>0.18852597145929137</v>
      </c>
      <c r="S78" s="2"/>
      <c r="T78" s="7">
        <v>10110.33</v>
      </c>
      <c r="U78" s="2"/>
      <c r="V78" s="6">
        <f t="shared" si="46"/>
        <v>5.8793211891030372E-2</v>
      </c>
      <c r="W78" s="2"/>
      <c r="X78" s="7">
        <f t="shared" si="47"/>
        <v>1479.7000000000007</v>
      </c>
      <c r="Y78" s="2"/>
      <c r="Z78" s="6">
        <f t="shared" si="48"/>
        <v>0.14635526239005064</v>
      </c>
    </row>
    <row r="79" spans="1:26" s="27" customFormat="1" outlineLevel="1" collapsed="1" x14ac:dyDescent="0.25">
      <c r="A79" s="29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SUM(OSRRefD22_12x_0)</f>
        <v>265</v>
      </c>
      <c r="E79" s="1"/>
      <c r="F79" s="5">
        <f t="shared" ref="F79:F84" si="49">IF(D$12=0,0,D79/D$12)</f>
        <v>2.9105015288370291E-2</v>
      </c>
      <c r="G79" s="1"/>
      <c r="H79" s="1">
        <f>SUM(OSRRefH22_12x_0)</f>
        <v>250</v>
      </c>
      <c r="I79" s="1"/>
      <c r="J79" s="5">
        <f t="shared" ref="J79:J84" si="50">IF(H$12=0,0,H79/H$12)</f>
        <v>3.8058359906948825E-3</v>
      </c>
      <c r="K79" s="1"/>
      <c r="L79" s="1">
        <f t="shared" ref="L79:L84" si="51">+D79-H79</f>
        <v>15</v>
      </c>
      <c r="M79" s="1"/>
      <c r="N79" s="5">
        <f t="shared" ref="N79:N84" si="52">IF(H79=0,0,L79/H79)</f>
        <v>0.06</v>
      </c>
      <c r="O79" s="14"/>
      <c r="P79" s="1">
        <f>SUM(OSRRefP22_12x_0)</f>
        <v>665.75</v>
      </c>
      <c r="Q79" s="1"/>
      <c r="R79" s="5">
        <f t="shared" ref="R79:R84" si="53">IF(P$12=0,0,P79/P$12)</f>
        <v>1.0829235601549195E-2</v>
      </c>
      <c r="S79" s="1"/>
      <c r="T79" s="1">
        <f>SUM(OSRRefT22_12x_0)</f>
        <v>642.04999999999995</v>
      </c>
      <c r="U79" s="1"/>
      <c r="V79" s="5">
        <f t="shared" ref="V79:V84" si="54">IF(T$12=0,0,T79/T$12)</f>
        <v>3.7336250839127946E-3</v>
      </c>
      <c r="W79" s="1"/>
      <c r="X79" s="1">
        <f t="shared" ref="X79:X84" si="55">+P79-T79</f>
        <v>23.700000000000045</v>
      </c>
      <c r="Y79" s="1"/>
      <c r="Z79" s="5">
        <f t="shared" ref="Z79:Z84" si="56">IF(T79=0,0,X79/T79)</f>
        <v>3.6913013005217737E-2</v>
      </c>
    </row>
    <row r="80" spans="1:26" s="24" customFormat="1" hidden="1" outlineLevel="2" x14ac:dyDescent="0.25">
      <c r="A80" s="28"/>
      <c r="B80" s="11" t="str">
        <f>CONCATENATE("          ", "6309", " - ", "TELEPHONE")</f>
        <v xml:space="preserve">          6309 - TELEPHONE</v>
      </c>
      <c r="C80" s="11"/>
      <c r="D80" s="7">
        <v>265</v>
      </c>
      <c r="E80" s="2"/>
      <c r="F80" s="6">
        <f t="shared" si="49"/>
        <v>2.9105015288370291E-2</v>
      </c>
      <c r="G80" s="2"/>
      <c r="H80" s="7">
        <v>250</v>
      </c>
      <c r="I80" s="2"/>
      <c r="J80" s="6">
        <f t="shared" si="50"/>
        <v>3.8058359906948825E-3</v>
      </c>
      <c r="K80" s="2"/>
      <c r="L80" s="7">
        <f t="shared" si="51"/>
        <v>15</v>
      </c>
      <c r="M80" s="2"/>
      <c r="N80" s="6">
        <f t="shared" si="52"/>
        <v>0.06</v>
      </c>
      <c r="O80" s="11"/>
      <c r="P80" s="7">
        <v>665.75</v>
      </c>
      <c r="Q80" s="2"/>
      <c r="R80" s="6">
        <f t="shared" si="53"/>
        <v>1.0829235601549195E-2</v>
      </c>
      <c r="S80" s="2"/>
      <c r="T80" s="7">
        <v>642.04999999999995</v>
      </c>
      <c r="U80" s="2"/>
      <c r="V80" s="6">
        <f t="shared" si="54"/>
        <v>3.7336250839127946E-3</v>
      </c>
      <c r="W80" s="2"/>
      <c r="X80" s="7">
        <f t="shared" si="55"/>
        <v>23.700000000000045</v>
      </c>
      <c r="Y80" s="2"/>
      <c r="Z80" s="6">
        <f t="shared" si="56"/>
        <v>3.6913013005217737E-2</v>
      </c>
    </row>
    <row r="81" spans="1:26" s="27" customFormat="1" outlineLevel="1" collapsed="1" x14ac:dyDescent="0.25">
      <c r="A81" s="29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SUM(OSRRefD22_13x_0)</f>
        <v>0</v>
      </c>
      <c r="E81" s="1"/>
      <c r="F81" s="5">
        <f t="shared" si="49"/>
        <v>0</v>
      </c>
      <c r="G81" s="1"/>
      <c r="H81" s="1">
        <f>SUM(OSRRefH22_13x_0)</f>
        <v>97.71</v>
      </c>
      <c r="I81" s="1"/>
      <c r="J81" s="5">
        <f t="shared" si="50"/>
        <v>1.4874729386031879E-3</v>
      </c>
      <c r="K81" s="1"/>
      <c r="L81" s="1">
        <f t="shared" si="51"/>
        <v>-97.71</v>
      </c>
      <c r="M81" s="1"/>
      <c r="N81" s="5">
        <f t="shared" si="52"/>
        <v>-1</v>
      </c>
      <c r="O81" s="14"/>
      <c r="P81" s="1">
        <f>SUM(OSRRefP22_13x_0)</f>
        <v>0</v>
      </c>
      <c r="Q81" s="1"/>
      <c r="R81" s="5">
        <f t="shared" si="53"/>
        <v>0</v>
      </c>
      <c r="S81" s="1"/>
      <c r="T81" s="1">
        <f>SUM(OSRRefT22_13x_0)</f>
        <v>97.71</v>
      </c>
      <c r="U81" s="1"/>
      <c r="V81" s="5">
        <f t="shared" si="54"/>
        <v>5.6819952799489013E-4</v>
      </c>
      <c r="W81" s="1"/>
      <c r="X81" s="1">
        <f t="shared" si="55"/>
        <v>-97.71</v>
      </c>
      <c r="Y81" s="1"/>
      <c r="Z81" s="5">
        <f t="shared" si="56"/>
        <v>-1</v>
      </c>
    </row>
    <row r="82" spans="1:26" s="24" customFormat="1" hidden="1" outlineLevel="2" x14ac:dyDescent="0.25">
      <c r="A82" s="28"/>
      <c r="B82" s="11" t="str">
        <f>CONCATENATE("          ", "6376", " - ", "TRAINING")</f>
        <v xml:space="preserve">          6376 - TRAINING</v>
      </c>
      <c r="C82" s="11"/>
      <c r="D82" s="7"/>
      <c r="E82" s="2"/>
      <c r="F82" s="6">
        <f t="shared" si="49"/>
        <v>0</v>
      </c>
      <c r="G82" s="2"/>
      <c r="H82" s="7">
        <v>97.71</v>
      </c>
      <c r="I82" s="2"/>
      <c r="J82" s="6">
        <f t="shared" si="50"/>
        <v>1.4874729386031879E-3</v>
      </c>
      <c r="K82" s="2"/>
      <c r="L82" s="7">
        <f t="shared" si="51"/>
        <v>-97.71</v>
      </c>
      <c r="M82" s="2"/>
      <c r="N82" s="6">
        <f t="shared" si="52"/>
        <v>-1</v>
      </c>
      <c r="O82" s="11"/>
      <c r="P82" s="7"/>
      <c r="Q82" s="2"/>
      <c r="R82" s="6">
        <f t="shared" si="53"/>
        <v>0</v>
      </c>
      <c r="S82" s="2"/>
      <c r="T82" s="7">
        <v>97.71</v>
      </c>
      <c r="U82" s="2"/>
      <c r="V82" s="6">
        <f t="shared" si="54"/>
        <v>5.6819952799489013E-4</v>
      </c>
      <c r="W82" s="2"/>
      <c r="X82" s="7">
        <f t="shared" si="55"/>
        <v>-97.71</v>
      </c>
      <c r="Y82" s="2"/>
      <c r="Z82" s="6">
        <f t="shared" si="56"/>
        <v>-1</v>
      </c>
    </row>
    <row r="83" spans="1:26" s="27" customFormat="1" outlineLevel="1" collapsed="1" x14ac:dyDescent="0.25">
      <c r="A83" s="29"/>
      <c r="B83" s="14" t="str">
        <f>CONCATENATE("     ","Utilities                                         ")</f>
        <v xml:space="preserve">     Utilities                                         </v>
      </c>
      <c r="C83" s="14"/>
      <c r="D83" s="1">
        <f>SUM(OSRRefD22_14x_0)</f>
        <v>0</v>
      </c>
      <c r="E83" s="1"/>
      <c r="F83" s="5">
        <f t="shared" si="49"/>
        <v>0</v>
      </c>
      <c r="G83" s="1"/>
      <c r="H83" s="1">
        <f>SUM(OSRRefH22_14x_0)</f>
        <v>0</v>
      </c>
      <c r="I83" s="1"/>
      <c r="J83" s="5">
        <f t="shared" si="50"/>
        <v>0</v>
      </c>
      <c r="K83" s="1"/>
      <c r="L83" s="1">
        <f t="shared" si="51"/>
        <v>0</v>
      </c>
      <c r="M83" s="1"/>
      <c r="N83" s="5">
        <f t="shared" si="52"/>
        <v>0</v>
      </c>
      <c r="O83" s="14"/>
      <c r="P83" s="1">
        <f>SUM(OSRRefP22_14x_0)</f>
        <v>15.02</v>
      </c>
      <c r="Q83" s="1"/>
      <c r="R83" s="5">
        <f t="shared" si="53"/>
        <v>2.443186162001786E-4</v>
      </c>
      <c r="S83" s="1"/>
      <c r="T83" s="1">
        <f>SUM(OSRRefT22_14x_0)</f>
        <v>0</v>
      </c>
      <c r="U83" s="1"/>
      <c r="V83" s="5">
        <f t="shared" si="54"/>
        <v>0</v>
      </c>
      <c r="W83" s="1"/>
      <c r="X83" s="1">
        <f t="shared" si="55"/>
        <v>15.02</v>
      </c>
      <c r="Y83" s="1"/>
      <c r="Z83" s="5">
        <f t="shared" si="56"/>
        <v>0</v>
      </c>
    </row>
    <row r="84" spans="1:26" s="24" customFormat="1" hidden="1" outlineLevel="2" x14ac:dyDescent="0.25">
      <c r="A84" s="28"/>
      <c r="B84" s="11" t="str">
        <f>CONCATENATE("          ", "6274", " - ", "UTILITIES")</f>
        <v xml:space="preserve">          6274 - UTILITIES</v>
      </c>
      <c r="C84" s="11"/>
      <c r="D84" s="7"/>
      <c r="E84" s="2"/>
      <c r="F84" s="6">
        <f t="shared" si="49"/>
        <v>0</v>
      </c>
      <c r="G84" s="2"/>
      <c r="H84" s="7"/>
      <c r="I84" s="2"/>
      <c r="J84" s="6">
        <f t="shared" si="50"/>
        <v>0</v>
      </c>
      <c r="K84" s="2"/>
      <c r="L84" s="7">
        <f t="shared" si="51"/>
        <v>0</v>
      </c>
      <c r="M84" s="2"/>
      <c r="N84" s="6">
        <f t="shared" si="52"/>
        <v>0</v>
      </c>
      <c r="O84" s="11"/>
      <c r="P84" s="7">
        <v>15.02</v>
      </c>
      <c r="Q84" s="2"/>
      <c r="R84" s="6">
        <f t="shared" si="53"/>
        <v>2.443186162001786E-4</v>
      </c>
      <c r="S84" s="2"/>
      <c r="T84" s="7"/>
      <c r="U84" s="2"/>
      <c r="V84" s="6">
        <f t="shared" si="54"/>
        <v>0</v>
      </c>
      <c r="W84" s="2"/>
      <c r="X84" s="7">
        <f t="shared" si="55"/>
        <v>15.02</v>
      </c>
      <c r="Y84" s="2"/>
      <c r="Z84" s="6">
        <f t="shared" si="56"/>
        <v>0</v>
      </c>
    </row>
    <row r="85" spans="1:26" s="60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collapsed="1" x14ac:dyDescent="0.25">
      <c r="A86" s="10"/>
      <c r="B86" s="26" t="s">
        <v>0</v>
      </c>
      <c r="C86" s="10"/>
      <c r="D86" s="4">
        <f>SUM(OSRRefD25x_0)</f>
        <v>6782</v>
      </c>
      <c r="E86" s="4"/>
      <c r="F86" s="12">
        <f t="shared" ref="F86:F91" si="57">IF(D$12=0,0,D86/D$12)</f>
        <v>0.74486873088953709</v>
      </c>
      <c r="G86" s="4"/>
      <c r="H86" s="4">
        <f>SUM(OSRRefH25x_0)</f>
        <v>13299</v>
      </c>
      <c r="I86" s="4"/>
      <c r="J86" s="12">
        <f t="shared" ref="J86:J91" si="58">IF(H$12=0,0,H86/H$12)</f>
        <v>0.20245525136100498</v>
      </c>
      <c r="K86" s="4"/>
      <c r="L86" s="4">
        <f t="shared" ref="L86:L91" si="59">+D86-H86</f>
        <v>-6517</v>
      </c>
      <c r="M86" s="4"/>
      <c r="N86" s="12">
        <f t="shared" ref="N86:N91" si="60">IF(H86=0,0,L86/H86)</f>
        <v>-0.49003684487555454</v>
      </c>
      <c r="O86" s="10"/>
      <c r="P86" s="4">
        <f>SUM(OSRRefP25x_0)</f>
        <v>20346</v>
      </c>
      <c r="Q86" s="4"/>
      <c r="R86" s="12">
        <f t="shared" ref="R86:R91" si="61">IF(P$12=0,0,P86/P$12)</f>
        <v>0.33095250101257218</v>
      </c>
      <c r="S86" s="4"/>
      <c r="T86" s="4">
        <f>SUM(OSRRefT25x_0)</f>
        <v>63128.85</v>
      </c>
      <c r="U86" s="4"/>
      <c r="V86" s="12">
        <f t="shared" ref="V86:V91" si="62">IF(T$12=0,0,T86/T$12)</f>
        <v>0.36710452126558407</v>
      </c>
      <c r="W86" s="4"/>
      <c r="X86" s="4">
        <f t="shared" ref="X86:X91" si="63">+P86-T86</f>
        <v>-42782.85</v>
      </c>
      <c r="Y86" s="4"/>
      <c r="Z86" s="12">
        <f t="shared" ref="Z86:Z91" si="64">IF(T86=0,0,X86/T86)</f>
        <v>-0.67770678540793949</v>
      </c>
    </row>
    <row r="87" spans="1:26" s="24" customFormat="1" hidden="1" outlineLevel="1" x14ac:dyDescent="0.25">
      <c r="A87" s="44"/>
      <c r="B87" s="11" t="str">
        <f>CONCATENATE("          ", "4098", " - ", "TAXABLE SALES-GRAD RENTALS")</f>
        <v xml:space="preserve">          4098 - TAXABLE SALES-GRAD RENTALS</v>
      </c>
      <c r="C87" s="11"/>
      <c r="D87" s="2">
        <f t="shared" ref="D87:D89" si="65">0</f>
        <v>0</v>
      </c>
      <c r="E87" s="2"/>
      <c r="F87" s="19">
        <f t="shared" si="57"/>
        <v>0</v>
      </c>
      <c r="G87" s="2"/>
      <c r="H87" s="2">
        <f t="shared" ref="H87:H88" si="66">0</f>
        <v>0</v>
      </c>
      <c r="I87" s="2"/>
      <c r="J87" s="19">
        <f t="shared" si="58"/>
        <v>0</v>
      </c>
      <c r="K87" s="2"/>
      <c r="L87" s="2">
        <f t="shared" si="59"/>
        <v>0</v>
      </c>
      <c r="M87" s="2"/>
      <c r="N87" s="19">
        <f t="shared" si="60"/>
        <v>0</v>
      </c>
      <c r="O87" s="11"/>
      <c r="P87" s="2">
        <f t="shared" ref="P87:P89" si="67">0</f>
        <v>0</v>
      </c>
      <c r="Q87" s="2"/>
      <c r="R87" s="19">
        <f t="shared" si="61"/>
        <v>0</v>
      </c>
      <c r="S87" s="2"/>
      <c r="T87" s="2">
        <f>--1626.85</f>
        <v>1626.85</v>
      </c>
      <c r="U87" s="2"/>
      <c r="V87" s="19">
        <f t="shared" si="62"/>
        <v>9.4603971151211441E-3</v>
      </c>
      <c r="W87" s="2"/>
      <c r="X87" s="2">
        <f t="shared" si="63"/>
        <v>-1626.85</v>
      </c>
      <c r="Y87" s="2"/>
      <c r="Z87" s="19">
        <f t="shared" si="64"/>
        <v>-1</v>
      </c>
    </row>
    <row r="88" spans="1:26" s="24" customFormat="1" hidden="1" outlineLevel="1" x14ac:dyDescent="0.25">
      <c r="A88" s="44"/>
      <c r="B88" s="11" t="str">
        <f>CONCATENATE("          ", "4197", " - ", "NON-TAXABLE SALES-RETURNED CHE")</f>
        <v xml:space="preserve">          4197 - NON-TAXABLE SALES-RETURNED CHE</v>
      </c>
      <c r="C88" s="11"/>
      <c r="D88" s="2">
        <f t="shared" si="65"/>
        <v>0</v>
      </c>
      <c r="E88" s="2"/>
      <c r="F88" s="19">
        <f t="shared" si="57"/>
        <v>0</v>
      </c>
      <c r="G88" s="2"/>
      <c r="H88" s="2">
        <f t="shared" si="66"/>
        <v>0</v>
      </c>
      <c r="I88" s="2"/>
      <c r="J88" s="19">
        <f t="shared" si="58"/>
        <v>0</v>
      </c>
      <c r="K88" s="2"/>
      <c r="L88" s="2">
        <f t="shared" si="59"/>
        <v>0</v>
      </c>
      <c r="M88" s="2"/>
      <c r="N88" s="19">
        <f t="shared" si="60"/>
        <v>0</v>
      </c>
      <c r="O88" s="11"/>
      <c r="P88" s="2">
        <f t="shared" si="67"/>
        <v>0</v>
      </c>
      <c r="Q88" s="2"/>
      <c r="R88" s="19">
        <f t="shared" si="61"/>
        <v>0</v>
      </c>
      <c r="S88" s="2"/>
      <c r="T88" s="2">
        <f>--30</f>
        <v>30</v>
      </c>
      <c r="U88" s="2"/>
      <c r="V88" s="19">
        <f t="shared" si="62"/>
        <v>1.7445487503680999E-4</v>
      </c>
      <c r="W88" s="2"/>
      <c r="X88" s="2">
        <f t="shared" si="63"/>
        <v>-30</v>
      </c>
      <c r="Y88" s="2"/>
      <c r="Z88" s="19">
        <f t="shared" si="64"/>
        <v>-1</v>
      </c>
    </row>
    <row r="89" spans="1:26" s="24" customFormat="1" hidden="1" outlineLevel="1" x14ac:dyDescent="0.25">
      <c r="A89" s="44"/>
      <c r="B89" s="11" t="str">
        <f>CONCATENATE("          ", "4198", " - ", "NON-TAXABLE SALES-GRAD RENTALS")</f>
        <v xml:space="preserve">          4198 - NON-TAXABLE SALES-GRAD RENTALS</v>
      </c>
      <c r="C89" s="11"/>
      <c r="D89" s="2">
        <f t="shared" si="65"/>
        <v>0</v>
      </c>
      <c r="E89" s="2"/>
      <c r="F89" s="19">
        <f t="shared" si="57"/>
        <v>0</v>
      </c>
      <c r="G89" s="2"/>
      <c r="H89" s="2">
        <f>--30</f>
        <v>30</v>
      </c>
      <c r="I89" s="2"/>
      <c r="J89" s="19">
        <f t="shared" si="58"/>
        <v>4.5670031888338588E-4</v>
      </c>
      <c r="K89" s="2"/>
      <c r="L89" s="2">
        <f t="shared" si="59"/>
        <v>-30</v>
      </c>
      <c r="M89" s="2"/>
      <c r="N89" s="19">
        <f t="shared" si="60"/>
        <v>-1</v>
      </c>
      <c r="O89" s="11"/>
      <c r="P89" s="2">
        <f t="shared" si="67"/>
        <v>0</v>
      </c>
      <c r="Q89" s="2"/>
      <c r="R89" s="19">
        <f t="shared" si="61"/>
        <v>0</v>
      </c>
      <c r="S89" s="2"/>
      <c r="T89" s="2">
        <f>--495</f>
        <v>495</v>
      </c>
      <c r="U89" s="2"/>
      <c r="V89" s="19">
        <f t="shared" si="62"/>
        <v>2.878505438107365E-3</v>
      </c>
      <c r="W89" s="2"/>
      <c r="X89" s="2">
        <f t="shared" si="63"/>
        <v>-495</v>
      </c>
      <c r="Y89" s="2"/>
      <c r="Z89" s="19">
        <f t="shared" si="64"/>
        <v>-1</v>
      </c>
    </row>
    <row r="90" spans="1:26" s="24" customFormat="1" hidden="1" outlineLevel="1" x14ac:dyDescent="0.25">
      <c r="A90" s="44"/>
      <c r="B90" s="11" t="str">
        <f>CONCATENATE("          ", "9150", " - ", "MISC. INCOME")</f>
        <v xml:space="preserve">          9150 - MISC. INCOME</v>
      </c>
      <c r="C90" s="11"/>
      <c r="D90" s="2">
        <f>--6782</f>
        <v>6782</v>
      </c>
      <c r="E90" s="2"/>
      <c r="F90" s="19">
        <f t="shared" si="57"/>
        <v>0.74486873088953709</v>
      </c>
      <c r="G90" s="2"/>
      <c r="H90" s="2">
        <f>--13269</f>
        <v>13269</v>
      </c>
      <c r="I90" s="2"/>
      <c r="J90" s="19">
        <f t="shared" si="58"/>
        <v>0.20199855104212158</v>
      </c>
      <c r="K90" s="2"/>
      <c r="L90" s="2">
        <f t="shared" si="59"/>
        <v>-6487</v>
      </c>
      <c r="M90" s="2"/>
      <c r="N90" s="19">
        <f t="shared" si="60"/>
        <v>-0.48888386464692141</v>
      </c>
      <c r="O90" s="11"/>
      <c r="P90" s="2">
        <f>--20346</f>
        <v>20346</v>
      </c>
      <c r="Q90" s="2"/>
      <c r="R90" s="19">
        <f t="shared" si="61"/>
        <v>0.33095250101257218</v>
      </c>
      <c r="S90" s="2"/>
      <c r="T90" s="2">
        <f>--39807</f>
        <v>39807</v>
      </c>
      <c r="U90" s="2"/>
      <c r="V90" s="19">
        <f t="shared" si="62"/>
        <v>0.23148417368634316</v>
      </c>
      <c r="W90" s="2"/>
      <c r="X90" s="2">
        <f t="shared" si="63"/>
        <v>-19461</v>
      </c>
      <c r="Y90" s="2"/>
      <c r="Z90" s="19">
        <f t="shared" si="64"/>
        <v>-0.48888386464692141</v>
      </c>
    </row>
    <row r="91" spans="1:26" s="24" customFormat="1" hidden="1" outlineLevel="1" x14ac:dyDescent="0.25">
      <c r="A91" s="44"/>
      <c r="B91" s="11" t="str">
        <f>CONCATENATE("          ", "9160", " - ", "MISC. INCOME")</f>
        <v xml:space="preserve">          9160 - MISC. INCOME</v>
      </c>
      <c r="C91" s="11"/>
      <c r="D91" s="2">
        <f>0</f>
        <v>0</v>
      </c>
      <c r="E91" s="2"/>
      <c r="F91" s="19">
        <f t="shared" si="57"/>
        <v>0</v>
      </c>
      <c r="G91" s="2"/>
      <c r="H91" s="2">
        <f>0</f>
        <v>0</v>
      </c>
      <c r="I91" s="2"/>
      <c r="J91" s="19">
        <f t="shared" si="58"/>
        <v>0</v>
      </c>
      <c r="K91" s="2"/>
      <c r="L91" s="2">
        <f t="shared" si="59"/>
        <v>0</v>
      </c>
      <c r="M91" s="2"/>
      <c r="N91" s="19">
        <f t="shared" si="60"/>
        <v>0</v>
      </c>
      <c r="O91" s="11"/>
      <c r="P91" s="2">
        <f>0</f>
        <v>0</v>
      </c>
      <c r="Q91" s="2"/>
      <c r="R91" s="19">
        <f t="shared" si="61"/>
        <v>0</v>
      </c>
      <c r="S91" s="2"/>
      <c r="T91" s="2">
        <f>--21170</f>
        <v>21170</v>
      </c>
      <c r="U91" s="2"/>
      <c r="V91" s="19">
        <f t="shared" si="62"/>
        <v>0.12310699015097558</v>
      </c>
      <c r="W91" s="2"/>
      <c r="X91" s="2">
        <f t="shared" si="63"/>
        <v>-21170</v>
      </c>
      <c r="Y91" s="2"/>
      <c r="Z91" s="19">
        <f t="shared" si="64"/>
        <v>-1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10"/>
      <c r="B93" s="25" t="s">
        <v>3</v>
      </c>
      <c r="C93" s="25"/>
      <c r="D93" s="22">
        <f>+D36-D38+D86</f>
        <v>-22426.079999999994</v>
      </c>
      <c r="E93" s="13"/>
      <c r="F93" s="21">
        <f>IF(D$12=0,0,D93/D$12)</f>
        <v>-2.4630618915404341</v>
      </c>
      <c r="G93" s="13"/>
      <c r="H93" s="22">
        <f>+H36-H38+H86</f>
        <v>20458.629999999997</v>
      </c>
      <c r="I93" s="13"/>
      <c r="J93" s="21">
        <f>IF(H$12=0,0,H93/H$12)</f>
        <v>0.31144876149724016</v>
      </c>
      <c r="K93" s="15"/>
      <c r="L93" s="22">
        <f>+D93-H93</f>
        <v>-42884.709999999992</v>
      </c>
      <c r="M93" s="15"/>
      <c r="N93" s="21">
        <f>IF(H93=0,0,L93/H93)</f>
        <v>-2.0961672409149585</v>
      </c>
      <c r="O93" s="26"/>
      <c r="P93" s="22">
        <f>+P36-P38+P86</f>
        <v>44766.720000000023</v>
      </c>
      <c r="Q93" s="13"/>
      <c r="R93" s="21">
        <f>IF(P$12=0,0,P93/P$12)</f>
        <v>0.72818529175904567</v>
      </c>
      <c r="S93" s="13"/>
      <c r="T93" s="22">
        <f>+T36-T38+T86</f>
        <v>112886.50999999998</v>
      </c>
      <c r="U93" s="13"/>
      <c r="V93" s="21">
        <f>IF(T$12=0,0,T93/T$12)</f>
        <v>0.65645339984638662</v>
      </c>
      <c r="W93" s="15"/>
      <c r="X93" s="22">
        <f>+P93-T93</f>
        <v>-68119.78999999995</v>
      </c>
      <c r="Y93" s="15"/>
      <c r="Z93" s="21">
        <f>IF(T93=0,0,X93/T93)</f>
        <v>-0.60343605272233114</v>
      </c>
    </row>
    <row r="94" spans="1:26" x14ac:dyDescent="0.25">
      <c r="A94" s="9"/>
      <c r="B94" s="10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25">
      <c r="A95" s="51"/>
      <c r="B95" s="10" t="s">
        <v>13</v>
      </c>
      <c r="C95" s="10"/>
      <c r="D95" s="4">
        <v>2546.6</v>
      </c>
      <c r="E95" s="4"/>
      <c r="F95" s="12">
        <f>IF(D$12=0,0,D95/D$12)</f>
        <v>0.27969370540891991</v>
      </c>
      <c r="G95" s="4"/>
      <c r="H95" s="4">
        <v>5220.59</v>
      </c>
      <c r="I95" s="4"/>
      <c r="J95" s="12">
        <f>IF(H$12=0,0,H95/H$12)</f>
        <v>7.9474837258647194E-2</v>
      </c>
      <c r="K95" s="4"/>
      <c r="L95" s="4">
        <f>+D95-H95</f>
        <v>-2673.9900000000002</v>
      </c>
      <c r="M95" s="4"/>
      <c r="N95" s="12">
        <f>IF(H95=0,0,L95/H95)</f>
        <v>-0.51220072827017638</v>
      </c>
      <c r="O95" s="10"/>
      <c r="P95" s="4">
        <v>11388.94</v>
      </c>
      <c r="Q95" s="4"/>
      <c r="R95" s="12">
        <f>IF(P$12=0,0,P95/P$12)</f>
        <v>0.18525499738927179</v>
      </c>
      <c r="S95" s="4"/>
      <c r="T95" s="4">
        <v>18471.230000000003</v>
      </c>
      <c r="U95" s="4"/>
      <c r="V95" s="12">
        <f>IF(T$12=0,0,T95/T$12)</f>
        <v>0.10741320404753921</v>
      </c>
      <c r="W95" s="4"/>
      <c r="X95" s="4">
        <f>+P95-T95</f>
        <v>-7082.2900000000027</v>
      </c>
      <c r="Y95" s="4"/>
      <c r="Z95" s="12">
        <f>IF(T95=0,0,X95/T95)</f>
        <v>-0.38342276069325115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4</v>
      </c>
      <c r="C97" s="25"/>
      <c r="D97" s="33">
        <f>+D93-D95</f>
        <v>-24972.679999999993</v>
      </c>
      <c r="E97" s="13"/>
      <c r="F97" s="32">
        <f>IF(D$12=0,0,D97/D$12)</f>
        <v>-2.7427555969493542</v>
      </c>
      <c r="G97" s="13"/>
      <c r="H97" s="33">
        <f>+H93-H95</f>
        <v>15238.039999999997</v>
      </c>
      <c r="I97" s="13"/>
      <c r="J97" s="32">
        <f>IF(H$12=0,0,H97/H$12)</f>
        <v>0.23197392423859295</v>
      </c>
      <c r="K97" s="15"/>
      <c r="L97" s="33">
        <f>D97-H97</f>
        <v>-40210.719999999987</v>
      </c>
      <c r="M97" s="15"/>
      <c r="N97" s="32">
        <f>IF(H97=0,0,L97/H97)</f>
        <v>-2.6388380657879882</v>
      </c>
      <c r="O97" s="26"/>
      <c r="P97" s="33">
        <f>+P93-P95</f>
        <v>33377.780000000021</v>
      </c>
      <c r="Q97" s="13"/>
      <c r="R97" s="32">
        <f>IF(P$12=0,0,P97/P$12)</f>
        <v>0.5429302943697738</v>
      </c>
      <c r="S97" s="13"/>
      <c r="T97" s="33">
        <f>+T93-T95</f>
        <v>94415.27999999997</v>
      </c>
      <c r="U97" s="13"/>
      <c r="V97" s="32">
        <f>IF(T$12=0,0,T97/T$12)</f>
        <v>0.54904019579884733</v>
      </c>
      <c r="W97" s="15"/>
      <c r="X97" s="33">
        <f>P97-T97</f>
        <v>-61037.499999999949</v>
      </c>
      <c r="Y97" s="15"/>
      <c r="Z97" s="32">
        <f>IF(T97=0,0,X97/T97)</f>
        <v>-0.64647904449364524</v>
      </c>
    </row>
    <row r="98" spans="1:26" ht="15.75" thickTop="1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5" t="s">
        <v>5</v>
      </c>
      <c r="C100" s="25"/>
      <c r="D100" s="34">
        <f>SUM(D97:D99)</f>
        <v>-24972.679999999993</v>
      </c>
      <c r="E100" s="13"/>
      <c r="F100" s="31">
        <f>IF(D$12=0,0,D100/D$12)</f>
        <v>-2.7427555969493542</v>
      </c>
      <c r="G100" s="13"/>
      <c r="H100" s="34">
        <f>SUM(H97:H99)</f>
        <v>15238.039999999997</v>
      </c>
      <c r="I100" s="13"/>
      <c r="J100" s="31">
        <f>IF(H$12=0,0,H100/H$12)</f>
        <v>0.23197392423859295</v>
      </c>
      <c r="K100" s="15"/>
      <c r="L100" s="34">
        <f>+D100-H100</f>
        <v>-40210.719999999987</v>
      </c>
      <c r="M100" s="15"/>
      <c r="N100" s="31">
        <f>IF(H100=0,0,L100/H100)</f>
        <v>-2.6388380657879882</v>
      </c>
      <c r="O100" s="26"/>
      <c r="P100" s="34">
        <f>SUM(P97:P99)</f>
        <v>33377.780000000021</v>
      </c>
      <c r="Q100" s="13"/>
      <c r="R100" s="31">
        <f>IF(P$12=0,0,P100/P$12)</f>
        <v>0.5429302943697738</v>
      </c>
      <c r="S100" s="13"/>
      <c r="T100" s="34">
        <f>SUM(T97:T99)</f>
        <v>94415.27999999997</v>
      </c>
      <c r="U100" s="13"/>
      <c r="V100" s="31">
        <f>IF(T$12=0,0,T100/T$12)</f>
        <v>0.54904019579884733</v>
      </c>
      <c r="W100" s="15"/>
      <c r="X100" s="34">
        <f>+P100-T100</f>
        <v>-61037.499999999949</v>
      </c>
      <c r="Y100" s="15"/>
      <c r="Z100" s="31">
        <f>IF(T100=0,0,X100/T100)</f>
        <v>-0.64647904449364524</v>
      </c>
    </row>
    <row r="101" spans="1:26" ht="15.75" thickTop="1" x14ac:dyDescent="0.25">
      <c r="A101" s="9"/>
      <c r="C101" s="9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A102" s="9"/>
      <c r="B102" s="54">
        <v>44123.564778009262</v>
      </c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  <row r="103" spans="1:26" x14ac:dyDescent="0.25">
      <c r="A103" s="9"/>
      <c r="B103" s="59" t="s">
        <v>313</v>
      </c>
      <c r="D103" s="18"/>
      <c r="E103" s="18"/>
      <c r="G103" s="18"/>
      <c r="H103" s="18"/>
      <c r="I103" s="18"/>
      <c r="J103" s="42"/>
      <c r="K103" s="18"/>
      <c r="L103" s="18"/>
      <c r="M103" s="18"/>
      <c r="P103" s="18"/>
      <c r="Q103" s="18"/>
      <c r="R103" s="42"/>
      <c r="S103" s="18"/>
      <c r="T103" s="18"/>
      <c r="U103" s="18"/>
      <c r="V103" s="42"/>
      <c r="W103" s="18"/>
      <c r="X103" s="18"/>
    </row>
    <row r="104" spans="1:26" x14ac:dyDescent="0.25">
      <c r="A104" s="9"/>
      <c r="B104" s="58"/>
      <c r="D104" s="18"/>
      <c r="E104" s="18"/>
      <c r="G104" s="18"/>
      <c r="H104" s="18"/>
      <c r="I104" s="18"/>
      <c r="J104" s="42"/>
      <c r="K104" s="18"/>
      <c r="L104" s="18"/>
      <c r="M104" s="18"/>
      <c r="P104" s="18"/>
      <c r="Q104" s="18"/>
      <c r="R104" s="42"/>
      <c r="S104" s="18"/>
      <c r="T104" s="18"/>
      <c r="U104" s="18"/>
      <c r="V104" s="42"/>
      <c r="W104" s="18"/>
      <c r="X104" s="18"/>
    </row>
    <row r="105" spans="1:26" x14ac:dyDescent="0.25">
      <c r="D105" s="18"/>
      <c r="E105" s="18"/>
      <c r="G105" s="18"/>
      <c r="H105" s="18"/>
      <c r="I105" s="18"/>
      <c r="J105" s="42"/>
      <c r="K105" s="18"/>
      <c r="L105" s="18"/>
      <c r="M105" s="18"/>
      <c r="P105" s="18"/>
      <c r="Q105" s="18"/>
      <c r="R105" s="42"/>
      <c r="S105" s="18"/>
      <c r="T105" s="18"/>
      <c r="U105" s="18"/>
      <c r="V105" s="42"/>
      <c r="W105" s="18"/>
      <c r="X105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9104.9600000000009</v>
      </c>
      <c r="E12" s="4"/>
      <c r="F12" s="12"/>
      <c r="G12" s="4"/>
      <c r="H12" s="4">
        <f>SUM(OSRRefH13x_0)</f>
        <v>65618.789999999994</v>
      </c>
      <c r="I12" s="4"/>
      <c r="J12" s="12"/>
      <c r="K12" s="4"/>
      <c r="L12" s="4">
        <f t="shared" ref="L12:L24" si="0">+D12-H12</f>
        <v>-56513.829999999994</v>
      </c>
      <c r="M12" s="4"/>
      <c r="N12" s="12">
        <f t="shared" ref="N12:N24" si="1">IF(H12=0,0,L12/H12)</f>
        <v>-0.86124462215776909</v>
      </c>
      <c r="O12" s="10"/>
      <c r="P12" s="4">
        <f>SUM(OSRRefP13x_0)</f>
        <v>61477.1</v>
      </c>
      <c r="Q12" s="4"/>
      <c r="R12" s="12"/>
      <c r="S12" s="4"/>
      <c r="T12" s="4">
        <f>SUM(OSRRefT13x_0)</f>
        <v>168243.71999999997</v>
      </c>
      <c r="U12" s="4"/>
      <c r="V12" s="12"/>
      <c r="W12" s="4"/>
      <c r="X12" s="4">
        <f t="shared" ref="X12:X24" si="2">+P12-T12</f>
        <v>-106766.61999999997</v>
      </c>
      <c r="Y12" s="4"/>
      <c r="Z12" s="12">
        <f t="shared" ref="Z12:Z24" si="3">IF(T12=0,0,X12/T12)</f>
        <v>-0.63459497923607477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-7.3</f>
        <v>-7.3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-7.3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--8785.72</f>
        <v>8785.7199999999993</v>
      </c>
      <c r="E14" s="2"/>
      <c r="F14" s="19"/>
      <c r="G14" s="2"/>
      <c r="H14" s="2">
        <f>--20926.4</f>
        <v>20926.400000000001</v>
      </c>
      <c r="I14" s="2"/>
      <c r="J14" s="19"/>
      <c r="K14" s="2"/>
      <c r="L14" s="2">
        <f t="shared" si="0"/>
        <v>-12140.680000000002</v>
      </c>
      <c r="M14" s="2"/>
      <c r="N14" s="19">
        <f t="shared" si="1"/>
        <v>-0.58016094502637827</v>
      </c>
      <c r="O14" s="11"/>
      <c r="P14" s="2">
        <f>--52221.77</f>
        <v>52221.77</v>
      </c>
      <c r="Q14" s="2"/>
      <c r="R14" s="19"/>
      <c r="S14" s="2"/>
      <c r="T14" s="2">
        <f>--95294.2</f>
        <v>95294.2</v>
      </c>
      <c r="U14" s="2"/>
      <c r="V14" s="19"/>
      <c r="W14" s="2"/>
      <c r="X14" s="2">
        <f t="shared" si="2"/>
        <v>-43072.43</v>
      </c>
      <c r="Y14" s="2"/>
      <c r="Z14" s="19">
        <f t="shared" si="3"/>
        <v>-0.45199424519015852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--476.85</f>
        <v>476.85</v>
      </c>
      <c r="E15" s="2"/>
      <c r="F15" s="19"/>
      <c r="G15" s="2"/>
      <c r="H15" s="2">
        <f>--7680.9</f>
        <v>7680.9</v>
      </c>
      <c r="I15" s="2"/>
      <c r="J15" s="19"/>
      <c r="K15" s="2"/>
      <c r="L15" s="2">
        <f t="shared" si="0"/>
        <v>-7204.0499999999993</v>
      </c>
      <c r="M15" s="2"/>
      <c r="N15" s="19">
        <f t="shared" si="1"/>
        <v>-0.93791743155099006</v>
      </c>
      <c r="O15" s="11"/>
      <c r="P15" s="2">
        <f>--9433.72</f>
        <v>9433.7199999999993</v>
      </c>
      <c r="Q15" s="2"/>
      <c r="R15" s="19"/>
      <c r="S15" s="2"/>
      <c r="T15" s="2">
        <f>--19757.89</f>
        <v>19757.89</v>
      </c>
      <c r="U15" s="2"/>
      <c r="V15" s="19"/>
      <c r="W15" s="2"/>
      <c r="X15" s="2">
        <f t="shared" si="2"/>
        <v>-10324.17</v>
      </c>
      <c r="Y15" s="2"/>
      <c r="Z15" s="19">
        <f t="shared" si="3"/>
        <v>-0.52253403577001389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--2.99</f>
        <v>2.99</v>
      </c>
      <c r="E16" s="2"/>
      <c r="F16" s="19"/>
      <c r="G16" s="2"/>
      <c r="H16" s="2">
        <f>--18.47</f>
        <v>18.47</v>
      </c>
      <c r="I16" s="2"/>
      <c r="J16" s="19"/>
      <c r="K16" s="2"/>
      <c r="L16" s="2">
        <f t="shared" si="0"/>
        <v>-15.479999999999999</v>
      </c>
      <c r="M16" s="2"/>
      <c r="N16" s="19">
        <f t="shared" si="1"/>
        <v>-0.83811586356253387</v>
      </c>
      <c r="O16" s="11"/>
      <c r="P16" s="2">
        <f>--7.98</f>
        <v>7.98</v>
      </c>
      <c r="Q16" s="2"/>
      <c r="R16" s="19"/>
      <c r="S16" s="2"/>
      <c r="T16" s="2">
        <f>--95.73</f>
        <v>95.73</v>
      </c>
      <c r="U16" s="2"/>
      <c r="V16" s="19"/>
      <c r="W16" s="2"/>
      <c r="X16" s="2">
        <f t="shared" si="2"/>
        <v>-87.75</v>
      </c>
      <c r="Y16" s="2"/>
      <c r="Z16" s="19">
        <f t="shared" si="3"/>
        <v>-0.9166405515512378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ref="D17:D19" si="4">0</f>
        <v>0</v>
      </c>
      <c r="E17" s="2"/>
      <c r="F17" s="19"/>
      <c r="G17" s="2"/>
      <c r="H17" s="2">
        <f>--488.97</f>
        <v>488.97</v>
      </c>
      <c r="I17" s="2"/>
      <c r="J17" s="19"/>
      <c r="K17" s="2"/>
      <c r="L17" s="2">
        <f t="shared" si="0"/>
        <v>-488.97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--971.35</f>
        <v>971.35</v>
      </c>
      <c r="U17" s="2"/>
      <c r="V17" s="19"/>
      <c r="W17" s="2"/>
      <c r="X17" s="2">
        <f t="shared" si="2"/>
        <v>-971.35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19"/>
      <c r="G18" s="2"/>
      <c r="H18" s="2">
        <f>-24.65</f>
        <v>-24.65</v>
      </c>
      <c r="I18" s="2"/>
      <c r="J18" s="19"/>
      <c r="K18" s="2"/>
      <c r="L18" s="2">
        <f t="shared" si="0"/>
        <v>24.65</v>
      </c>
      <c r="M18" s="2"/>
      <c r="N18" s="19">
        <f t="shared" si="1"/>
        <v>-1</v>
      </c>
      <c r="O18" s="11"/>
      <c r="P18" s="2">
        <f>--457.5</f>
        <v>457.5</v>
      </c>
      <c r="Q18" s="2"/>
      <c r="R18" s="19"/>
      <c r="S18" s="2"/>
      <c r="T18" s="2">
        <f>--152.75</f>
        <v>152.75</v>
      </c>
      <c r="U18" s="2"/>
      <c r="V18" s="19"/>
      <c r="W18" s="2"/>
      <c r="X18" s="2">
        <f t="shared" si="2"/>
        <v>304.75</v>
      </c>
      <c r="Y18" s="2"/>
      <c r="Z18" s="19">
        <f t="shared" si="3"/>
        <v>1.9950900163666121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4"/>
        <v>0</v>
      </c>
      <c r="E19" s="2"/>
      <c r="F19" s="19"/>
      <c r="G19" s="2"/>
      <c r="H19" s="2">
        <f>--1589.5</f>
        <v>1589.5</v>
      </c>
      <c r="I19" s="2"/>
      <c r="J19" s="19"/>
      <c r="K19" s="2"/>
      <c r="L19" s="2">
        <f t="shared" si="0"/>
        <v>-1589.5</v>
      </c>
      <c r="M19" s="2"/>
      <c r="N19" s="19">
        <f t="shared" si="1"/>
        <v>-1</v>
      </c>
      <c r="O19" s="11"/>
      <c r="P19" s="2">
        <f>--5.98</f>
        <v>5.98</v>
      </c>
      <c r="Q19" s="2"/>
      <c r="R19" s="19"/>
      <c r="S19" s="2"/>
      <c r="T19" s="2">
        <f>--2101.5</f>
        <v>2101.5</v>
      </c>
      <c r="U19" s="2"/>
      <c r="V19" s="19"/>
      <c r="W19" s="2"/>
      <c r="X19" s="2">
        <f t="shared" si="2"/>
        <v>-2095.52</v>
      </c>
      <c r="Y19" s="2"/>
      <c r="Z19" s="19">
        <f t="shared" si="3"/>
        <v>-0.99715441351415657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--49.7</f>
        <v>49.7</v>
      </c>
      <c r="E20" s="2"/>
      <c r="F20" s="19"/>
      <c r="G20" s="2"/>
      <c r="H20" s="2">
        <f>--34744.75</f>
        <v>34744.75</v>
      </c>
      <c r="I20" s="2"/>
      <c r="J20" s="19"/>
      <c r="K20" s="2"/>
      <c r="L20" s="2">
        <f t="shared" si="0"/>
        <v>-34695.050000000003</v>
      </c>
      <c r="M20" s="2"/>
      <c r="N20" s="19">
        <f t="shared" si="1"/>
        <v>-0.99856956806424002</v>
      </c>
      <c r="O20" s="11"/>
      <c r="P20" s="2">
        <f>--65.2</f>
        <v>65.2</v>
      </c>
      <c r="Q20" s="2"/>
      <c r="R20" s="19"/>
      <c r="S20" s="2"/>
      <c r="T20" s="2">
        <f>--50093.5</f>
        <v>50093.5</v>
      </c>
      <c r="U20" s="2"/>
      <c r="V20" s="19"/>
      <c r="W20" s="2"/>
      <c r="X20" s="2">
        <f t="shared" si="2"/>
        <v>-50028.3</v>
      </c>
      <c r="Y20" s="2"/>
      <c r="Z20" s="19">
        <f t="shared" si="3"/>
        <v>-0.99869843392855362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--24</f>
        <v>24</v>
      </c>
      <c r="E21" s="2"/>
      <c r="F21" s="19"/>
      <c r="G21" s="2"/>
      <c r="H21" s="2">
        <f>--344.5</f>
        <v>344.5</v>
      </c>
      <c r="I21" s="2"/>
      <c r="J21" s="19"/>
      <c r="K21" s="2"/>
      <c r="L21" s="2">
        <f t="shared" si="0"/>
        <v>-320.5</v>
      </c>
      <c r="M21" s="2"/>
      <c r="N21" s="19">
        <f t="shared" si="1"/>
        <v>-0.93033381712626995</v>
      </c>
      <c r="O21" s="11"/>
      <c r="P21" s="2">
        <f>--48</f>
        <v>48</v>
      </c>
      <c r="Q21" s="2"/>
      <c r="R21" s="19"/>
      <c r="S21" s="2"/>
      <c r="T21" s="2">
        <f>--414.9</f>
        <v>414.9</v>
      </c>
      <c r="U21" s="2"/>
      <c r="V21" s="19"/>
      <c r="W21" s="2"/>
      <c r="X21" s="2">
        <f t="shared" si="2"/>
        <v>-366.9</v>
      </c>
      <c r="Y21" s="2"/>
      <c r="Z21" s="19">
        <f t="shared" si="3"/>
        <v>-0.88430947216196676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-234.3</f>
        <v>-234.3</v>
      </c>
      <c r="E22" s="2"/>
      <c r="F22" s="19"/>
      <c r="G22" s="2"/>
      <c r="H22" s="2">
        <f>-150.05</f>
        <v>-150.05000000000001</v>
      </c>
      <c r="I22" s="2"/>
      <c r="J22" s="19"/>
      <c r="K22" s="2"/>
      <c r="L22" s="2">
        <f t="shared" si="0"/>
        <v>-84.25</v>
      </c>
      <c r="M22" s="2"/>
      <c r="N22" s="19">
        <f t="shared" si="1"/>
        <v>0.5614795068310563</v>
      </c>
      <c r="O22" s="11"/>
      <c r="P22" s="2">
        <f>-755.75</f>
        <v>-755.75</v>
      </c>
      <c r="Q22" s="2"/>
      <c r="R22" s="19"/>
      <c r="S22" s="2"/>
      <c r="T22" s="2">
        <f>-613.75</f>
        <v>-613.75</v>
      </c>
      <c r="U22" s="2"/>
      <c r="V22" s="19"/>
      <c r="W22" s="2"/>
      <c r="X22" s="2">
        <f t="shared" si="2"/>
        <v>-142</v>
      </c>
      <c r="Y22" s="2"/>
      <c r="Z22" s="19">
        <f t="shared" si="3"/>
        <v>0.23136456211812628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ref="D23:D24" si="5">0</f>
        <v>0</v>
      </c>
      <c r="E23" s="2"/>
      <c r="F23" s="19"/>
      <c r="G23" s="2"/>
      <c r="H23" s="2">
        <f t="shared" ref="H23:H24" si="6"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7">0</f>
        <v>0</v>
      </c>
      <c r="Q23" s="2"/>
      <c r="R23" s="19"/>
      <c r="S23" s="2"/>
      <c r="T23" s="2">
        <f>-16.2</f>
        <v>-16.2</v>
      </c>
      <c r="U23" s="2"/>
      <c r="V23" s="19"/>
      <c r="W23" s="2"/>
      <c r="X23" s="2">
        <f t="shared" si="2"/>
        <v>16.2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5"/>
        <v>0</v>
      </c>
      <c r="E24" s="2"/>
      <c r="F24" s="19"/>
      <c r="G24" s="2"/>
      <c r="H24" s="2">
        <f t="shared" si="6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7"/>
        <v>0</v>
      </c>
      <c r="Q24" s="2"/>
      <c r="R24" s="19"/>
      <c r="S24" s="2"/>
      <c r="T24" s="2">
        <f>-8.15</f>
        <v>-8.15</v>
      </c>
      <c r="U24" s="2"/>
      <c r="V24" s="19"/>
      <c r="W24" s="2"/>
      <c r="X24" s="2">
        <f t="shared" si="2"/>
        <v>8.15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2">
        <f>D12-D26</f>
        <v>9104.9600000000009</v>
      </c>
      <c r="E28" s="13"/>
      <c r="F28" s="21">
        <f>IF(D$12=0,0,D28/D$12)</f>
        <v>1</v>
      </c>
      <c r="G28" s="13"/>
      <c r="H28" s="22">
        <f>H12-H26</f>
        <v>65618.789999999994</v>
      </c>
      <c r="I28" s="13"/>
      <c r="J28" s="21">
        <f>IF(H$12=0,0,H28/H$12)</f>
        <v>1</v>
      </c>
      <c r="K28" s="15"/>
      <c r="L28" s="22">
        <f>+D28-H28</f>
        <v>-56513.829999999994</v>
      </c>
      <c r="M28" s="15"/>
      <c r="N28" s="21">
        <f>IF(H28=0,0,L28/H28)</f>
        <v>-0.86124462215776909</v>
      </c>
      <c r="O28" s="26"/>
      <c r="P28" s="22">
        <f>P12-P26</f>
        <v>61477.1</v>
      </c>
      <c r="Q28" s="13"/>
      <c r="R28" s="21">
        <f>IF(P$12=0,0,P28/P$12)</f>
        <v>1</v>
      </c>
      <c r="S28" s="13"/>
      <c r="T28" s="22">
        <f>T12-T26</f>
        <v>168243.71999999997</v>
      </c>
      <c r="U28" s="13"/>
      <c r="V28" s="21">
        <f>IF(T$12=0,0,T28/T$12)</f>
        <v>1</v>
      </c>
      <c r="W28" s="15"/>
      <c r="X28" s="22">
        <f>+P28-T28</f>
        <v>-106766.61999999997</v>
      </c>
      <c r="Y28" s="15"/>
      <c r="Z28" s="21">
        <f>IF(T28=0,0,X28/T28)</f>
        <v>-0.63459497923607477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0">
        <f>SUM(OSRRefD22x_0)</f>
        <v>38313.039999999994</v>
      </c>
      <c r="E30" s="20"/>
      <c r="F30" s="36">
        <f t="shared" ref="F30:F39" si="8">IF(D$12=0,0,D30/D$12)</f>
        <v>4.2079306224299708</v>
      </c>
      <c r="G30" s="20"/>
      <c r="H30" s="20">
        <f>SUM(OSRRefH22x_0)</f>
        <v>49342.62</v>
      </c>
      <c r="I30" s="20"/>
      <c r="J30" s="36">
        <f t="shared" ref="J30:J39" si="9">IF(H$12=0,0,H30/H$12)</f>
        <v>0.75195869963466266</v>
      </c>
      <c r="K30" s="4"/>
      <c r="L30" s="20">
        <f t="shared" ref="L30:L39" si="10">+D30-H30</f>
        <v>-11029.580000000009</v>
      </c>
      <c r="M30" s="4"/>
      <c r="N30" s="36">
        <f t="shared" ref="N30:N39" si="11">IF(H30=0,0,L30/H30)</f>
        <v>-0.22353048946326742</v>
      </c>
      <c r="O30" s="10"/>
      <c r="P30" s="20">
        <f>SUM(OSRRefP22x_0)</f>
        <v>37056.379999999976</v>
      </c>
      <c r="Q30" s="20"/>
      <c r="R30" s="36">
        <f t="shared" ref="R30:R39" si="12">IF(P$12=0,0,P30/P$12)</f>
        <v>0.60276720925352656</v>
      </c>
      <c r="S30" s="20"/>
      <c r="T30" s="20">
        <f>SUM(OSRRefT22x_0)</f>
        <v>121657.73</v>
      </c>
      <c r="U30" s="20"/>
      <c r="V30" s="36">
        <f t="shared" ref="V30:V39" si="13">IF(T$12=0,0,T30/T$12)</f>
        <v>0.72310413725992273</v>
      </c>
      <c r="W30" s="4"/>
      <c r="X30" s="20">
        <f t="shared" ref="X30:X39" si="14">+P30-T30</f>
        <v>-84601.35000000002</v>
      </c>
      <c r="Y30" s="4"/>
      <c r="Z30" s="36">
        <f t="shared" ref="Z30:Z39" si="15">IF(T30=0,0,X30/T30)</f>
        <v>-0.69540464054359741</v>
      </c>
    </row>
    <row r="31" spans="1:26" s="27" customFormat="1" outlineLevel="1" collapsed="1" x14ac:dyDescent="0.25">
      <c r="A31" s="29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9025.3599999999988</v>
      </c>
      <c r="E31" s="1"/>
      <c r="F31" s="5">
        <f t="shared" si="8"/>
        <v>0.99125751238885151</v>
      </c>
      <c r="G31" s="1"/>
      <c r="H31" s="1">
        <f>SUM(OSRRefH22_0x_0)</f>
        <v>7974.0300000000007</v>
      </c>
      <c r="I31" s="1"/>
      <c r="J31" s="5">
        <f t="shared" si="9"/>
        <v>0.12152052788538163</v>
      </c>
      <c r="K31" s="1"/>
      <c r="L31" s="1">
        <f t="shared" si="10"/>
        <v>1051.3299999999981</v>
      </c>
      <c r="M31" s="1"/>
      <c r="N31" s="5">
        <f t="shared" si="11"/>
        <v>0.13184424939459696</v>
      </c>
      <c r="O31" s="14"/>
      <c r="P31" s="1">
        <f>SUM(OSRRefP22_0x_0)</f>
        <v>25858.910000000003</v>
      </c>
      <c r="Q31" s="1"/>
      <c r="R31" s="5">
        <f t="shared" si="12"/>
        <v>0.42062670490312659</v>
      </c>
      <c r="S31" s="1"/>
      <c r="T31" s="1">
        <f>SUM(OSRRefT22_0x_0)</f>
        <v>22280.38</v>
      </c>
      <c r="U31" s="1"/>
      <c r="V31" s="5">
        <f t="shared" si="13"/>
        <v>0.13242919260225586</v>
      </c>
      <c r="W31" s="1"/>
      <c r="X31" s="1">
        <f t="shared" si="14"/>
        <v>3578.5300000000025</v>
      </c>
      <c r="Y31" s="1"/>
      <c r="Z31" s="5">
        <f t="shared" si="15"/>
        <v>0.16061350838719995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7">
        <v>1220.78</v>
      </c>
      <c r="E32" s="2"/>
      <c r="F32" s="6">
        <f t="shared" si="8"/>
        <v>0.1340785681650441</v>
      </c>
      <c r="G32" s="2"/>
      <c r="H32" s="7">
        <v>1053.6400000000001</v>
      </c>
      <c r="I32" s="2"/>
      <c r="J32" s="6">
        <f t="shared" si="9"/>
        <v>1.6056986116324307E-2</v>
      </c>
      <c r="K32" s="2"/>
      <c r="L32" s="7">
        <f t="shared" si="10"/>
        <v>167.13999999999987</v>
      </c>
      <c r="M32" s="2"/>
      <c r="N32" s="6">
        <f t="shared" si="11"/>
        <v>0.15863103147184984</v>
      </c>
      <c r="O32" s="11"/>
      <c r="P32" s="7">
        <v>3554.26</v>
      </c>
      <c r="Q32" s="2"/>
      <c r="R32" s="6">
        <f t="shared" si="12"/>
        <v>5.7814373156834013E-2</v>
      </c>
      <c r="S32" s="2"/>
      <c r="T32" s="7">
        <v>3386.91</v>
      </c>
      <c r="U32" s="2"/>
      <c r="V32" s="6">
        <f t="shared" si="13"/>
        <v>2.013097427945602E-2</v>
      </c>
      <c r="W32" s="2"/>
      <c r="X32" s="7">
        <f t="shared" si="14"/>
        <v>167.35000000000036</v>
      </c>
      <c r="Y32" s="2"/>
      <c r="Z32" s="6">
        <f t="shared" si="15"/>
        <v>4.9410819891877955E-2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7">
        <v>316.77</v>
      </c>
      <c r="E33" s="2"/>
      <c r="F33" s="6">
        <f t="shared" si="8"/>
        <v>3.4790927143007765E-2</v>
      </c>
      <c r="G33" s="2"/>
      <c r="H33" s="7">
        <v>238.77</v>
      </c>
      <c r="I33" s="2"/>
      <c r="J33" s="6">
        <f t="shared" si="9"/>
        <v>3.6387443291776645E-3</v>
      </c>
      <c r="K33" s="2"/>
      <c r="L33" s="7">
        <f t="shared" si="10"/>
        <v>77.999999999999972</v>
      </c>
      <c r="M33" s="2"/>
      <c r="N33" s="6">
        <f t="shared" si="11"/>
        <v>0.3266742053021735</v>
      </c>
      <c r="O33" s="11"/>
      <c r="P33" s="7">
        <v>922.34</v>
      </c>
      <c r="Q33" s="2"/>
      <c r="R33" s="6">
        <f t="shared" si="12"/>
        <v>1.5002984851269822E-2</v>
      </c>
      <c r="S33" s="2"/>
      <c r="T33" s="7">
        <v>604.75</v>
      </c>
      <c r="U33" s="2"/>
      <c r="V33" s="6">
        <f t="shared" si="13"/>
        <v>3.5944878061421851E-3</v>
      </c>
      <c r="W33" s="2"/>
      <c r="X33" s="7">
        <f t="shared" si="14"/>
        <v>317.59000000000003</v>
      </c>
      <c r="Y33" s="2"/>
      <c r="Z33" s="6">
        <f t="shared" si="15"/>
        <v>0.52515915667631263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7">
        <v>3423.78</v>
      </c>
      <c r="E34" s="2"/>
      <c r="F34" s="6">
        <f t="shared" si="8"/>
        <v>0.37603460092081675</v>
      </c>
      <c r="G34" s="2"/>
      <c r="H34" s="7">
        <v>3051.28</v>
      </c>
      <c r="I34" s="2"/>
      <c r="J34" s="6">
        <f t="shared" si="9"/>
        <v>4.65000954757014E-2</v>
      </c>
      <c r="K34" s="2"/>
      <c r="L34" s="7">
        <f t="shared" si="10"/>
        <v>372.5</v>
      </c>
      <c r="M34" s="2"/>
      <c r="N34" s="6">
        <f t="shared" si="11"/>
        <v>0.12207991400330352</v>
      </c>
      <c r="O34" s="11"/>
      <c r="P34" s="7">
        <v>9469.99</v>
      </c>
      <c r="Q34" s="2"/>
      <c r="R34" s="6">
        <f t="shared" si="12"/>
        <v>0.15404093556787812</v>
      </c>
      <c r="S34" s="2"/>
      <c r="T34" s="7">
        <v>8229.6</v>
      </c>
      <c r="U34" s="2"/>
      <c r="V34" s="6">
        <f t="shared" si="13"/>
        <v>4.8914752954820555E-2</v>
      </c>
      <c r="W34" s="2"/>
      <c r="X34" s="7">
        <f t="shared" si="14"/>
        <v>1240.3899999999994</v>
      </c>
      <c r="Y34" s="2"/>
      <c r="Z34" s="6">
        <f t="shared" si="15"/>
        <v>0.15072299990278984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44.52</v>
      </c>
      <c r="E35" s="2"/>
      <c r="F35" s="6">
        <f t="shared" si="8"/>
        <v>4.889642568446209E-3</v>
      </c>
      <c r="G35" s="2"/>
      <c r="H35" s="7">
        <v>47.03</v>
      </c>
      <c r="I35" s="2"/>
      <c r="J35" s="6">
        <f t="shared" si="9"/>
        <v>7.1671544080590343E-4</v>
      </c>
      <c r="K35" s="2"/>
      <c r="L35" s="7">
        <f t="shared" si="10"/>
        <v>-2.509999999999998</v>
      </c>
      <c r="M35" s="2"/>
      <c r="N35" s="6">
        <f t="shared" si="11"/>
        <v>-5.3370189240910013E-2</v>
      </c>
      <c r="O35" s="11"/>
      <c r="P35" s="7">
        <v>129.62</v>
      </c>
      <c r="Q35" s="2"/>
      <c r="R35" s="6">
        <f t="shared" si="12"/>
        <v>2.1084273656369608E-3</v>
      </c>
      <c r="S35" s="2"/>
      <c r="T35" s="7">
        <v>125.82</v>
      </c>
      <c r="U35" s="2"/>
      <c r="V35" s="6">
        <f t="shared" si="13"/>
        <v>7.4784366394181026E-4</v>
      </c>
      <c r="W35" s="2"/>
      <c r="X35" s="7">
        <f t="shared" si="14"/>
        <v>3.8000000000000114</v>
      </c>
      <c r="Y35" s="2"/>
      <c r="Z35" s="6">
        <f t="shared" si="15"/>
        <v>3.0201875695438019E-2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7">
        <v>1614.45</v>
      </c>
      <c r="E36" s="2"/>
      <c r="F36" s="6">
        <f t="shared" si="8"/>
        <v>0.17731544125399781</v>
      </c>
      <c r="G36" s="2"/>
      <c r="H36" s="7">
        <v>1187.75</v>
      </c>
      <c r="I36" s="2"/>
      <c r="J36" s="6">
        <f t="shared" si="9"/>
        <v>1.8100760468152493E-2</v>
      </c>
      <c r="K36" s="2"/>
      <c r="L36" s="7">
        <f t="shared" si="10"/>
        <v>426.70000000000005</v>
      </c>
      <c r="M36" s="2"/>
      <c r="N36" s="6">
        <f t="shared" si="11"/>
        <v>0.35925068406651234</v>
      </c>
      <c r="O36" s="11"/>
      <c r="P36" s="7">
        <v>5295.36</v>
      </c>
      <c r="Q36" s="2"/>
      <c r="R36" s="6">
        <f t="shared" si="12"/>
        <v>8.6135487848320758E-2</v>
      </c>
      <c r="S36" s="2"/>
      <c r="T36" s="7">
        <v>3367.01</v>
      </c>
      <c r="U36" s="2"/>
      <c r="V36" s="6">
        <f t="shared" si="13"/>
        <v>2.0012693490134435E-2</v>
      </c>
      <c r="W36" s="2"/>
      <c r="X36" s="7">
        <f t="shared" si="14"/>
        <v>1928.3499999999995</v>
      </c>
      <c r="Y36" s="2"/>
      <c r="Z36" s="6">
        <f t="shared" si="15"/>
        <v>0.57271882174392097</v>
      </c>
    </row>
    <row r="37" spans="1:26" s="24" customFormat="1" hidden="1" outlineLevel="2" x14ac:dyDescent="0.25">
      <c r="A37" s="28"/>
      <c r="B37" s="11" t="str">
        <f>CONCATENATE("          ", "6118", " - ", "VACATION")</f>
        <v xml:space="preserve">          6118 - VACATION</v>
      </c>
      <c r="C37" s="11"/>
      <c r="D37" s="7">
        <v>1216.0999999999999</v>
      </c>
      <c r="E37" s="2"/>
      <c r="F37" s="6">
        <f t="shared" si="8"/>
        <v>0.13356456261202682</v>
      </c>
      <c r="G37" s="2"/>
      <c r="H37" s="7">
        <v>1236.01</v>
      </c>
      <c r="I37" s="2"/>
      <c r="J37" s="6">
        <f t="shared" si="9"/>
        <v>1.8836220539878899E-2</v>
      </c>
      <c r="K37" s="2"/>
      <c r="L37" s="7">
        <f t="shared" si="10"/>
        <v>-19.910000000000082</v>
      </c>
      <c r="M37" s="2"/>
      <c r="N37" s="6">
        <f t="shared" si="11"/>
        <v>-1.6108283913560638E-2</v>
      </c>
      <c r="O37" s="11"/>
      <c r="P37" s="7">
        <v>3411.08</v>
      </c>
      <c r="Q37" s="2"/>
      <c r="R37" s="6">
        <f t="shared" si="12"/>
        <v>5.5485375855399817E-2</v>
      </c>
      <c r="S37" s="2"/>
      <c r="T37" s="7">
        <v>3682.43</v>
      </c>
      <c r="U37" s="2"/>
      <c r="V37" s="6">
        <f t="shared" si="13"/>
        <v>2.1887473719672867E-2</v>
      </c>
      <c r="W37" s="2"/>
      <c r="X37" s="7">
        <f t="shared" si="14"/>
        <v>-271.34999999999991</v>
      </c>
      <c r="Y37" s="2"/>
      <c r="Z37" s="6">
        <f t="shared" si="15"/>
        <v>-7.3687755096498761E-2</v>
      </c>
    </row>
    <row r="38" spans="1:26" s="24" customFormat="1" hidden="1" outlineLevel="2" x14ac:dyDescent="0.25">
      <c r="A38" s="28"/>
      <c r="B38" s="11" t="str">
        <f>CONCATENATE("          ", "6119", " - ", "SICK LEAVE")</f>
        <v xml:space="preserve">          6119 - SICK LEAVE</v>
      </c>
      <c r="C38" s="11"/>
      <c r="D38" s="7">
        <v>738.5</v>
      </c>
      <c r="E38" s="2"/>
      <c r="F38" s="6">
        <f t="shared" si="8"/>
        <v>8.1109636945137592E-2</v>
      </c>
      <c r="G38" s="2"/>
      <c r="H38" s="7">
        <v>809.89</v>
      </c>
      <c r="I38" s="2"/>
      <c r="J38" s="6">
        <f t="shared" si="9"/>
        <v>1.2342348891224602E-2</v>
      </c>
      <c r="K38" s="2"/>
      <c r="L38" s="7">
        <f t="shared" si="10"/>
        <v>-71.389999999999986</v>
      </c>
      <c r="M38" s="2"/>
      <c r="N38" s="6">
        <f t="shared" si="11"/>
        <v>-8.8147773154378981E-2</v>
      </c>
      <c r="O38" s="11"/>
      <c r="P38" s="7">
        <v>2109.52</v>
      </c>
      <c r="Q38" s="2"/>
      <c r="R38" s="6">
        <f t="shared" si="12"/>
        <v>3.431391526275638E-2</v>
      </c>
      <c r="S38" s="2"/>
      <c r="T38" s="7">
        <v>2148.41</v>
      </c>
      <c r="U38" s="2"/>
      <c r="V38" s="6">
        <f t="shared" si="13"/>
        <v>1.2769629677708031E-2</v>
      </c>
      <c r="W38" s="2"/>
      <c r="X38" s="7">
        <f t="shared" si="14"/>
        <v>-38.889999999999873</v>
      </c>
      <c r="Y38" s="2"/>
      <c r="Z38" s="6">
        <f t="shared" si="15"/>
        <v>-1.8101758975242098E-2</v>
      </c>
    </row>
    <row r="39" spans="1:26" s="24" customFormat="1" hidden="1" outlineLevel="2" x14ac:dyDescent="0.25">
      <c r="A39" s="28"/>
      <c r="B39" s="11" t="str">
        <f>CONCATENATE("          ", "6156", " - ", "EMPLOYEE MEALS")</f>
        <v xml:space="preserve">          6156 - EMPLOYEE MEALS</v>
      </c>
      <c r="C39" s="11"/>
      <c r="D39" s="7">
        <v>450.46</v>
      </c>
      <c r="E39" s="2"/>
      <c r="F39" s="6">
        <f t="shared" si="8"/>
        <v>4.9474132780374644E-2</v>
      </c>
      <c r="G39" s="2"/>
      <c r="H39" s="7">
        <v>349.66</v>
      </c>
      <c r="I39" s="2"/>
      <c r="J39" s="6">
        <f t="shared" si="9"/>
        <v>5.3286566241163551E-3</v>
      </c>
      <c r="K39" s="2"/>
      <c r="L39" s="7">
        <f t="shared" si="10"/>
        <v>100.79999999999995</v>
      </c>
      <c r="M39" s="2"/>
      <c r="N39" s="6">
        <f t="shared" si="11"/>
        <v>0.28828004347080005</v>
      </c>
      <c r="O39" s="11"/>
      <c r="P39" s="7">
        <v>966.74</v>
      </c>
      <c r="Q39" s="2"/>
      <c r="R39" s="6">
        <f t="shared" si="12"/>
        <v>1.5725204995030672E-2</v>
      </c>
      <c r="S39" s="2"/>
      <c r="T39" s="7">
        <v>735.45</v>
      </c>
      <c r="U39" s="2"/>
      <c r="V39" s="6">
        <f t="shared" si="13"/>
        <v>4.3713370103799429E-3</v>
      </c>
      <c r="W39" s="2"/>
      <c r="X39" s="7">
        <f t="shared" si="14"/>
        <v>231.28999999999996</v>
      </c>
      <c r="Y39" s="2"/>
      <c r="Z39" s="6">
        <f t="shared" si="15"/>
        <v>0.3144877286015364</v>
      </c>
    </row>
    <row r="40" spans="1:26" s="27" customFormat="1" outlineLevel="1" collapsed="1" x14ac:dyDescent="0.25">
      <c r="A40" s="29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15984.94</v>
      </c>
      <c r="E40" s="1"/>
      <c r="F40" s="5">
        <f t="shared" ref="F40:F43" si="16">IF(D$12=0,0,D40/D$12)</f>
        <v>1.755629898428988</v>
      </c>
      <c r="G40" s="1"/>
      <c r="H40" s="1">
        <f>SUM(OSRRefH22_1x_0)</f>
        <v>18444.34</v>
      </c>
      <c r="I40" s="1"/>
      <c r="J40" s="5">
        <f t="shared" ref="J40:J43" si="17">IF(H$12=0,0,H40/H$12)</f>
        <v>0.28108320802623765</v>
      </c>
      <c r="K40" s="1"/>
      <c r="L40" s="1">
        <f t="shared" ref="L40:L43" si="18">+D40-H40</f>
        <v>-2459.3999999999996</v>
      </c>
      <c r="M40" s="1"/>
      <c r="N40" s="5">
        <f t="shared" ref="N40:N43" si="19">IF(H40=0,0,L40/H40)</f>
        <v>-0.13334171892298666</v>
      </c>
      <c r="O40" s="14"/>
      <c r="P40" s="1">
        <f>SUM(OSRRefP22_1x_0)</f>
        <v>44550.659999999996</v>
      </c>
      <c r="Q40" s="1"/>
      <c r="R40" s="5">
        <f t="shared" ref="R40:R43" si="20">IF(P$12=0,0,P40/P$12)</f>
        <v>0.72467081238379816</v>
      </c>
      <c r="S40" s="1"/>
      <c r="T40" s="1">
        <f>SUM(OSRRefT22_1x_0)</f>
        <v>52261.36</v>
      </c>
      <c r="U40" s="1"/>
      <c r="V40" s="5">
        <f t="shared" ref="V40:V43" si="21">IF(T$12=0,0,T40/T$12)</f>
        <v>0.31062889004118555</v>
      </c>
      <c r="W40" s="1"/>
      <c r="X40" s="1">
        <f t="shared" ref="X40:X43" si="22">+P40-T40</f>
        <v>-7710.7000000000044</v>
      </c>
      <c r="Y40" s="1"/>
      <c r="Z40" s="5">
        <f t="shared" ref="Z40:Z43" si="23">IF(T40=0,0,X40/T40)</f>
        <v>-0.14754112790023077</v>
      </c>
    </row>
    <row r="41" spans="1:26" s="24" customFormat="1" hidden="1" outlineLevel="2" x14ac:dyDescent="0.25">
      <c r="A41" s="28"/>
      <c r="B41" s="11" t="str">
        <f>CONCATENATE("          ", "6002", " - ", "STAFF SALARIES")</f>
        <v xml:space="preserve">          6002 - STAFF SALARIES</v>
      </c>
      <c r="C41" s="11"/>
      <c r="D41" s="7">
        <v>14903.76</v>
      </c>
      <c r="E41" s="2"/>
      <c r="F41" s="6">
        <f t="shared" si="16"/>
        <v>1.6368836326573646</v>
      </c>
      <c r="G41" s="2"/>
      <c r="H41" s="7">
        <v>12098.2</v>
      </c>
      <c r="I41" s="2"/>
      <c r="J41" s="6">
        <f t="shared" si="17"/>
        <v>0.18437097057108187</v>
      </c>
      <c r="K41" s="2"/>
      <c r="L41" s="7">
        <f t="shared" si="18"/>
        <v>2805.5599999999995</v>
      </c>
      <c r="M41" s="2"/>
      <c r="N41" s="6">
        <f t="shared" si="19"/>
        <v>0.23189896017589387</v>
      </c>
      <c r="O41" s="11"/>
      <c r="P41" s="7">
        <v>42013.96</v>
      </c>
      <c r="Q41" s="2"/>
      <c r="R41" s="6">
        <f t="shared" si="20"/>
        <v>0.68340829349465082</v>
      </c>
      <c r="S41" s="2"/>
      <c r="T41" s="7">
        <v>34914.97</v>
      </c>
      <c r="U41" s="2"/>
      <c r="V41" s="6">
        <f t="shared" si="21"/>
        <v>0.20752614124319177</v>
      </c>
      <c r="W41" s="2"/>
      <c r="X41" s="7">
        <f t="shared" si="22"/>
        <v>7098.989999999998</v>
      </c>
      <c r="Y41" s="2"/>
      <c r="Z41" s="6">
        <f t="shared" si="23"/>
        <v>0.20332224257961551</v>
      </c>
    </row>
    <row r="42" spans="1:26" s="24" customFormat="1" hidden="1" outlineLevel="2" x14ac:dyDescent="0.25">
      <c r="A42" s="28"/>
      <c r="B42" s="11" t="str">
        <f>CONCATENATE("          ", "6005", " - ", "TEMPORARY WAGES-HOURLY")</f>
        <v xml:space="preserve">          6005 - TEMPORARY WAGES-HOURLY</v>
      </c>
      <c r="C42" s="11"/>
      <c r="D42" s="7"/>
      <c r="E42" s="2"/>
      <c r="F42" s="6">
        <f t="shared" si="16"/>
        <v>0</v>
      </c>
      <c r="G42" s="2"/>
      <c r="H42" s="7">
        <v>1690.5</v>
      </c>
      <c r="I42" s="2"/>
      <c r="J42" s="6">
        <f t="shared" si="17"/>
        <v>2.5762437862691466E-2</v>
      </c>
      <c r="K42" s="2"/>
      <c r="L42" s="7">
        <f t="shared" si="18"/>
        <v>-1690.5</v>
      </c>
      <c r="M42" s="2"/>
      <c r="N42" s="6">
        <f t="shared" si="19"/>
        <v>-1</v>
      </c>
      <c r="O42" s="11"/>
      <c r="P42" s="7">
        <v>383.25</v>
      </c>
      <c r="Q42" s="2"/>
      <c r="R42" s="6">
        <f t="shared" si="20"/>
        <v>6.234028605773532E-3</v>
      </c>
      <c r="S42" s="2"/>
      <c r="T42" s="7">
        <v>4182.5</v>
      </c>
      <c r="U42" s="2"/>
      <c r="V42" s="6">
        <f t="shared" si="21"/>
        <v>2.4859768911433964E-2</v>
      </c>
      <c r="W42" s="2"/>
      <c r="X42" s="7">
        <f t="shared" si="22"/>
        <v>-3799.25</v>
      </c>
      <c r="Y42" s="2"/>
      <c r="Z42" s="6">
        <f t="shared" si="23"/>
        <v>-0.90836820083682013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7">
        <v>1081.18</v>
      </c>
      <c r="E43" s="2"/>
      <c r="F43" s="6">
        <f t="shared" si="16"/>
        <v>0.11874626577162338</v>
      </c>
      <c r="G43" s="2"/>
      <c r="H43" s="7">
        <v>4655.6400000000003</v>
      </c>
      <c r="I43" s="2"/>
      <c r="J43" s="6">
        <f t="shared" si="17"/>
        <v>7.0949799592464308E-2</v>
      </c>
      <c r="K43" s="2"/>
      <c r="L43" s="7">
        <f t="shared" si="18"/>
        <v>-3574.46</v>
      </c>
      <c r="M43" s="2"/>
      <c r="N43" s="6">
        <f t="shared" si="19"/>
        <v>-0.76776984474744603</v>
      </c>
      <c r="O43" s="11"/>
      <c r="P43" s="7">
        <v>2153.4499999999998</v>
      </c>
      <c r="Q43" s="2"/>
      <c r="R43" s="6">
        <f t="shared" si="20"/>
        <v>3.5028490283373806E-2</v>
      </c>
      <c r="S43" s="2"/>
      <c r="T43" s="7">
        <v>13163.89</v>
      </c>
      <c r="U43" s="2"/>
      <c r="V43" s="6">
        <f t="shared" si="21"/>
        <v>7.8242979886559816E-2</v>
      </c>
      <c r="W43" s="2"/>
      <c r="X43" s="7">
        <f t="shared" si="22"/>
        <v>-11010.439999999999</v>
      </c>
      <c r="Y43" s="2"/>
      <c r="Z43" s="6">
        <f t="shared" si="23"/>
        <v>-0.83641233708273155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SUM(OSRRefD22_2x_0)</f>
        <v>169.88</v>
      </c>
      <c r="E44" s="1"/>
      <c r="F44" s="5">
        <f t="shared" ref="F44:F52" si="24">IF(D$12=0,0,D44/D$12)</f>
        <v>1.8657962253540925E-2</v>
      </c>
      <c r="G44" s="1"/>
      <c r="H44" s="1">
        <f>SUM(OSRRefH22_2x_0)</f>
        <v>0</v>
      </c>
      <c r="I44" s="1"/>
      <c r="J44" s="5">
        <f t="shared" ref="J44:J52" si="25">IF(H$12=0,0,H44/H$12)</f>
        <v>0</v>
      </c>
      <c r="K44" s="1"/>
      <c r="L44" s="1">
        <f t="shared" ref="L44:L52" si="26">+D44-H44</f>
        <v>169.88</v>
      </c>
      <c r="M44" s="1"/>
      <c r="N44" s="5">
        <f t="shared" ref="N44:N52" si="27">IF(H44=0,0,L44/H44)</f>
        <v>0</v>
      </c>
      <c r="O44" s="14"/>
      <c r="P44" s="1">
        <f>SUM(OSRRefP22_2x_0)</f>
        <v>509.64</v>
      </c>
      <c r="Q44" s="1"/>
      <c r="R44" s="5">
        <f t="shared" ref="R44:R52" si="28">IF(P$12=0,0,P44/P$12)</f>
        <v>8.2899160825738363E-3</v>
      </c>
      <c r="S44" s="1"/>
      <c r="T44" s="1">
        <f>SUM(OSRRefT22_2x_0)</f>
        <v>0</v>
      </c>
      <c r="U44" s="1"/>
      <c r="V44" s="5">
        <f t="shared" ref="V44:V52" si="29">IF(T$12=0,0,T44/T$12)</f>
        <v>0</v>
      </c>
      <c r="W44" s="1"/>
      <c r="X44" s="1">
        <f t="shared" ref="X44:X52" si="30">+P44-T44</f>
        <v>509.64</v>
      </c>
      <c r="Y44" s="1"/>
      <c r="Z44" s="5">
        <f t="shared" ref="Z44:Z52" si="31">IF(T44=0,0,X44/T44)</f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169.88</v>
      </c>
      <c r="E45" s="2"/>
      <c r="F45" s="6">
        <f t="shared" si="24"/>
        <v>1.8657962253540925E-2</v>
      </c>
      <c r="G45" s="2"/>
      <c r="H45" s="7"/>
      <c r="I45" s="2"/>
      <c r="J45" s="6">
        <f t="shared" si="25"/>
        <v>0</v>
      </c>
      <c r="K45" s="2"/>
      <c r="L45" s="7">
        <f t="shared" si="26"/>
        <v>169.88</v>
      </c>
      <c r="M45" s="2"/>
      <c r="N45" s="6">
        <f t="shared" si="27"/>
        <v>0</v>
      </c>
      <c r="O45" s="11"/>
      <c r="P45" s="7">
        <v>509.64</v>
      </c>
      <c r="Q45" s="2"/>
      <c r="R45" s="6">
        <f t="shared" si="28"/>
        <v>8.2899160825738363E-3</v>
      </c>
      <c r="S45" s="2"/>
      <c r="T45" s="7"/>
      <c r="U45" s="2"/>
      <c r="V45" s="6">
        <f t="shared" si="29"/>
        <v>0</v>
      </c>
      <c r="W45" s="2"/>
      <c r="X45" s="7">
        <f t="shared" si="30"/>
        <v>509.64</v>
      </c>
      <c r="Y45" s="2"/>
      <c r="Z45" s="6">
        <f t="shared" si="31"/>
        <v>0</v>
      </c>
    </row>
    <row r="46" spans="1:26" s="27" customFormat="1" outlineLevel="1" collapsed="1" x14ac:dyDescent="0.25">
      <c r="A46" s="29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SUM(OSRRefD22_3x_0)</f>
        <v>0</v>
      </c>
      <c r="E46" s="1"/>
      <c r="F46" s="5">
        <f t="shared" si="24"/>
        <v>0</v>
      </c>
      <c r="G46" s="1"/>
      <c r="H46" s="1">
        <f>SUM(OSRRefH22_3x_0)</f>
        <v>140.38999999999999</v>
      </c>
      <c r="I46" s="1"/>
      <c r="J46" s="5">
        <f t="shared" si="25"/>
        <v>2.1394786462840903E-3</v>
      </c>
      <c r="K46" s="1"/>
      <c r="L46" s="1">
        <f t="shared" si="26"/>
        <v>-140.38999999999999</v>
      </c>
      <c r="M46" s="1"/>
      <c r="N46" s="5">
        <f t="shared" si="27"/>
        <v>-1</v>
      </c>
      <c r="O46" s="14"/>
      <c r="P46" s="1">
        <f>SUM(OSRRefP22_3x_0)</f>
        <v>0</v>
      </c>
      <c r="Q46" s="1"/>
      <c r="R46" s="5">
        <f t="shared" si="28"/>
        <v>0</v>
      </c>
      <c r="S46" s="1"/>
      <c r="T46" s="1">
        <f>SUM(OSRRefT22_3x_0)</f>
        <v>300.56</v>
      </c>
      <c r="U46" s="1"/>
      <c r="V46" s="5">
        <f t="shared" si="29"/>
        <v>1.786455981833973E-3</v>
      </c>
      <c r="W46" s="1"/>
      <c r="X46" s="1">
        <f t="shared" si="30"/>
        <v>-300.56</v>
      </c>
      <c r="Y46" s="1"/>
      <c r="Z46" s="5">
        <f t="shared" si="31"/>
        <v>-1</v>
      </c>
    </row>
    <row r="47" spans="1:26" s="24" customFormat="1" hidden="1" outlineLevel="2" x14ac:dyDescent="0.25">
      <c r="A47" s="28"/>
      <c r="B47" s="11" t="str">
        <f>CONCATENATE("          ", "6382", " - ", "DISCOUNTS/MARK DOWNS")</f>
        <v xml:space="preserve">          6382 - DISCOUNTS/MARK DOWNS</v>
      </c>
      <c r="C47" s="11"/>
      <c r="D47" s="7"/>
      <c r="E47" s="2"/>
      <c r="F47" s="6">
        <f t="shared" si="24"/>
        <v>0</v>
      </c>
      <c r="G47" s="2"/>
      <c r="H47" s="7">
        <v>140.38999999999999</v>
      </c>
      <c r="I47" s="2"/>
      <c r="J47" s="6">
        <f t="shared" si="25"/>
        <v>2.1394786462840903E-3</v>
      </c>
      <c r="K47" s="2"/>
      <c r="L47" s="7">
        <f t="shared" si="26"/>
        <v>-140.38999999999999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300.56</v>
      </c>
      <c r="U47" s="2"/>
      <c r="V47" s="6">
        <f t="shared" si="29"/>
        <v>1.786455981833973E-3</v>
      </c>
      <c r="W47" s="2"/>
      <c r="X47" s="7">
        <f t="shared" si="30"/>
        <v>-300.56</v>
      </c>
      <c r="Y47" s="2"/>
      <c r="Z47" s="6">
        <f t="shared" si="31"/>
        <v>-1</v>
      </c>
    </row>
    <row r="48" spans="1:26" s="27" customFormat="1" outlineLevel="1" collapsed="1" x14ac:dyDescent="0.25">
      <c r="A48" s="29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SUM(OSRRefD22_4x_0)</f>
        <v>1205.6400000000001</v>
      </c>
      <c r="E48" s="1"/>
      <c r="F48" s="5">
        <f t="shared" si="24"/>
        <v>0.13241573823498401</v>
      </c>
      <c r="G48" s="1"/>
      <c r="H48" s="1">
        <f>SUM(OSRRefH22_4x_0)</f>
        <v>1205.6400000000001</v>
      </c>
      <c r="I48" s="1"/>
      <c r="J48" s="5">
        <f t="shared" si="25"/>
        <v>1.8373395791053144E-2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SUM(OSRRefP22_4x_0)</f>
        <v>3616.92</v>
      </c>
      <c r="Q48" s="1"/>
      <c r="R48" s="5">
        <f t="shared" si="28"/>
        <v>5.8833614467826235E-2</v>
      </c>
      <c r="S48" s="1"/>
      <c r="T48" s="1">
        <f>SUM(OSRRefT22_4x_0)</f>
        <v>3616.92</v>
      </c>
      <c r="U48" s="1"/>
      <c r="V48" s="5">
        <f t="shared" si="29"/>
        <v>2.1498098116232812E-2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7">
        <v>1205.6400000000001</v>
      </c>
      <c r="E49" s="2"/>
      <c r="F49" s="6">
        <f t="shared" si="24"/>
        <v>0.13241573823498401</v>
      </c>
      <c r="G49" s="2"/>
      <c r="H49" s="7">
        <v>1205.6400000000001</v>
      </c>
      <c r="I49" s="2"/>
      <c r="J49" s="6">
        <f t="shared" si="25"/>
        <v>1.8373395791053144E-2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>
        <v>3616.92</v>
      </c>
      <c r="Q49" s="2"/>
      <c r="R49" s="6">
        <f t="shared" si="28"/>
        <v>5.8833614467826235E-2</v>
      </c>
      <c r="S49" s="2"/>
      <c r="T49" s="7">
        <v>3616.92</v>
      </c>
      <c r="U49" s="2"/>
      <c r="V49" s="6">
        <f t="shared" si="29"/>
        <v>2.1498098116232812E-2</v>
      </c>
      <c r="W49" s="2"/>
      <c r="X49" s="7">
        <f t="shared" si="30"/>
        <v>0</v>
      </c>
      <c r="Y49" s="2"/>
      <c r="Z49" s="6">
        <f t="shared" si="31"/>
        <v>0</v>
      </c>
    </row>
    <row r="50" spans="1:26" s="27" customFormat="1" outlineLevel="1" collapsed="1" x14ac:dyDescent="0.25">
      <c r="A50" s="29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SUM(OSRRefD22_5x_0)</f>
        <v>-6321.6000000000013</v>
      </c>
      <c r="E50" s="1"/>
      <c r="F50" s="5">
        <f t="shared" si="24"/>
        <v>-0.69430288546023278</v>
      </c>
      <c r="G50" s="1"/>
      <c r="H50" s="1">
        <f>SUM(OSRRefH22_5x_0)</f>
        <v>0</v>
      </c>
      <c r="I50" s="1"/>
      <c r="J50" s="5">
        <f t="shared" si="25"/>
        <v>0</v>
      </c>
      <c r="K50" s="1"/>
      <c r="L50" s="1">
        <f t="shared" si="26"/>
        <v>-6321.6000000000013</v>
      </c>
      <c r="M50" s="1"/>
      <c r="N50" s="5">
        <f t="shared" si="27"/>
        <v>0</v>
      </c>
      <c r="O50" s="14"/>
      <c r="P50" s="1">
        <f>SUM(OSRRefP22_5x_0)</f>
        <v>-82000.679999999993</v>
      </c>
      <c r="Q50" s="1"/>
      <c r="R50" s="5">
        <f t="shared" si="28"/>
        <v>-1.3338410562632264</v>
      </c>
      <c r="S50" s="1"/>
      <c r="T50" s="1">
        <f>SUM(OSRRefT22_5x_0)</f>
        <v>0</v>
      </c>
      <c r="U50" s="1"/>
      <c r="V50" s="5">
        <f t="shared" si="29"/>
        <v>0</v>
      </c>
      <c r="W50" s="1"/>
      <c r="X50" s="1">
        <f t="shared" si="30"/>
        <v>-82000.679999999993</v>
      </c>
      <c r="Y50" s="1"/>
      <c r="Z50" s="5">
        <f t="shared" si="31"/>
        <v>0</v>
      </c>
    </row>
    <row r="51" spans="1:26" s="24" customFormat="1" hidden="1" outlineLevel="2" x14ac:dyDescent="0.25">
      <c r="A51" s="28"/>
      <c r="B51" s="11" t="str">
        <f>CONCATENATE("          ", "6305", " - ", "FREIGHT OUT")</f>
        <v xml:space="preserve">          6305 - FREIGHT OUT</v>
      </c>
      <c r="C51" s="11"/>
      <c r="D51" s="7">
        <v>5262.44</v>
      </c>
      <c r="E51" s="2"/>
      <c r="F51" s="6">
        <f t="shared" si="24"/>
        <v>0.57797508171370315</v>
      </c>
      <c r="G51" s="2"/>
      <c r="H51" s="7"/>
      <c r="I51" s="2"/>
      <c r="J51" s="6">
        <f t="shared" si="25"/>
        <v>0</v>
      </c>
      <c r="K51" s="2"/>
      <c r="L51" s="7">
        <f t="shared" si="26"/>
        <v>5262.44</v>
      </c>
      <c r="M51" s="2"/>
      <c r="N51" s="6">
        <f t="shared" si="27"/>
        <v>0</v>
      </c>
      <c r="O51" s="11"/>
      <c r="P51" s="7">
        <v>25040.79</v>
      </c>
      <c r="Q51" s="2"/>
      <c r="R51" s="6">
        <f t="shared" si="28"/>
        <v>0.40731898544336026</v>
      </c>
      <c r="S51" s="2"/>
      <c r="T51" s="7"/>
      <c r="U51" s="2"/>
      <c r="V51" s="6">
        <f t="shared" si="29"/>
        <v>0</v>
      </c>
      <c r="W51" s="2"/>
      <c r="X51" s="7">
        <f t="shared" si="30"/>
        <v>25040.79</v>
      </c>
      <c r="Y51" s="2"/>
      <c r="Z51" s="6">
        <f t="shared" si="31"/>
        <v>0</v>
      </c>
    </row>
    <row r="52" spans="1:26" s="24" customFormat="1" hidden="1" outlineLevel="2" x14ac:dyDescent="0.25">
      <c r="A52" s="28"/>
      <c r="B52" s="11" t="str">
        <f>CONCATENATE("          ", "6307", " - ", "POSTAGE")</f>
        <v xml:space="preserve">          6307 - POSTAGE</v>
      </c>
      <c r="C52" s="11"/>
      <c r="D52" s="7">
        <v>-11584.04</v>
      </c>
      <c r="E52" s="2"/>
      <c r="F52" s="6">
        <f t="shared" si="24"/>
        <v>-1.2722779671739359</v>
      </c>
      <c r="G52" s="2"/>
      <c r="H52" s="7"/>
      <c r="I52" s="2"/>
      <c r="J52" s="6">
        <f t="shared" si="25"/>
        <v>0</v>
      </c>
      <c r="K52" s="2"/>
      <c r="L52" s="7">
        <f t="shared" si="26"/>
        <v>-11584.04</v>
      </c>
      <c r="M52" s="2"/>
      <c r="N52" s="6">
        <f t="shared" si="27"/>
        <v>0</v>
      </c>
      <c r="O52" s="11"/>
      <c r="P52" s="7">
        <v>-107041.47</v>
      </c>
      <c r="Q52" s="2"/>
      <c r="R52" s="6">
        <f t="shared" si="28"/>
        <v>-1.7411600417065867</v>
      </c>
      <c r="S52" s="2"/>
      <c r="T52" s="7"/>
      <c r="U52" s="2"/>
      <c r="V52" s="6">
        <f t="shared" si="29"/>
        <v>0</v>
      </c>
      <c r="W52" s="2"/>
      <c r="X52" s="7">
        <f t="shared" si="30"/>
        <v>-107041.47</v>
      </c>
      <c r="Y52" s="2"/>
      <c r="Z52" s="6">
        <f t="shared" si="31"/>
        <v>0</v>
      </c>
    </row>
    <row r="53" spans="1:26" s="27" customFormat="1" outlineLevel="1" collapsed="1" x14ac:dyDescent="0.25">
      <c r="A53" s="29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SUM(OSRRefD22_6x_0)</f>
        <v>7243.55</v>
      </c>
      <c r="E53" s="1"/>
      <c r="F53" s="5">
        <f t="shared" ref="F53:F63" si="32">IF(D$12=0,0,D53/D$12)</f>
        <v>0.79556088110216838</v>
      </c>
      <c r="G53" s="1"/>
      <c r="H53" s="1">
        <f>SUM(OSRRefH22_6x_0)</f>
        <v>6637.41</v>
      </c>
      <c r="I53" s="1"/>
      <c r="J53" s="5">
        <f t="shared" ref="J53:J63" si="33">IF(H$12=0,0,H53/H$12)</f>
        <v>0.10115105749435491</v>
      </c>
      <c r="K53" s="1"/>
      <c r="L53" s="1">
        <f t="shared" ref="L53:L63" si="34">+D53-H53</f>
        <v>606.14000000000033</v>
      </c>
      <c r="M53" s="1"/>
      <c r="N53" s="5">
        <f t="shared" ref="N53:N63" si="35">IF(H53=0,0,L53/H53)</f>
        <v>9.1321765568196073E-2</v>
      </c>
      <c r="O53" s="14"/>
      <c r="P53" s="1">
        <f>SUM(OSRRefP22_6x_0)</f>
        <v>18846.670000000002</v>
      </c>
      <c r="Q53" s="1"/>
      <c r="R53" s="5">
        <f t="shared" ref="R53:R63" si="36">IF(P$12=0,0,P53/P$12)</f>
        <v>0.30656407019849674</v>
      </c>
      <c r="S53" s="1"/>
      <c r="T53" s="1">
        <f>SUM(OSRRefT22_6x_0)</f>
        <v>18447.43</v>
      </c>
      <c r="U53" s="1"/>
      <c r="V53" s="5">
        <f t="shared" ref="V53:V63" si="37">IF(T$12=0,0,T53/T$12)</f>
        <v>0.10964706438968422</v>
      </c>
      <c r="W53" s="1"/>
      <c r="X53" s="1">
        <f t="shared" ref="X53:X63" si="38">+P53-T53</f>
        <v>399.2400000000016</v>
      </c>
      <c r="Y53" s="1"/>
      <c r="Z53" s="5">
        <f t="shared" ref="Z53:Z63" si="39">IF(T53=0,0,X53/T53)</f>
        <v>2.1642039026574519E-2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7">
        <v>7243.55</v>
      </c>
      <c r="E54" s="2"/>
      <c r="F54" s="6">
        <f t="shared" si="32"/>
        <v>0.79556088110216838</v>
      </c>
      <c r="G54" s="2"/>
      <c r="H54" s="7">
        <v>6637.41</v>
      </c>
      <c r="I54" s="2"/>
      <c r="J54" s="6">
        <f t="shared" si="33"/>
        <v>0.10115105749435491</v>
      </c>
      <c r="K54" s="2"/>
      <c r="L54" s="7">
        <f t="shared" si="34"/>
        <v>606.14000000000033</v>
      </c>
      <c r="M54" s="2"/>
      <c r="N54" s="6">
        <f t="shared" si="35"/>
        <v>9.1321765568196073E-2</v>
      </c>
      <c r="O54" s="11"/>
      <c r="P54" s="7">
        <v>18846.670000000002</v>
      </c>
      <c r="Q54" s="2"/>
      <c r="R54" s="6">
        <f t="shared" si="36"/>
        <v>0.30656407019849674</v>
      </c>
      <c r="S54" s="2"/>
      <c r="T54" s="7">
        <v>18447.43</v>
      </c>
      <c r="U54" s="2"/>
      <c r="V54" s="6">
        <f t="shared" si="37"/>
        <v>0.10964706438968422</v>
      </c>
      <c r="W54" s="2"/>
      <c r="X54" s="7">
        <f t="shared" si="38"/>
        <v>399.2400000000016</v>
      </c>
      <c r="Y54" s="2"/>
      <c r="Z54" s="6">
        <f t="shared" si="39"/>
        <v>2.1642039026574519E-2</v>
      </c>
    </row>
    <row r="55" spans="1:26" s="27" customFormat="1" outlineLevel="1" collapsed="1" x14ac:dyDescent="0.25">
      <c r="A55" s="29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SUM(OSRRefD22_7x_0)</f>
        <v>62.6</v>
      </c>
      <c r="E55" s="1"/>
      <c r="F55" s="5">
        <f t="shared" si="32"/>
        <v>6.8753734228376613E-3</v>
      </c>
      <c r="G55" s="1"/>
      <c r="H55" s="1">
        <f>SUM(OSRRefH22_7x_0)</f>
        <v>10215.44</v>
      </c>
      <c r="I55" s="1"/>
      <c r="J55" s="5">
        <f t="shared" si="33"/>
        <v>0.1556785792606051</v>
      </c>
      <c r="K55" s="1"/>
      <c r="L55" s="1">
        <f t="shared" si="34"/>
        <v>-10152.84</v>
      </c>
      <c r="M55" s="1"/>
      <c r="N55" s="5">
        <f t="shared" si="35"/>
        <v>-0.99387202117578877</v>
      </c>
      <c r="O55" s="14"/>
      <c r="P55" s="1">
        <f>SUM(OSRRefP22_7x_0)</f>
        <v>5384.8</v>
      </c>
      <c r="Q55" s="1"/>
      <c r="R55" s="5">
        <f t="shared" si="36"/>
        <v>8.7590338516293068E-2</v>
      </c>
      <c r="S55" s="1"/>
      <c r="T55" s="1">
        <f>SUM(OSRRefT22_7x_0)</f>
        <v>14469.62</v>
      </c>
      <c r="U55" s="1"/>
      <c r="V55" s="5">
        <f t="shared" si="37"/>
        <v>8.6003923355950543E-2</v>
      </c>
      <c r="W55" s="1"/>
      <c r="X55" s="1">
        <f t="shared" si="38"/>
        <v>-9084.82</v>
      </c>
      <c r="Y55" s="1"/>
      <c r="Z55" s="5">
        <f t="shared" si="39"/>
        <v>-0.62785477434790959</v>
      </c>
    </row>
    <row r="56" spans="1:26" s="24" customFormat="1" hidden="1" outlineLevel="2" x14ac:dyDescent="0.25">
      <c r="A56" s="28"/>
      <c r="B56" s="11" t="str">
        <f>CONCATENATE("          ", "6259", " - ", "ROYALTY &amp; COMMISSIONS")</f>
        <v xml:space="preserve">          6259 - ROYALTY &amp; COMMISSIONS</v>
      </c>
      <c r="C56" s="11"/>
      <c r="D56" s="7">
        <v>62.6</v>
      </c>
      <c r="E56" s="2"/>
      <c r="F56" s="6">
        <f t="shared" si="32"/>
        <v>6.8753734228376613E-3</v>
      </c>
      <c r="G56" s="2"/>
      <c r="H56" s="7">
        <v>10215.44</v>
      </c>
      <c r="I56" s="2"/>
      <c r="J56" s="6">
        <f t="shared" si="33"/>
        <v>0.1556785792606051</v>
      </c>
      <c r="K56" s="2"/>
      <c r="L56" s="7">
        <f t="shared" si="34"/>
        <v>-10152.84</v>
      </c>
      <c r="M56" s="2"/>
      <c r="N56" s="6">
        <f t="shared" si="35"/>
        <v>-0.99387202117578877</v>
      </c>
      <c r="O56" s="11"/>
      <c r="P56" s="7">
        <v>5384.8</v>
      </c>
      <c r="Q56" s="2"/>
      <c r="R56" s="6">
        <f t="shared" si="36"/>
        <v>8.7590338516293068E-2</v>
      </c>
      <c r="S56" s="2"/>
      <c r="T56" s="7">
        <v>14469.62</v>
      </c>
      <c r="U56" s="2"/>
      <c r="V56" s="6">
        <f t="shared" si="37"/>
        <v>8.6003923355950543E-2</v>
      </c>
      <c r="W56" s="2"/>
      <c r="X56" s="7">
        <f t="shared" si="38"/>
        <v>-9084.82</v>
      </c>
      <c r="Y56" s="2"/>
      <c r="Z56" s="6">
        <f t="shared" si="39"/>
        <v>-0.62785477434790959</v>
      </c>
    </row>
    <row r="57" spans="1:26" s="27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10677.67</v>
      </c>
      <c r="E57" s="1"/>
      <c r="F57" s="5">
        <f t="shared" si="32"/>
        <v>1.1727311267704634</v>
      </c>
      <c r="G57" s="1"/>
      <c r="H57" s="1">
        <f>SUM(OSRRefH22_8x_0)</f>
        <v>4377.66</v>
      </c>
      <c r="I57" s="1"/>
      <c r="J57" s="5">
        <f t="shared" si="33"/>
        <v>6.6713513004430597E-2</v>
      </c>
      <c r="K57" s="1"/>
      <c r="L57" s="1">
        <f t="shared" si="34"/>
        <v>6300.01</v>
      </c>
      <c r="M57" s="1"/>
      <c r="N57" s="5">
        <f t="shared" si="35"/>
        <v>1.4391272963181243</v>
      </c>
      <c r="O57" s="14"/>
      <c r="P57" s="1">
        <f>SUM(OSRRefP22_8x_0)</f>
        <v>19608.690000000002</v>
      </c>
      <c r="Q57" s="1"/>
      <c r="R57" s="5">
        <f t="shared" si="36"/>
        <v>0.31895925474688952</v>
      </c>
      <c r="S57" s="1"/>
      <c r="T57" s="1">
        <f>SUM(OSRRefT22_8x_0)</f>
        <v>9688</v>
      </c>
      <c r="U57" s="1"/>
      <c r="V57" s="5">
        <f t="shared" si="37"/>
        <v>5.7583129997363355E-2</v>
      </c>
      <c r="W57" s="1"/>
      <c r="X57" s="1">
        <f t="shared" si="38"/>
        <v>9920.6900000000023</v>
      </c>
      <c r="Y57" s="1"/>
      <c r="Z57" s="5">
        <f t="shared" si="39"/>
        <v>1.0240183732452521</v>
      </c>
    </row>
    <row r="58" spans="1:26" s="24" customFormat="1" hidden="1" outlineLevel="2" x14ac:dyDescent="0.25">
      <c r="A58" s="28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/>
      <c r="Q58" s="2"/>
      <c r="R58" s="6">
        <f t="shared" si="36"/>
        <v>0</v>
      </c>
      <c r="S58" s="2"/>
      <c r="T58" s="7">
        <v>1017.27</v>
      </c>
      <c r="U58" s="2"/>
      <c r="V58" s="6">
        <f t="shared" si="37"/>
        <v>6.0464069624708737E-3</v>
      </c>
      <c r="W58" s="2"/>
      <c r="X58" s="7">
        <f t="shared" si="38"/>
        <v>-1017.27</v>
      </c>
      <c r="Y58" s="2"/>
      <c r="Z58" s="6">
        <f t="shared" si="39"/>
        <v>-1</v>
      </c>
    </row>
    <row r="59" spans="1:26" s="24" customFormat="1" hidden="1" outlineLevel="2" x14ac:dyDescent="0.25">
      <c r="A59" s="28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32"/>
        <v>0</v>
      </c>
      <c r="G59" s="2"/>
      <c r="H59" s="7"/>
      <c r="I59" s="2"/>
      <c r="J59" s="6">
        <f t="shared" si="33"/>
        <v>0</v>
      </c>
      <c r="K59" s="2"/>
      <c r="L59" s="7">
        <f t="shared" si="34"/>
        <v>0</v>
      </c>
      <c r="M59" s="2"/>
      <c r="N59" s="6">
        <f t="shared" si="35"/>
        <v>0</v>
      </c>
      <c r="O59" s="11"/>
      <c r="P59" s="7">
        <v>310.91000000000003</v>
      </c>
      <c r="Q59" s="2"/>
      <c r="R59" s="6">
        <f t="shared" si="36"/>
        <v>5.057330290465881E-3</v>
      </c>
      <c r="S59" s="2"/>
      <c r="T59" s="7"/>
      <c r="U59" s="2"/>
      <c r="V59" s="6">
        <f t="shared" si="37"/>
        <v>0</v>
      </c>
      <c r="W59" s="2"/>
      <c r="X59" s="7">
        <f t="shared" si="38"/>
        <v>310.91000000000003</v>
      </c>
      <c r="Y59" s="2"/>
      <c r="Z59" s="6">
        <f t="shared" si="39"/>
        <v>0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7">
        <v>4590.26</v>
      </c>
      <c r="E60" s="2"/>
      <c r="F60" s="6">
        <f t="shared" si="32"/>
        <v>0.50414938670790421</v>
      </c>
      <c r="G60" s="2"/>
      <c r="H60" s="7"/>
      <c r="I60" s="2"/>
      <c r="J60" s="6">
        <f t="shared" si="33"/>
        <v>0</v>
      </c>
      <c r="K60" s="2"/>
      <c r="L60" s="7">
        <f t="shared" si="34"/>
        <v>4590.26</v>
      </c>
      <c r="M60" s="2"/>
      <c r="N60" s="6">
        <f t="shared" si="35"/>
        <v>0</v>
      </c>
      <c r="O60" s="11"/>
      <c r="P60" s="7">
        <v>4590.26</v>
      </c>
      <c r="Q60" s="2"/>
      <c r="R60" s="6">
        <f t="shared" si="36"/>
        <v>7.466617651125379E-2</v>
      </c>
      <c r="S60" s="2"/>
      <c r="T60" s="7"/>
      <c r="U60" s="2"/>
      <c r="V60" s="6">
        <f t="shared" si="37"/>
        <v>0</v>
      </c>
      <c r="W60" s="2"/>
      <c r="X60" s="7">
        <f t="shared" si="38"/>
        <v>4590.26</v>
      </c>
      <c r="Y60" s="2"/>
      <c r="Z60" s="6">
        <f t="shared" si="39"/>
        <v>0</v>
      </c>
    </row>
    <row r="61" spans="1:26" s="24" customFormat="1" hidden="1" outlineLevel="2" x14ac:dyDescent="0.25">
      <c r="A61" s="28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32"/>
        <v>0</v>
      </c>
      <c r="G61" s="2"/>
      <c r="H61" s="7">
        <v>318.66000000000003</v>
      </c>
      <c r="I61" s="2"/>
      <c r="J61" s="6">
        <f t="shared" si="33"/>
        <v>4.8562309667703422E-3</v>
      </c>
      <c r="K61" s="2"/>
      <c r="L61" s="7">
        <f t="shared" si="34"/>
        <v>-318.66000000000003</v>
      </c>
      <c r="M61" s="2"/>
      <c r="N61" s="6">
        <f t="shared" si="35"/>
        <v>-1</v>
      </c>
      <c r="O61" s="11"/>
      <c r="P61" s="7">
        <v>3124.69</v>
      </c>
      <c r="Q61" s="2"/>
      <c r="R61" s="6">
        <f t="shared" si="36"/>
        <v>5.082689326594781E-2</v>
      </c>
      <c r="S61" s="2"/>
      <c r="T61" s="7">
        <v>2976.95</v>
      </c>
      <c r="U61" s="2"/>
      <c r="V61" s="6">
        <f t="shared" si="37"/>
        <v>1.769427114426619E-2</v>
      </c>
      <c r="W61" s="2"/>
      <c r="X61" s="7">
        <f t="shared" si="38"/>
        <v>147.74000000000024</v>
      </c>
      <c r="Y61" s="2"/>
      <c r="Z61" s="6">
        <f t="shared" si="39"/>
        <v>4.962797494079519E-2</v>
      </c>
    </row>
    <row r="62" spans="1:26" s="24" customFormat="1" hidden="1" outlineLevel="2" x14ac:dyDescent="0.25">
      <c r="A62" s="28"/>
      <c r="B62" s="11" t="str">
        <f>CONCATENATE("          ", "6245", " - ", "PRINTING")</f>
        <v xml:space="preserve">          6245 - PRINTING</v>
      </c>
      <c r="C62" s="11"/>
      <c r="D62" s="7">
        <v>288.3</v>
      </c>
      <c r="E62" s="2"/>
      <c r="F62" s="6">
        <f t="shared" si="32"/>
        <v>3.1664060028819455E-2</v>
      </c>
      <c r="G62" s="2"/>
      <c r="H62" s="7">
        <v>254.9</v>
      </c>
      <c r="I62" s="2"/>
      <c r="J62" s="6">
        <f t="shared" si="33"/>
        <v>3.8845580663709285E-3</v>
      </c>
      <c r="K62" s="2"/>
      <c r="L62" s="7">
        <f t="shared" si="34"/>
        <v>33.400000000000006</v>
      </c>
      <c r="M62" s="2"/>
      <c r="N62" s="6">
        <f t="shared" si="35"/>
        <v>0.13103177716751668</v>
      </c>
      <c r="O62" s="11"/>
      <c r="P62" s="7">
        <v>-7.2</v>
      </c>
      <c r="Q62" s="2"/>
      <c r="R62" s="6">
        <f t="shared" si="36"/>
        <v>-1.1711678006932663E-4</v>
      </c>
      <c r="S62" s="2"/>
      <c r="T62" s="7">
        <v>242.2</v>
      </c>
      <c r="U62" s="2"/>
      <c r="V62" s="6">
        <f t="shared" si="37"/>
        <v>1.4395782499340838E-3</v>
      </c>
      <c r="W62" s="2"/>
      <c r="X62" s="7">
        <f t="shared" si="38"/>
        <v>-249.39999999999998</v>
      </c>
      <c r="Y62" s="2"/>
      <c r="Z62" s="6">
        <f t="shared" si="39"/>
        <v>-1.0297274979355904</v>
      </c>
    </row>
    <row r="63" spans="1:26" s="24" customFormat="1" hidden="1" outlineLevel="2" x14ac:dyDescent="0.25">
      <c r="A63" s="28"/>
      <c r="B63" s="11" t="str">
        <f>CONCATENATE("          ", "6247", " - ", "STORE SUPPLIES")</f>
        <v xml:space="preserve">          6247 - STORE SUPPLIES</v>
      </c>
      <c r="C63" s="11"/>
      <c r="D63" s="7">
        <v>5799.11</v>
      </c>
      <c r="E63" s="2"/>
      <c r="F63" s="6">
        <f t="shared" si="32"/>
        <v>0.63691768003373972</v>
      </c>
      <c r="G63" s="2"/>
      <c r="H63" s="7">
        <v>3804.1</v>
      </c>
      <c r="I63" s="2"/>
      <c r="J63" s="6">
        <f t="shared" si="33"/>
        <v>5.7972723971289324E-2</v>
      </c>
      <c r="K63" s="2"/>
      <c r="L63" s="7">
        <f t="shared" si="34"/>
        <v>1995.0099999999998</v>
      </c>
      <c r="M63" s="2"/>
      <c r="N63" s="6">
        <f t="shared" si="35"/>
        <v>0.52443679188244263</v>
      </c>
      <c r="O63" s="11"/>
      <c r="P63" s="7">
        <v>11590.03</v>
      </c>
      <c r="Q63" s="2"/>
      <c r="R63" s="6">
        <f t="shared" si="36"/>
        <v>0.18852597145929137</v>
      </c>
      <c r="S63" s="2"/>
      <c r="T63" s="7">
        <v>5451.58</v>
      </c>
      <c r="U63" s="2"/>
      <c r="V63" s="6">
        <f t="shared" si="37"/>
        <v>3.2402873640692213E-2</v>
      </c>
      <c r="W63" s="2"/>
      <c r="X63" s="7">
        <f t="shared" si="38"/>
        <v>6138.4500000000007</v>
      </c>
      <c r="Y63" s="2"/>
      <c r="Z63" s="6">
        <f t="shared" si="39"/>
        <v>1.125994665766622</v>
      </c>
    </row>
    <row r="64" spans="1:26" s="27" customFormat="1" outlineLevel="1" collapsed="1" x14ac:dyDescent="0.25">
      <c r="A64" s="29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SUM(OSRRefD22_9x_0)</f>
        <v>265</v>
      </c>
      <c r="E64" s="1"/>
      <c r="F64" s="5">
        <f t="shared" ref="F64:F69" si="40">IF(D$12=0,0,D64/D$12)</f>
        <v>2.9105015288370291E-2</v>
      </c>
      <c r="G64" s="1"/>
      <c r="H64" s="1">
        <f>SUM(OSRRefH22_9x_0)</f>
        <v>250</v>
      </c>
      <c r="I64" s="1"/>
      <c r="J64" s="5">
        <f t="shared" ref="J64:J69" si="41">IF(H$12=0,0,H64/H$12)</f>
        <v>3.8098843334355911E-3</v>
      </c>
      <c r="K64" s="1"/>
      <c r="L64" s="1">
        <f t="shared" ref="L64:L69" si="42">+D64-H64</f>
        <v>15</v>
      </c>
      <c r="M64" s="1"/>
      <c r="N64" s="5">
        <f t="shared" ref="N64:N69" si="43">IF(H64=0,0,L64/H64)</f>
        <v>0.06</v>
      </c>
      <c r="O64" s="14"/>
      <c r="P64" s="1">
        <f>SUM(OSRRefP22_9x_0)</f>
        <v>665.75</v>
      </c>
      <c r="Q64" s="1"/>
      <c r="R64" s="5">
        <f t="shared" ref="R64:R69" si="44">IF(P$12=0,0,P64/P$12)</f>
        <v>1.0829235601549195E-2</v>
      </c>
      <c r="S64" s="1"/>
      <c r="T64" s="1">
        <f>SUM(OSRRefT22_9x_0)</f>
        <v>495.75</v>
      </c>
      <c r="U64" s="1"/>
      <c r="V64" s="5">
        <f t="shared" ref="V64:V69" si="45">IF(T$12=0,0,T64/T$12)</f>
        <v>2.9466181560892737E-3</v>
      </c>
      <c r="W64" s="1"/>
      <c r="X64" s="1">
        <f t="shared" ref="X64:X69" si="46">+P64-T64</f>
        <v>170</v>
      </c>
      <c r="Y64" s="1"/>
      <c r="Z64" s="5">
        <f t="shared" ref="Z64:Z69" si="47">IF(T64=0,0,X64/T64)</f>
        <v>0.34291477559253658</v>
      </c>
    </row>
    <row r="65" spans="1:26" s="24" customFormat="1" hidden="1" outlineLevel="2" x14ac:dyDescent="0.25">
      <c r="A65" s="28"/>
      <c r="B65" s="11" t="str">
        <f>CONCATENATE("          ", "6309", " - ", "TELEPHONE")</f>
        <v xml:space="preserve">          6309 - TELEPHONE</v>
      </c>
      <c r="C65" s="11"/>
      <c r="D65" s="7">
        <v>265</v>
      </c>
      <c r="E65" s="2"/>
      <c r="F65" s="6">
        <f t="shared" si="40"/>
        <v>2.9105015288370291E-2</v>
      </c>
      <c r="G65" s="2"/>
      <c r="H65" s="7">
        <v>250</v>
      </c>
      <c r="I65" s="2"/>
      <c r="J65" s="6">
        <f t="shared" si="41"/>
        <v>3.8098843334355911E-3</v>
      </c>
      <c r="K65" s="2"/>
      <c r="L65" s="7">
        <f t="shared" si="42"/>
        <v>15</v>
      </c>
      <c r="M65" s="2"/>
      <c r="N65" s="6">
        <f t="shared" si="43"/>
        <v>0.06</v>
      </c>
      <c r="O65" s="11"/>
      <c r="P65" s="7">
        <v>665.75</v>
      </c>
      <c r="Q65" s="2"/>
      <c r="R65" s="6">
        <f t="shared" si="44"/>
        <v>1.0829235601549195E-2</v>
      </c>
      <c r="S65" s="2"/>
      <c r="T65" s="7">
        <v>495.75</v>
      </c>
      <c r="U65" s="2"/>
      <c r="V65" s="6">
        <f t="shared" si="45"/>
        <v>2.9466181560892737E-3</v>
      </c>
      <c r="W65" s="2"/>
      <c r="X65" s="7">
        <f t="shared" si="46"/>
        <v>170</v>
      </c>
      <c r="Y65" s="2"/>
      <c r="Z65" s="6">
        <f t="shared" si="47"/>
        <v>0.34291477559253658</v>
      </c>
    </row>
    <row r="66" spans="1:26" s="27" customFormat="1" outlineLevel="1" collapsed="1" x14ac:dyDescent="0.25">
      <c r="A66" s="29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SUM(OSRRefD22_10x_0)</f>
        <v>0</v>
      </c>
      <c r="E66" s="1"/>
      <c r="F66" s="5">
        <f t="shared" si="40"/>
        <v>0</v>
      </c>
      <c r="G66" s="1"/>
      <c r="H66" s="1">
        <f>SUM(OSRRefH22_10x_0)</f>
        <v>97.71</v>
      </c>
      <c r="I66" s="1"/>
      <c r="J66" s="5">
        <f t="shared" si="41"/>
        <v>1.4890551928799663E-3</v>
      </c>
      <c r="K66" s="1"/>
      <c r="L66" s="1">
        <f t="shared" si="42"/>
        <v>-97.71</v>
      </c>
      <c r="M66" s="1"/>
      <c r="N66" s="5">
        <f t="shared" si="43"/>
        <v>-1</v>
      </c>
      <c r="O66" s="14"/>
      <c r="P66" s="1">
        <f>SUM(OSRRefP22_10x_0)</f>
        <v>0</v>
      </c>
      <c r="Q66" s="1"/>
      <c r="R66" s="5">
        <f t="shared" si="44"/>
        <v>0</v>
      </c>
      <c r="S66" s="1"/>
      <c r="T66" s="1">
        <f>SUM(OSRRefT22_10x_0)</f>
        <v>97.71</v>
      </c>
      <c r="U66" s="1"/>
      <c r="V66" s="5">
        <f t="shared" si="45"/>
        <v>5.8076461932724747E-4</v>
      </c>
      <c r="W66" s="1"/>
      <c r="X66" s="1">
        <f t="shared" si="46"/>
        <v>-97.71</v>
      </c>
      <c r="Y66" s="1"/>
      <c r="Z66" s="5">
        <f t="shared" si="47"/>
        <v>-1</v>
      </c>
    </row>
    <row r="67" spans="1:26" s="24" customFormat="1" hidden="1" outlineLevel="2" x14ac:dyDescent="0.25">
      <c r="A67" s="28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40"/>
        <v>0</v>
      </c>
      <c r="G67" s="2"/>
      <c r="H67" s="7">
        <v>97.71</v>
      </c>
      <c r="I67" s="2"/>
      <c r="J67" s="6">
        <f t="shared" si="41"/>
        <v>1.4890551928799663E-3</v>
      </c>
      <c r="K67" s="2"/>
      <c r="L67" s="7">
        <f t="shared" si="42"/>
        <v>-97.71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97.71</v>
      </c>
      <c r="U67" s="2"/>
      <c r="V67" s="6">
        <f t="shared" si="45"/>
        <v>5.8076461932724747E-4</v>
      </c>
      <c r="W67" s="2"/>
      <c r="X67" s="7">
        <f t="shared" si="46"/>
        <v>-97.71</v>
      </c>
      <c r="Y67" s="2"/>
      <c r="Z67" s="6">
        <f t="shared" si="47"/>
        <v>-1</v>
      </c>
    </row>
    <row r="68" spans="1:26" s="27" customFormat="1" outlineLevel="1" collapsed="1" x14ac:dyDescent="0.25">
      <c r="A68" s="29"/>
      <c r="B68" s="14" t="str">
        <f>CONCATENATE("     ","Utilities                                         ")</f>
        <v xml:space="preserve">     Utilities                                         </v>
      </c>
      <c r="C68" s="14"/>
      <c r="D68" s="1">
        <f>SUM(OSRRefD22_11x_0)</f>
        <v>0</v>
      </c>
      <c r="E68" s="1"/>
      <c r="F68" s="5">
        <f t="shared" si="40"/>
        <v>0</v>
      </c>
      <c r="G68" s="1"/>
      <c r="H68" s="1">
        <f>SUM(OSRRefH22_11x_0)</f>
        <v>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4"/>
      <c r="P68" s="1">
        <f>SUM(OSRRefP22_11x_0)</f>
        <v>15.02</v>
      </c>
      <c r="Q68" s="1"/>
      <c r="R68" s="5">
        <f t="shared" si="44"/>
        <v>2.443186162001786E-4</v>
      </c>
      <c r="S68" s="1"/>
      <c r="T68" s="1">
        <f>SUM(OSRRefT22_11x_0)</f>
        <v>0</v>
      </c>
      <c r="U68" s="1"/>
      <c r="V68" s="5">
        <f t="shared" si="45"/>
        <v>0</v>
      </c>
      <c r="W68" s="1"/>
      <c r="X68" s="1">
        <f t="shared" si="46"/>
        <v>15.02</v>
      </c>
      <c r="Y68" s="1"/>
      <c r="Z68" s="5">
        <f t="shared" si="47"/>
        <v>0</v>
      </c>
    </row>
    <row r="69" spans="1:26" s="24" customFormat="1" hidden="1" outlineLevel="2" x14ac:dyDescent="0.25">
      <c r="A69" s="28"/>
      <c r="B69" s="11" t="str">
        <f>CONCATENATE("          ", "6274", " - ", "UTILITIES")</f>
        <v xml:space="preserve">          6274 - UTILITIES</v>
      </c>
      <c r="C69" s="11"/>
      <c r="D69" s="7"/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>
        <v>15.02</v>
      </c>
      <c r="Q69" s="2"/>
      <c r="R69" s="6">
        <f t="shared" si="44"/>
        <v>2.443186162001786E-4</v>
      </c>
      <c r="S69" s="2"/>
      <c r="T69" s="7"/>
      <c r="U69" s="2"/>
      <c r="V69" s="6">
        <f t="shared" si="45"/>
        <v>0</v>
      </c>
      <c r="W69" s="2"/>
      <c r="X69" s="7">
        <f t="shared" si="46"/>
        <v>15.02</v>
      </c>
      <c r="Y69" s="2"/>
      <c r="Z69" s="6">
        <f t="shared" si="47"/>
        <v>0</v>
      </c>
    </row>
    <row r="70" spans="1:26" s="60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collapsed="1" x14ac:dyDescent="0.25">
      <c r="A71" s="10"/>
      <c r="B71" s="26" t="s">
        <v>0</v>
      </c>
      <c r="C71" s="10"/>
      <c r="D71" s="4">
        <f>SUM(OSRRefD25x_0)</f>
        <v>6782</v>
      </c>
      <c r="E71" s="4"/>
      <c r="F71" s="12">
        <f t="shared" ref="F71:F72" si="48">IF(D$12=0,0,D71/D$12)</f>
        <v>0.74486873088953709</v>
      </c>
      <c r="G71" s="4"/>
      <c r="H71" s="4">
        <f>SUM(OSRRefH25x_0)</f>
        <v>13269</v>
      </c>
      <c r="I71" s="4"/>
      <c r="J71" s="12">
        <f t="shared" ref="J71:J72" si="49">IF(H$12=0,0,H71/H$12)</f>
        <v>0.20221342088142744</v>
      </c>
      <c r="K71" s="4"/>
      <c r="L71" s="4">
        <f t="shared" ref="L71:L72" si="50">+D71-H71</f>
        <v>-6487</v>
      </c>
      <c r="M71" s="4"/>
      <c r="N71" s="12">
        <f t="shared" ref="N71:N72" si="51">IF(H71=0,0,L71/H71)</f>
        <v>-0.48888386464692141</v>
      </c>
      <c r="O71" s="10"/>
      <c r="P71" s="4">
        <f>SUM(OSRRefP25x_0)</f>
        <v>20346</v>
      </c>
      <c r="Q71" s="4"/>
      <c r="R71" s="12">
        <f t="shared" ref="R71:R72" si="52">IF(P$12=0,0,P71/P$12)</f>
        <v>0.33095250101257218</v>
      </c>
      <c r="S71" s="4"/>
      <c r="T71" s="4">
        <f>SUM(OSRRefT25x_0)</f>
        <v>39807</v>
      </c>
      <c r="U71" s="4"/>
      <c r="V71" s="12">
        <f t="shared" ref="V71:V72" si="53">IF(T$12=0,0,T71/T$12)</f>
        <v>0.23660318495097474</v>
      </c>
      <c r="W71" s="4"/>
      <c r="X71" s="4">
        <f t="shared" ref="X71:X72" si="54">+P71-T71</f>
        <v>-19461</v>
      </c>
      <c r="Y71" s="4"/>
      <c r="Z71" s="12">
        <f t="shared" ref="Z71:Z72" si="55">IF(T71=0,0,X71/T71)</f>
        <v>-0.48888386464692141</v>
      </c>
    </row>
    <row r="72" spans="1:26" s="24" customFormat="1" hidden="1" outlineLevel="1" x14ac:dyDescent="0.25">
      <c r="A72" s="44"/>
      <c r="B72" s="11" t="str">
        <f>CONCATENATE("          ", "9150", " - ", "MISC. INCOME")</f>
        <v xml:space="preserve">          9150 - MISC. INCOME</v>
      </c>
      <c r="C72" s="11"/>
      <c r="D72" s="2">
        <f>--6782</f>
        <v>6782</v>
      </c>
      <c r="E72" s="2"/>
      <c r="F72" s="19">
        <f t="shared" si="48"/>
        <v>0.74486873088953709</v>
      </c>
      <c r="G72" s="2"/>
      <c r="H72" s="2">
        <f>--13269</f>
        <v>13269</v>
      </c>
      <c r="I72" s="2"/>
      <c r="J72" s="19">
        <f t="shared" si="49"/>
        <v>0.20221342088142744</v>
      </c>
      <c r="K72" s="2"/>
      <c r="L72" s="2">
        <f t="shared" si="50"/>
        <v>-6487</v>
      </c>
      <c r="M72" s="2"/>
      <c r="N72" s="19">
        <f t="shared" si="51"/>
        <v>-0.48888386464692141</v>
      </c>
      <c r="O72" s="11"/>
      <c r="P72" s="2">
        <f>--20346</f>
        <v>20346</v>
      </c>
      <c r="Q72" s="2"/>
      <c r="R72" s="19">
        <f t="shared" si="52"/>
        <v>0.33095250101257218</v>
      </c>
      <c r="S72" s="2"/>
      <c r="T72" s="2">
        <f>--39807</f>
        <v>39807</v>
      </c>
      <c r="U72" s="2"/>
      <c r="V72" s="19">
        <f t="shared" si="53"/>
        <v>0.23660318495097474</v>
      </c>
      <c r="W72" s="2"/>
      <c r="X72" s="2">
        <f t="shared" si="54"/>
        <v>-19461</v>
      </c>
      <c r="Y72" s="2"/>
      <c r="Z72" s="19">
        <f t="shared" si="55"/>
        <v>-0.48888386464692141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5" t="s">
        <v>3</v>
      </c>
      <c r="C74" s="25"/>
      <c r="D74" s="22">
        <f>+D28-D30+D71</f>
        <v>-22426.079999999994</v>
      </c>
      <c r="E74" s="13"/>
      <c r="F74" s="21">
        <f>IF(D$12=0,0,D74/D$12)</f>
        <v>-2.4630618915404341</v>
      </c>
      <c r="G74" s="13"/>
      <c r="H74" s="22">
        <f>+H28-H30+H71</f>
        <v>29545.169999999991</v>
      </c>
      <c r="I74" s="13"/>
      <c r="J74" s="21">
        <f>IF(H$12=0,0,H74/H$12)</f>
        <v>0.45025472124676474</v>
      </c>
      <c r="K74" s="15"/>
      <c r="L74" s="22">
        <f>+D74-H74</f>
        <v>-51971.249999999985</v>
      </c>
      <c r="M74" s="15"/>
      <c r="N74" s="21">
        <f>IF(H74=0,0,L74/H74)</f>
        <v>-1.7590438640224444</v>
      </c>
      <c r="O74" s="26"/>
      <c r="P74" s="22">
        <f>+P28-P30+P71</f>
        <v>44766.720000000023</v>
      </c>
      <c r="Q74" s="13"/>
      <c r="R74" s="21">
        <f>IF(P$12=0,0,P74/P$12)</f>
        <v>0.72818529175904567</v>
      </c>
      <c r="S74" s="13"/>
      <c r="T74" s="22">
        <f>+T28-T30+T71</f>
        <v>86392.989999999976</v>
      </c>
      <c r="U74" s="13"/>
      <c r="V74" s="21">
        <f>IF(T$12=0,0,T74/T$12)</f>
        <v>0.51349904769105192</v>
      </c>
      <c r="W74" s="15"/>
      <c r="X74" s="22">
        <f>+P74-T74</f>
        <v>-41626.269999999953</v>
      </c>
      <c r="Y74" s="15"/>
      <c r="Z74" s="21">
        <f>IF(T74=0,0,X74/T74)</f>
        <v>-0.48182462489144046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1"/>
      <c r="B76" s="10" t="s">
        <v>13</v>
      </c>
      <c r="C76" s="10"/>
      <c r="D76" s="4">
        <v>2546.6</v>
      </c>
      <c r="E76" s="4"/>
      <c r="F76" s="12">
        <f>IF(D$12=0,0,D76/D$12)</f>
        <v>0.27969370540891991</v>
      </c>
      <c r="G76" s="4"/>
      <c r="H76" s="4">
        <v>5276.14</v>
      </c>
      <c r="I76" s="4"/>
      <c r="J76" s="12">
        <f>IF(H$12=0,0,H76/H$12)</f>
        <v>8.0405932508051448E-2</v>
      </c>
      <c r="K76" s="4"/>
      <c r="L76" s="4">
        <f>+D76-H76</f>
        <v>-2729.5400000000004</v>
      </c>
      <c r="M76" s="4"/>
      <c r="N76" s="12">
        <f>IF(H76=0,0,L76/H76)</f>
        <v>-0.51733653769611876</v>
      </c>
      <c r="O76" s="10"/>
      <c r="P76" s="4">
        <v>11388.94</v>
      </c>
      <c r="Q76" s="4"/>
      <c r="R76" s="12">
        <f>IF(P$12=0,0,P76/P$12)</f>
        <v>0.18525499738927179</v>
      </c>
      <c r="S76" s="4"/>
      <c r="T76" s="4">
        <v>18071.599999999999</v>
      </c>
      <c r="U76" s="4"/>
      <c r="V76" s="12">
        <f>IF(T$12=0,0,T76/T$12)</f>
        <v>0.10741322172381829</v>
      </c>
      <c r="W76" s="4"/>
      <c r="X76" s="4">
        <f>+P76-T76</f>
        <v>-6682.659999999998</v>
      </c>
      <c r="Y76" s="4"/>
      <c r="Z76" s="12">
        <f>IF(T76=0,0,X76/T76)</f>
        <v>-0.36978795458066793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5" t="s">
        <v>4</v>
      </c>
      <c r="C78" s="25"/>
      <c r="D78" s="33">
        <f>+D74-D76</f>
        <v>-24972.679999999993</v>
      </c>
      <c r="E78" s="13"/>
      <c r="F78" s="32">
        <f>IF(D$12=0,0,D78/D$12)</f>
        <v>-2.7427555969493542</v>
      </c>
      <c r="G78" s="13"/>
      <c r="H78" s="33">
        <f>+H74-H76</f>
        <v>24269.029999999992</v>
      </c>
      <c r="I78" s="13"/>
      <c r="J78" s="32">
        <f>IF(H$12=0,0,H78/H$12)</f>
        <v>0.3698487887387133</v>
      </c>
      <c r="K78" s="15"/>
      <c r="L78" s="33">
        <f>D78-H78</f>
        <v>-49241.709999999985</v>
      </c>
      <c r="M78" s="15"/>
      <c r="N78" s="32">
        <f>IF(H78=0,0,L78/H78)</f>
        <v>-2.0289937422303241</v>
      </c>
      <c r="O78" s="26"/>
      <c r="P78" s="33">
        <f>+P74-P76</f>
        <v>33377.780000000021</v>
      </c>
      <c r="Q78" s="13"/>
      <c r="R78" s="32">
        <f>IF(P$12=0,0,P78/P$12)</f>
        <v>0.5429302943697738</v>
      </c>
      <c r="S78" s="13"/>
      <c r="T78" s="33">
        <f>+T74-T76</f>
        <v>68321.389999999985</v>
      </c>
      <c r="U78" s="13"/>
      <c r="V78" s="32">
        <f>IF(T$12=0,0,T78/T$12)</f>
        <v>0.40608582596723369</v>
      </c>
      <c r="W78" s="15"/>
      <c r="X78" s="33">
        <f>P78-T78</f>
        <v>-34943.609999999964</v>
      </c>
      <c r="Y78" s="15"/>
      <c r="Z78" s="32">
        <f>IF(T78=0,0,X78/T78)</f>
        <v>-0.51145929554419156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5" t="s">
        <v>5</v>
      </c>
      <c r="C81" s="25"/>
      <c r="D81" s="34">
        <f>SUM(D78:D80)</f>
        <v>-24972.679999999993</v>
      </c>
      <c r="E81" s="13"/>
      <c r="F81" s="31">
        <f>IF(D$12=0,0,D81/D$12)</f>
        <v>-2.7427555969493542</v>
      </c>
      <c r="G81" s="13"/>
      <c r="H81" s="34">
        <f>SUM(H78:H80)</f>
        <v>24269.029999999992</v>
      </c>
      <c r="I81" s="13"/>
      <c r="J81" s="31">
        <f>IF(H$12=0,0,H81/H$12)</f>
        <v>0.3698487887387133</v>
      </c>
      <c r="K81" s="15"/>
      <c r="L81" s="34">
        <f>+D81-H81</f>
        <v>-49241.709999999985</v>
      </c>
      <c r="M81" s="15"/>
      <c r="N81" s="31">
        <f>IF(H81=0,0,L81/H81)</f>
        <v>-2.0289937422303241</v>
      </c>
      <c r="O81" s="26"/>
      <c r="P81" s="34">
        <f>SUM(P78:P80)</f>
        <v>33377.780000000021</v>
      </c>
      <c r="Q81" s="13"/>
      <c r="R81" s="31">
        <f>IF(P$12=0,0,P81/P$12)</f>
        <v>0.5429302943697738</v>
      </c>
      <c r="S81" s="13"/>
      <c r="T81" s="34">
        <f>SUM(T78:T80)</f>
        <v>68321.389999999985</v>
      </c>
      <c r="U81" s="13"/>
      <c r="V81" s="31">
        <f>IF(T$12=0,0,T81/T$12)</f>
        <v>0.40608582596723369</v>
      </c>
      <c r="W81" s="15"/>
      <c r="X81" s="34">
        <f>+P81-T81</f>
        <v>-34943.609999999964</v>
      </c>
      <c r="Y81" s="15"/>
      <c r="Z81" s="31">
        <f>IF(T81=0,0,X81/T81)</f>
        <v>-0.51145929554419156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6" x14ac:dyDescent="0.25">
      <c r="A83" s="9"/>
      <c r="B83" s="54">
        <v>44123.565313310188</v>
      </c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9" t="s">
        <v>313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8"/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","320", " - ", "Customer Service (old)")</f>
        <v>Department 320 - Customer Service (old)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69.8</v>
      </c>
      <c r="I12" s="4"/>
      <c r="J12" s="12"/>
      <c r="K12" s="4"/>
      <c r="L12" s="4">
        <f t="shared" ref="L12:L15" si="0">+D12-H12</f>
        <v>-69.8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3720.52</v>
      </c>
      <c r="U12" s="4"/>
      <c r="V12" s="12"/>
      <c r="W12" s="4"/>
      <c r="X12" s="4">
        <f t="shared" ref="X12:X15" si="2">+P12-T12</f>
        <v>-3720.52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>--49.9</f>
        <v>49.9</v>
      </c>
      <c r="I13" s="2"/>
      <c r="J13" s="19"/>
      <c r="K13" s="2"/>
      <c r="L13" s="2">
        <f t="shared" si="0"/>
        <v>-49.9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--3912.58</f>
        <v>3912.58</v>
      </c>
      <c r="U13" s="2"/>
      <c r="V13" s="19"/>
      <c r="W13" s="2"/>
      <c r="X13" s="2">
        <f t="shared" si="2"/>
        <v>-3912.58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--19.9</f>
        <v>19.899999999999999</v>
      </c>
      <c r="I14" s="2"/>
      <c r="J14" s="19"/>
      <c r="K14" s="2"/>
      <c r="L14" s="2">
        <f t="shared" si="0"/>
        <v>-19.899999999999999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--177.09</f>
        <v>177.09</v>
      </c>
      <c r="U14" s="2"/>
      <c r="V14" s="19"/>
      <c r="W14" s="2"/>
      <c r="X14" s="2">
        <f t="shared" si="2"/>
        <v>-177.09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>0</f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5"/>
        <v>0</v>
      </c>
      <c r="Q15" s="2"/>
      <c r="R15" s="19"/>
      <c r="S15" s="2"/>
      <c r="T15" s="2">
        <f>-369.15</f>
        <v>-369.15</v>
      </c>
      <c r="U15" s="2"/>
      <c r="V15" s="19"/>
      <c r="W15" s="2"/>
      <c r="X15" s="2">
        <f t="shared" si="2"/>
        <v>369.15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22" si="6">IF(D$12=0,0,D17/D$12)</f>
        <v>0</v>
      </c>
      <c r="G17" s="4"/>
      <c r="H17" s="4">
        <f>SUM(OSRRefH16x_0)</f>
        <v>26.160000000000046</v>
      </c>
      <c r="I17" s="4"/>
      <c r="J17" s="12">
        <f t="shared" ref="J17:J22" si="7">IF(H$12=0,0,H17/H$12)</f>
        <v>0.37478510028653361</v>
      </c>
      <c r="K17" s="4"/>
      <c r="L17" s="4">
        <f t="shared" ref="L17:L22" si="8">+D17-H17</f>
        <v>-26.160000000000046</v>
      </c>
      <c r="M17" s="4"/>
      <c r="N17" s="12">
        <f t="shared" ref="N17:N22" si="9">IF(H17=0,0,L17/H17)</f>
        <v>-1</v>
      </c>
      <c r="O17" s="10"/>
      <c r="P17" s="4">
        <f>SUM(OSRRefP16x_0)</f>
        <v>0</v>
      </c>
      <c r="Q17" s="4"/>
      <c r="R17" s="12">
        <f t="shared" ref="R17:R22" si="10">IF(P$12=0,0,P17/P$12)</f>
        <v>0</v>
      </c>
      <c r="S17" s="4"/>
      <c r="T17" s="4">
        <f>SUM(OSRRefT16x_0)</f>
        <v>1891.58</v>
      </c>
      <c r="U17" s="4"/>
      <c r="V17" s="12">
        <f t="shared" ref="V17:V22" si="11">IF(T$12=0,0,T17/T$12)</f>
        <v>0.50841817810413592</v>
      </c>
      <c r="W17" s="4"/>
      <c r="X17" s="4">
        <f t="shared" ref="X17:X22" si="12">+P17-T17</f>
        <v>-1891.58</v>
      </c>
      <c r="Y17" s="4"/>
      <c r="Z17" s="12">
        <f t="shared" ref="Z17:Z22" si="13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6"/>
        <v>0</v>
      </c>
      <c r="G18" s="2"/>
      <c r="H18" s="2">
        <v>-615.04999999999995</v>
      </c>
      <c r="I18" s="2"/>
      <c r="J18" s="19">
        <f t="shared" si="7"/>
        <v>-8.8116045845272204</v>
      </c>
      <c r="K18" s="2"/>
      <c r="L18" s="2">
        <f t="shared" si="8"/>
        <v>615.04999999999995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12.95</v>
      </c>
      <c r="U18" s="2"/>
      <c r="V18" s="19">
        <f t="shared" si="11"/>
        <v>3.4806962467612054E-3</v>
      </c>
      <c r="W18" s="2"/>
      <c r="X18" s="2">
        <f t="shared" si="12"/>
        <v>-12.95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3.185038650511219E-3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6"/>
        <v>0</v>
      </c>
      <c r="G20" s="2"/>
      <c r="H20" s="2">
        <v>604</v>
      </c>
      <c r="I20" s="2"/>
      <c r="J20" s="19">
        <f t="shared" si="7"/>
        <v>8.6532951289398277</v>
      </c>
      <c r="K20" s="2"/>
      <c r="L20" s="2">
        <f t="shared" si="8"/>
        <v>-604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-96</v>
      </c>
      <c r="U20" s="2"/>
      <c r="V20" s="19">
        <f t="shared" si="11"/>
        <v>-2.5802844763635192E-2</v>
      </c>
      <c r="W20" s="2"/>
      <c r="X20" s="2">
        <f t="shared" si="12"/>
        <v>96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6"/>
        <v>0</v>
      </c>
      <c r="G21" s="2"/>
      <c r="H21" s="2">
        <v>26</v>
      </c>
      <c r="I21" s="2"/>
      <c r="J21" s="19">
        <f t="shared" si="7"/>
        <v>0.3724928366762178</v>
      </c>
      <c r="K21" s="2"/>
      <c r="L21" s="2">
        <f t="shared" si="8"/>
        <v>-26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1892</v>
      </c>
      <c r="U21" s="2"/>
      <c r="V21" s="19">
        <f t="shared" si="11"/>
        <v>0.50853106554997685</v>
      </c>
      <c r="W21" s="2"/>
      <c r="X21" s="2">
        <f t="shared" si="12"/>
        <v>-1892</v>
      </c>
      <c r="Y21" s="2"/>
      <c r="Z21" s="19">
        <f t="shared" si="13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6"/>
        <v>0</v>
      </c>
      <c r="G22" s="2"/>
      <c r="H22" s="2">
        <v>11.21</v>
      </c>
      <c r="I22" s="2"/>
      <c r="J22" s="19">
        <f t="shared" si="7"/>
        <v>0.16060171919770774</v>
      </c>
      <c r="K22" s="2"/>
      <c r="L22" s="2">
        <f t="shared" si="8"/>
        <v>-11.21</v>
      </c>
      <c r="M22" s="2"/>
      <c r="N22" s="19">
        <f t="shared" si="9"/>
        <v>-1</v>
      </c>
      <c r="O22" s="11"/>
      <c r="P22" s="2"/>
      <c r="Q22" s="2"/>
      <c r="R22" s="19">
        <f t="shared" si="10"/>
        <v>0</v>
      </c>
      <c r="S22" s="2"/>
      <c r="T22" s="2">
        <v>70.78</v>
      </c>
      <c r="U22" s="2"/>
      <c r="V22" s="19">
        <f t="shared" si="11"/>
        <v>1.9024222420521864E-2</v>
      </c>
      <c r="W22" s="2"/>
      <c r="X22" s="2">
        <f t="shared" si="12"/>
        <v>-70.78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6</v>
      </c>
      <c r="C24" s="25"/>
      <c r="D24" s="22">
        <f>D12-D17</f>
        <v>0</v>
      </c>
      <c r="E24" s="13"/>
      <c r="F24" s="21">
        <f>IF(D$12=0,0,D24/D$12)</f>
        <v>0</v>
      </c>
      <c r="G24" s="13"/>
      <c r="H24" s="22">
        <f>H12-H17</f>
        <v>43.639999999999951</v>
      </c>
      <c r="I24" s="13"/>
      <c r="J24" s="21">
        <f>IF(H$12=0,0,H24/H$12)</f>
        <v>0.62521489971346633</v>
      </c>
      <c r="K24" s="15"/>
      <c r="L24" s="22">
        <f>+D24-H24</f>
        <v>-43.639999999999951</v>
      </c>
      <c r="M24" s="15"/>
      <c r="N24" s="21">
        <f>IF(H24=0,0,L24/H24)</f>
        <v>-1</v>
      </c>
      <c r="O24" s="26"/>
      <c r="P24" s="22">
        <f>P12-P17</f>
        <v>0</v>
      </c>
      <c r="Q24" s="13"/>
      <c r="R24" s="21">
        <f>IF(P$12=0,0,P24/P$12)</f>
        <v>0</v>
      </c>
      <c r="S24" s="13"/>
      <c r="T24" s="22">
        <f>T12-T17</f>
        <v>1828.94</v>
      </c>
      <c r="U24" s="13"/>
      <c r="V24" s="21">
        <f>IF(T$12=0,0,T24/T$12)</f>
        <v>0.49158182189586402</v>
      </c>
      <c r="W24" s="15"/>
      <c r="X24" s="22">
        <f>+P24-T24</f>
        <v>-1828.94</v>
      </c>
      <c r="Y24" s="15"/>
      <c r="Z24" s="21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6" t="s">
        <v>9</v>
      </c>
      <c r="C26" s="10"/>
      <c r="D26" s="20">
        <f>SUM(OSRRefD22x_0)</f>
        <v>0</v>
      </c>
      <c r="E26" s="20"/>
      <c r="F26" s="36">
        <f t="shared" ref="F26:F34" si="14">IF(D$12=0,0,D26/D$12)</f>
        <v>0</v>
      </c>
      <c r="G26" s="20"/>
      <c r="H26" s="20">
        <f>SUM(OSRRefH22x_0)</f>
        <v>9160.18</v>
      </c>
      <c r="I26" s="20"/>
      <c r="J26" s="36">
        <f t="shared" ref="J26:J34" si="15">IF(H$12=0,0,H26/H$12)</f>
        <v>131.23467048710603</v>
      </c>
      <c r="K26" s="4"/>
      <c r="L26" s="20">
        <f t="shared" ref="L26:L34" si="16">+D26-H26</f>
        <v>-9160.18</v>
      </c>
      <c r="M26" s="4"/>
      <c r="N26" s="36">
        <f t="shared" ref="N26:N34" si="17">IF(H26=0,0,L26/H26)</f>
        <v>-1</v>
      </c>
      <c r="O26" s="10"/>
      <c r="P26" s="20">
        <f>SUM(OSRRefP22x_0)</f>
        <v>0</v>
      </c>
      <c r="Q26" s="20"/>
      <c r="R26" s="36">
        <f t="shared" ref="R26:R34" si="18">IF(P$12=0,0,P26/P$12)</f>
        <v>0</v>
      </c>
      <c r="S26" s="20"/>
      <c r="T26" s="20">
        <f>SUM(OSRRefT22x_0)</f>
        <v>-1342.7300000000007</v>
      </c>
      <c r="U26" s="20"/>
      <c r="V26" s="36">
        <f t="shared" ref="V26:V34" si="19">IF(T$12=0,0,T26/T$12)</f>
        <v>-0.3608984765570406</v>
      </c>
      <c r="W26" s="4"/>
      <c r="X26" s="20">
        <f t="shared" ref="X26:X34" si="20">+P26-T26</f>
        <v>1342.7300000000007</v>
      </c>
      <c r="Y26" s="4"/>
      <c r="Z26" s="36">
        <f t="shared" ref="Z26:Z34" si="21">IF(T26=0,0,X26/T26)</f>
        <v>-1</v>
      </c>
    </row>
    <row r="27" spans="1:26" s="27" customFormat="1" outlineLevel="1" collapsed="1" x14ac:dyDescent="0.25">
      <c r="A27" s="29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0</v>
      </c>
      <c r="I27" s="1"/>
      <c r="J27" s="5">
        <f t="shared" si="15"/>
        <v>0</v>
      </c>
      <c r="K27" s="1"/>
      <c r="L27" s="1">
        <f t="shared" si="16"/>
        <v>0</v>
      </c>
      <c r="M27" s="1"/>
      <c r="N27" s="5">
        <f t="shared" si="17"/>
        <v>0</v>
      </c>
      <c r="O27" s="14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835.72</v>
      </c>
      <c r="U27" s="1"/>
      <c r="V27" s="5">
        <f t="shared" si="19"/>
        <v>0.22462451485276252</v>
      </c>
      <c r="W27" s="1"/>
      <c r="X27" s="1">
        <f t="shared" si="20"/>
        <v>-835.72</v>
      </c>
      <c r="Y27" s="1"/>
      <c r="Z27" s="5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4"/>
        <v>0</v>
      </c>
      <c r="G28" s="2"/>
      <c r="H28" s="7"/>
      <c r="I28" s="2"/>
      <c r="J28" s="6">
        <f t="shared" si="15"/>
        <v>0</v>
      </c>
      <c r="K28" s="2"/>
      <c r="L28" s="7">
        <f t="shared" si="16"/>
        <v>0</v>
      </c>
      <c r="M28" s="2"/>
      <c r="N28" s="6">
        <f t="shared" si="17"/>
        <v>0</v>
      </c>
      <c r="O28" s="11"/>
      <c r="P28" s="7"/>
      <c r="Q28" s="2"/>
      <c r="R28" s="6">
        <f t="shared" si="18"/>
        <v>0</v>
      </c>
      <c r="S28" s="2"/>
      <c r="T28" s="7">
        <v>155.66</v>
      </c>
      <c r="U28" s="2"/>
      <c r="V28" s="6">
        <f t="shared" si="19"/>
        <v>4.1838237665702646E-2</v>
      </c>
      <c r="W28" s="2"/>
      <c r="X28" s="7">
        <f t="shared" si="20"/>
        <v>-155.66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4"/>
        <v>0</v>
      </c>
      <c r="G29" s="2"/>
      <c r="H29" s="7"/>
      <c r="I29" s="2"/>
      <c r="J29" s="6">
        <f t="shared" si="15"/>
        <v>0</v>
      </c>
      <c r="K29" s="2"/>
      <c r="L29" s="7">
        <f t="shared" si="16"/>
        <v>0</v>
      </c>
      <c r="M29" s="2"/>
      <c r="N29" s="6">
        <f t="shared" si="17"/>
        <v>0</v>
      </c>
      <c r="O29" s="11"/>
      <c r="P29" s="7"/>
      <c r="Q29" s="2"/>
      <c r="R29" s="6">
        <f t="shared" si="18"/>
        <v>0</v>
      </c>
      <c r="S29" s="2"/>
      <c r="T29" s="7">
        <v>36.479999999999997</v>
      </c>
      <c r="U29" s="2"/>
      <c r="V29" s="6">
        <f t="shared" si="19"/>
        <v>9.8050810101813716E-3</v>
      </c>
      <c r="W29" s="2"/>
      <c r="X29" s="7">
        <f t="shared" si="20"/>
        <v>-36.479999999999997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"6113", " - ", "GROUP INSURANCE")</f>
        <v xml:space="preserve">          6113 - GROUP INSURANCE</v>
      </c>
      <c r="C30" s="11"/>
      <c r="D30" s="7"/>
      <c r="E30" s="2"/>
      <c r="F30" s="6">
        <f t="shared" si="14"/>
        <v>0</v>
      </c>
      <c r="G30" s="2"/>
      <c r="H30" s="7"/>
      <c r="I30" s="2"/>
      <c r="J30" s="6">
        <f t="shared" si="15"/>
        <v>0</v>
      </c>
      <c r="K30" s="2"/>
      <c r="L30" s="7">
        <f t="shared" si="16"/>
        <v>0</v>
      </c>
      <c r="M30" s="2"/>
      <c r="N30" s="6">
        <f t="shared" si="17"/>
        <v>0</v>
      </c>
      <c r="O30" s="11"/>
      <c r="P30" s="7"/>
      <c r="Q30" s="2"/>
      <c r="R30" s="6">
        <f t="shared" si="18"/>
        <v>0</v>
      </c>
      <c r="S30" s="2"/>
      <c r="T30" s="7">
        <v>305.26</v>
      </c>
      <c r="U30" s="2"/>
      <c r="V30" s="6">
        <f t="shared" si="19"/>
        <v>8.2047670755700811E-2</v>
      </c>
      <c r="W30" s="2"/>
      <c r="X30" s="7">
        <f t="shared" si="20"/>
        <v>-305.26</v>
      </c>
      <c r="Y30" s="2"/>
      <c r="Z30" s="6">
        <f t="shared" si="21"/>
        <v>-1</v>
      </c>
    </row>
    <row r="31" spans="1:26" s="24" customFormat="1" hidden="1" outlineLevel="2" x14ac:dyDescent="0.25">
      <c r="A31" s="28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4"/>
        <v>0</v>
      </c>
      <c r="G31" s="2"/>
      <c r="H31" s="7"/>
      <c r="I31" s="2"/>
      <c r="J31" s="6">
        <f t="shared" si="15"/>
        <v>0</v>
      </c>
      <c r="K31" s="2"/>
      <c r="L31" s="7">
        <f t="shared" si="16"/>
        <v>0</v>
      </c>
      <c r="M31" s="2"/>
      <c r="N31" s="6">
        <f t="shared" si="17"/>
        <v>0</v>
      </c>
      <c r="O31" s="11"/>
      <c r="P31" s="7"/>
      <c r="Q31" s="2"/>
      <c r="R31" s="6">
        <f t="shared" si="18"/>
        <v>0</v>
      </c>
      <c r="S31" s="2"/>
      <c r="T31" s="7">
        <v>5</v>
      </c>
      <c r="U31" s="2"/>
      <c r="V31" s="6">
        <f t="shared" si="19"/>
        <v>1.3438981647726663E-3</v>
      </c>
      <c r="W31" s="2"/>
      <c r="X31" s="7">
        <f t="shared" si="20"/>
        <v>-5</v>
      </c>
      <c r="Y31" s="2"/>
      <c r="Z31" s="6">
        <f t="shared" si="21"/>
        <v>-1</v>
      </c>
    </row>
    <row r="32" spans="1:26" s="24" customFormat="1" hidden="1" outlineLevel="2" x14ac:dyDescent="0.25">
      <c r="A32" s="28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4"/>
        <v>0</v>
      </c>
      <c r="G32" s="2"/>
      <c r="H32" s="7"/>
      <c r="I32" s="2"/>
      <c r="J32" s="6">
        <f t="shared" si="15"/>
        <v>0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/>
      <c r="Q32" s="2"/>
      <c r="R32" s="6">
        <f t="shared" si="18"/>
        <v>0</v>
      </c>
      <c r="S32" s="2"/>
      <c r="T32" s="7">
        <v>134.12</v>
      </c>
      <c r="U32" s="2"/>
      <c r="V32" s="6">
        <f t="shared" si="19"/>
        <v>3.6048724371861997E-2</v>
      </c>
      <c r="W32" s="2"/>
      <c r="X32" s="7">
        <f t="shared" si="20"/>
        <v>-134.12</v>
      </c>
      <c r="Y32" s="2"/>
      <c r="Z32" s="6">
        <f t="shared" si="21"/>
        <v>-1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4"/>
        <v>0</v>
      </c>
      <c r="G33" s="2"/>
      <c r="H33" s="7"/>
      <c r="I33" s="2"/>
      <c r="J33" s="6">
        <f t="shared" si="15"/>
        <v>0</v>
      </c>
      <c r="K33" s="2"/>
      <c r="L33" s="7">
        <f t="shared" si="16"/>
        <v>0</v>
      </c>
      <c r="M33" s="2"/>
      <c r="N33" s="6">
        <f t="shared" si="17"/>
        <v>0</v>
      </c>
      <c r="O33" s="11"/>
      <c r="P33" s="7"/>
      <c r="Q33" s="2"/>
      <c r="R33" s="6">
        <f t="shared" si="18"/>
        <v>0</v>
      </c>
      <c r="S33" s="2"/>
      <c r="T33" s="7">
        <v>110.64</v>
      </c>
      <c r="U33" s="2"/>
      <c r="V33" s="6">
        <f t="shared" si="19"/>
        <v>2.9737778590089557E-2</v>
      </c>
      <c r="W33" s="2"/>
      <c r="X33" s="7">
        <f t="shared" si="20"/>
        <v>-110.64</v>
      </c>
      <c r="Y33" s="2"/>
      <c r="Z33" s="6">
        <f t="shared" si="21"/>
        <v>-1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4"/>
        <v>0</v>
      </c>
      <c r="G34" s="2"/>
      <c r="H34" s="7"/>
      <c r="I34" s="2"/>
      <c r="J34" s="6">
        <f t="shared" si="15"/>
        <v>0</v>
      </c>
      <c r="K34" s="2"/>
      <c r="L34" s="7">
        <f t="shared" si="16"/>
        <v>0</v>
      </c>
      <c r="M34" s="2"/>
      <c r="N34" s="6">
        <f t="shared" si="17"/>
        <v>0</v>
      </c>
      <c r="O34" s="11"/>
      <c r="P34" s="7"/>
      <c r="Q34" s="2"/>
      <c r="R34" s="6">
        <f t="shared" si="18"/>
        <v>0</v>
      </c>
      <c r="S34" s="2"/>
      <c r="T34" s="7">
        <v>88.56</v>
      </c>
      <c r="U34" s="2"/>
      <c r="V34" s="6">
        <f t="shared" si="19"/>
        <v>2.3803124294453464E-2</v>
      </c>
      <c r="W34" s="2"/>
      <c r="X34" s="7">
        <f t="shared" si="20"/>
        <v>-88.56</v>
      </c>
      <c r="Y34" s="2"/>
      <c r="Z34" s="6">
        <f t="shared" si="21"/>
        <v>-1</v>
      </c>
    </row>
    <row r="35" spans="1:26" s="27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38" si="22">IF(D$12=0,0,D35/D$12)</f>
        <v>0</v>
      </c>
      <c r="G35" s="1"/>
      <c r="H35" s="1">
        <f>SUM(OSRRefH22_1x_0)</f>
        <v>-240</v>
      </c>
      <c r="I35" s="1"/>
      <c r="J35" s="5">
        <f t="shared" ref="J35:J38" si="23">IF(H$12=0,0,H35/H$12)</f>
        <v>-3.4383954154727796</v>
      </c>
      <c r="K35" s="1"/>
      <c r="L35" s="1">
        <f t="shared" ref="L35:L38" si="24">+D35-H35</f>
        <v>240</v>
      </c>
      <c r="M35" s="1"/>
      <c r="N35" s="5">
        <f t="shared" ref="N35:N38" si="25">IF(H35=0,0,L35/H35)</f>
        <v>-1</v>
      </c>
      <c r="O35" s="14"/>
      <c r="P35" s="1">
        <f>SUM(OSRRefP22_1x_0)</f>
        <v>0</v>
      </c>
      <c r="Q35" s="1"/>
      <c r="R35" s="5">
        <f t="shared" ref="R35:R38" si="26">IF(P$12=0,0,P35/P$12)</f>
        <v>0</v>
      </c>
      <c r="S35" s="1"/>
      <c r="T35" s="1">
        <f>SUM(OSRRefT22_1x_0)</f>
        <v>1986.7399999999998</v>
      </c>
      <c r="U35" s="1"/>
      <c r="V35" s="5">
        <f t="shared" ref="V35:V38" si="27">IF(T$12=0,0,T35/T$12)</f>
        <v>0.53399524797608933</v>
      </c>
      <c r="W35" s="1"/>
      <c r="X35" s="1">
        <f t="shared" ref="X35:X38" si="28">+P35-T35</f>
        <v>-1986.7399999999998</v>
      </c>
      <c r="Y35" s="1"/>
      <c r="Z35" s="5">
        <f t="shared" ref="Z35:Z38" si="29">IF(T35=0,0,X35/T35)</f>
        <v>-1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2"/>
        <v>0</v>
      </c>
      <c r="G36" s="2"/>
      <c r="H36" s="7">
        <v>-240</v>
      </c>
      <c r="I36" s="2"/>
      <c r="J36" s="6">
        <f t="shared" si="23"/>
        <v>-3.4383954154727796</v>
      </c>
      <c r="K36" s="2"/>
      <c r="L36" s="7">
        <f t="shared" si="24"/>
        <v>240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1872</v>
      </c>
      <c r="U36" s="2"/>
      <c r="V36" s="6">
        <f t="shared" si="27"/>
        <v>0.50315547289088625</v>
      </c>
      <c r="W36" s="2"/>
      <c r="X36" s="7">
        <f t="shared" si="28"/>
        <v>-1872</v>
      </c>
      <c r="Y36" s="2"/>
      <c r="Z36" s="6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57.37</v>
      </c>
      <c r="U37" s="2"/>
      <c r="V37" s="6">
        <f t="shared" si="27"/>
        <v>1.5419887542601571E-2</v>
      </c>
      <c r="W37" s="2"/>
      <c r="X37" s="7">
        <f t="shared" si="28"/>
        <v>-57.37</v>
      </c>
      <c r="Y37" s="2"/>
      <c r="Z37" s="6">
        <f t="shared" si="29"/>
        <v>-1</v>
      </c>
    </row>
    <row r="38" spans="1:26" s="24" customFormat="1" hidden="1" outlineLevel="2" x14ac:dyDescent="0.25">
      <c r="A38" s="28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/>
      <c r="I38" s="2"/>
      <c r="J38" s="6">
        <f t="shared" si="23"/>
        <v>0</v>
      </c>
      <c r="K38" s="2"/>
      <c r="L38" s="7">
        <f t="shared" si="24"/>
        <v>0</v>
      </c>
      <c r="M38" s="2"/>
      <c r="N38" s="6">
        <f t="shared" si="25"/>
        <v>0</v>
      </c>
      <c r="O38" s="11"/>
      <c r="P38" s="7"/>
      <c r="Q38" s="2"/>
      <c r="R38" s="6">
        <f t="shared" si="26"/>
        <v>0</v>
      </c>
      <c r="S38" s="2"/>
      <c r="T38" s="7">
        <v>57.37</v>
      </c>
      <c r="U38" s="2"/>
      <c r="V38" s="6">
        <f t="shared" si="27"/>
        <v>1.5419887542601571E-2</v>
      </c>
      <c r="W38" s="2"/>
      <c r="X38" s="7">
        <f t="shared" si="28"/>
        <v>-57.37</v>
      </c>
      <c r="Y38" s="2"/>
      <c r="Z38" s="6">
        <f t="shared" si="29"/>
        <v>-1</v>
      </c>
    </row>
    <row r="39" spans="1:26" s="27" customFormat="1" outlineLevel="1" collapsed="1" x14ac:dyDescent="0.25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5" si="30">IF(D$12=0,0,D39/D$12)</f>
        <v>0</v>
      </c>
      <c r="G39" s="1"/>
      <c r="H39" s="1">
        <f>SUM(OSRRefH22_2x_0)</f>
        <v>-857.46</v>
      </c>
      <c r="I39" s="1"/>
      <c r="J39" s="5">
        <f t="shared" ref="J39:J45" si="31">IF(H$12=0,0,H39/H$12)</f>
        <v>-12.284527220630373</v>
      </c>
      <c r="K39" s="1"/>
      <c r="L39" s="1">
        <f t="shared" ref="L39:L45" si="32">+D39-H39</f>
        <v>857.46</v>
      </c>
      <c r="M39" s="1"/>
      <c r="N39" s="5">
        <f t="shared" ref="N39:N45" si="33">IF(H39=0,0,L39/H39)</f>
        <v>-1</v>
      </c>
      <c r="O39" s="14"/>
      <c r="P39" s="1">
        <f>SUM(OSRRefP22_2x_0)</f>
        <v>0</v>
      </c>
      <c r="Q39" s="1"/>
      <c r="R39" s="5">
        <f t="shared" ref="R39:R45" si="34">IF(P$12=0,0,P39/P$12)</f>
        <v>0</v>
      </c>
      <c r="S39" s="1"/>
      <c r="T39" s="1">
        <f>SUM(OSRRefT22_2x_0)</f>
        <v>-857.46</v>
      </c>
      <c r="U39" s="1"/>
      <c r="V39" s="5">
        <f t="shared" ref="V39:V45" si="35">IF(T$12=0,0,T39/T$12)</f>
        <v>-0.23046778407319407</v>
      </c>
      <c r="W39" s="1"/>
      <c r="X39" s="1">
        <f t="shared" ref="X39:X45" si="36">+P39-T39</f>
        <v>857.46</v>
      </c>
      <c r="Y39" s="1"/>
      <c r="Z39" s="5">
        <f t="shared" ref="Z39:Z45" si="37">IF(T39=0,0,X39/T39)</f>
        <v>-1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>
        <v>-857.46</v>
      </c>
      <c r="I40" s="2"/>
      <c r="J40" s="6">
        <f t="shared" si="31"/>
        <v>-12.284527220630373</v>
      </c>
      <c r="K40" s="2"/>
      <c r="L40" s="7">
        <f t="shared" si="32"/>
        <v>857.46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-857.46</v>
      </c>
      <c r="U40" s="2"/>
      <c r="V40" s="6">
        <f t="shared" si="35"/>
        <v>-0.23046778407319407</v>
      </c>
      <c r="W40" s="2"/>
      <c r="X40" s="7">
        <f t="shared" si="36"/>
        <v>857.46</v>
      </c>
      <c r="Y40" s="2"/>
      <c r="Z40" s="6">
        <f t="shared" si="37"/>
        <v>-1</v>
      </c>
    </row>
    <row r="41" spans="1:26" s="27" customFormat="1" outlineLevel="1" collapsed="1" x14ac:dyDescent="0.25">
      <c r="A41" s="29"/>
      <c r="B41" s="14" t="str">
        <f>CONCATENATE("     ","Discounts and Markdowns                           ")</f>
        <v xml:space="preserve">     Discounts and Markdowns                           </v>
      </c>
      <c r="C41" s="14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0</v>
      </c>
      <c r="I41" s="1"/>
      <c r="J41" s="5">
        <f t="shared" si="31"/>
        <v>0</v>
      </c>
      <c r="K41" s="1"/>
      <c r="L41" s="1">
        <f t="shared" si="32"/>
        <v>0</v>
      </c>
      <c r="M41" s="1"/>
      <c r="N41" s="5">
        <f t="shared" si="33"/>
        <v>0</v>
      </c>
      <c r="O41" s="14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5.25</v>
      </c>
      <c r="U41" s="1"/>
      <c r="V41" s="5">
        <f t="shared" si="35"/>
        <v>1.4110930730112995E-3</v>
      </c>
      <c r="W41" s="1"/>
      <c r="X41" s="1">
        <f t="shared" si="36"/>
        <v>-5.25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"6382", " - ", "DISCOUNTS/MARK DOWNS")</f>
        <v xml:space="preserve">          6382 - DISCOUNTS/MARK DOWNS</v>
      </c>
      <c r="C42" s="11"/>
      <c r="D42" s="7"/>
      <c r="E42" s="2"/>
      <c r="F42" s="6">
        <f t="shared" si="30"/>
        <v>0</v>
      </c>
      <c r="G42" s="2"/>
      <c r="H42" s="7"/>
      <c r="I42" s="2"/>
      <c r="J42" s="6">
        <f t="shared" si="31"/>
        <v>0</v>
      </c>
      <c r="K42" s="2"/>
      <c r="L42" s="7">
        <f t="shared" si="32"/>
        <v>0</v>
      </c>
      <c r="M42" s="2"/>
      <c r="N42" s="6">
        <f t="shared" si="33"/>
        <v>0</v>
      </c>
      <c r="O42" s="11"/>
      <c r="P42" s="7"/>
      <c r="Q42" s="2"/>
      <c r="R42" s="6">
        <f t="shared" si="34"/>
        <v>0</v>
      </c>
      <c r="S42" s="2"/>
      <c r="T42" s="7">
        <v>5.25</v>
      </c>
      <c r="U42" s="2"/>
      <c r="V42" s="6">
        <f t="shared" si="35"/>
        <v>1.4110930730112995E-3</v>
      </c>
      <c r="W42" s="2"/>
      <c r="X42" s="7">
        <f t="shared" si="36"/>
        <v>-5.25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7286.9499999999989</v>
      </c>
      <c r="I43" s="1"/>
      <c r="J43" s="5">
        <f t="shared" si="31"/>
        <v>104.39756446991403</v>
      </c>
      <c r="K43" s="1"/>
      <c r="L43" s="1">
        <f t="shared" si="32"/>
        <v>-7286.9499999999989</v>
      </c>
      <c r="M43" s="1"/>
      <c r="N43" s="5">
        <f t="shared" si="33"/>
        <v>-1</v>
      </c>
      <c r="O43" s="14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-8513.2200000000012</v>
      </c>
      <c r="U43" s="1"/>
      <c r="V43" s="5">
        <f t="shared" si="35"/>
        <v>-2.2881801468611918</v>
      </c>
      <c r="W43" s="1"/>
      <c r="X43" s="1">
        <f t="shared" si="36"/>
        <v>8513.2200000000012</v>
      </c>
      <c r="Y43" s="1"/>
      <c r="Z43" s="5">
        <f t="shared" si="37"/>
        <v>-1</v>
      </c>
    </row>
    <row r="44" spans="1:26" s="24" customFormat="1" hidden="1" outlineLevel="2" x14ac:dyDescent="0.25">
      <c r="A44" s="28"/>
      <c r="B44" s="11" t="str">
        <f>CONCATENATE("          ", "6305", " - ", "FREIGHT OUT")</f>
        <v xml:space="preserve">          6305 - FREIGHT OUT</v>
      </c>
      <c r="C44" s="11"/>
      <c r="D44" s="7"/>
      <c r="E44" s="2"/>
      <c r="F44" s="6">
        <f t="shared" si="30"/>
        <v>0</v>
      </c>
      <c r="G44" s="2"/>
      <c r="H44" s="7">
        <v>8515.89</v>
      </c>
      <c r="I44" s="2"/>
      <c r="J44" s="6">
        <f t="shared" si="31"/>
        <v>122.00415472779369</v>
      </c>
      <c r="K44" s="2"/>
      <c r="L44" s="7">
        <f t="shared" si="32"/>
        <v>-8515.89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12129.32</v>
      </c>
      <c r="U44" s="2"/>
      <c r="V44" s="6">
        <f t="shared" si="35"/>
        <v>3.2601141775880791</v>
      </c>
      <c r="W44" s="2"/>
      <c r="X44" s="7">
        <f t="shared" si="36"/>
        <v>-12129.32</v>
      </c>
      <c r="Y44" s="2"/>
      <c r="Z44" s="6">
        <f t="shared" si="37"/>
        <v>-1</v>
      </c>
    </row>
    <row r="45" spans="1:26" s="24" customFormat="1" hidden="1" outlineLevel="2" x14ac:dyDescent="0.25">
      <c r="A45" s="28"/>
      <c r="B45" s="11" t="str">
        <f>CONCATENATE("          ", "6307", " - ", "POSTAGE")</f>
        <v xml:space="preserve">          6307 - POSTAGE</v>
      </c>
      <c r="C45" s="11"/>
      <c r="D45" s="7"/>
      <c r="E45" s="2"/>
      <c r="F45" s="6">
        <f t="shared" si="30"/>
        <v>0</v>
      </c>
      <c r="G45" s="2"/>
      <c r="H45" s="7">
        <v>-1228.94</v>
      </c>
      <c r="I45" s="2"/>
      <c r="J45" s="6">
        <f t="shared" si="31"/>
        <v>-17.606590257879656</v>
      </c>
      <c r="K45" s="2"/>
      <c r="L45" s="7">
        <f t="shared" si="32"/>
        <v>1228.94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-20642.54</v>
      </c>
      <c r="U45" s="2"/>
      <c r="V45" s="6">
        <f t="shared" si="35"/>
        <v>-5.5482943244492704</v>
      </c>
      <c r="W45" s="2"/>
      <c r="X45" s="7">
        <f t="shared" si="36"/>
        <v>20642.54</v>
      </c>
      <c r="Y45" s="2"/>
      <c r="Z45" s="6">
        <f t="shared" si="37"/>
        <v>-1</v>
      </c>
    </row>
    <row r="46" spans="1:26" s="27" customFormat="1" outlineLevel="1" collapsed="1" x14ac:dyDescent="0.25">
      <c r="A46" s="29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0</v>
      </c>
      <c r="E46" s="1"/>
      <c r="F46" s="5">
        <f t="shared" ref="F46:F52" si="38">IF(D$12=0,0,D46/D$12)</f>
        <v>0</v>
      </c>
      <c r="G46" s="1"/>
      <c r="H46" s="1">
        <f>SUM(OSRRefH22_5x_0)</f>
        <v>80.17</v>
      </c>
      <c r="I46" s="1"/>
      <c r="J46" s="5">
        <f t="shared" ref="J46:J52" si="39">IF(H$12=0,0,H46/H$12)</f>
        <v>1.148567335243553</v>
      </c>
      <c r="K46" s="1"/>
      <c r="L46" s="1">
        <f t="shared" ref="L46:L52" si="40">+D46-H46</f>
        <v>-80.17</v>
      </c>
      <c r="M46" s="1"/>
      <c r="N46" s="5">
        <f t="shared" ref="N46:N52" si="41">IF(H46=0,0,L46/H46)</f>
        <v>-1</v>
      </c>
      <c r="O46" s="14"/>
      <c r="P46" s="1">
        <f>SUM(OSRRefP22_5x_0)</f>
        <v>0</v>
      </c>
      <c r="Q46" s="1"/>
      <c r="R46" s="5">
        <f t="shared" ref="R46:R52" si="42">IF(P$12=0,0,P46/P$12)</f>
        <v>0</v>
      </c>
      <c r="S46" s="1"/>
      <c r="T46" s="1">
        <f>SUM(OSRRefT22_5x_0)</f>
        <v>80.17</v>
      </c>
      <c r="U46" s="1"/>
      <c r="V46" s="5">
        <f t="shared" ref="V46:V52" si="43">IF(T$12=0,0,T46/T$12)</f>
        <v>2.1548063173964929E-2</v>
      </c>
      <c r="W46" s="1"/>
      <c r="X46" s="1">
        <f t="shared" ref="X46:X52" si="44">+P46-T46</f>
        <v>-80.17</v>
      </c>
      <c r="Y46" s="1"/>
      <c r="Z46" s="5">
        <f t="shared" ref="Z46:Z52" si="45">IF(T46=0,0,X46/T46)</f>
        <v>-1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38"/>
        <v>0</v>
      </c>
      <c r="G47" s="2"/>
      <c r="H47" s="7">
        <v>80.17</v>
      </c>
      <c r="I47" s="2"/>
      <c r="J47" s="6">
        <f t="shared" si="39"/>
        <v>1.148567335243553</v>
      </c>
      <c r="K47" s="2"/>
      <c r="L47" s="7">
        <f t="shared" si="40"/>
        <v>-80.17</v>
      </c>
      <c r="M47" s="2"/>
      <c r="N47" s="6">
        <f t="shared" si="41"/>
        <v>-1</v>
      </c>
      <c r="O47" s="11"/>
      <c r="P47" s="7"/>
      <c r="Q47" s="2"/>
      <c r="R47" s="6">
        <f t="shared" si="42"/>
        <v>0</v>
      </c>
      <c r="S47" s="2"/>
      <c r="T47" s="7">
        <v>80.17</v>
      </c>
      <c r="U47" s="2"/>
      <c r="V47" s="6">
        <f t="shared" si="43"/>
        <v>2.1548063173964929E-2</v>
      </c>
      <c r="W47" s="2"/>
      <c r="X47" s="7">
        <f t="shared" si="44"/>
        <v>-80.17</v>
      </c>
      <c r="Y47" s="2"/>
      <c r="Z47" s="6">
        <f t="shared" si="45"/>
        <v>-1</v>
      </c>
    </row>
    <row r="48" spans="1:26" s="27" customFormat="1" outlineLevel="1" collapsed="1" x14ac:dyDescent="0.25">
      <c r="A48" s="29"/>
      <c r="B48" s="14" t="str">
        <f>CONCATENATE("     ","Inventory Adjustment                              ")</f>
        <v xml:space="preserve">     Inventory Adjustment                              </v>
      </c>
      <c r="C48" s="14"/>
      <c r="D48" s="1">
        <f>SUM(OSRRefD22_6x_0)</f>
        <v>0</v>
      </c>
      <c r="E48" s="1"/>
      <c r="F48" s="5">
        <f t="shared" si="38"/>
        <v>0</v>
      </c>
      <c r="G48" s="1"/>
      <c r="H48" s="1">
        <f>SUM(OSRRefH22_6x_0)</f>
        <v>100</v>
      </c>
      <c r="I48" s="1"/>
      <c r="J48" s="5">
        <f t="shared" si="39"/>
        <v>1.4326647564469914</v>
      </c>
      <c r="K48" s="1"/>
      <c r="L48" s="1">
        <f t="shared" si="40"/>
        <v>-100</v>
      </c>
      <c r="M48" s="1"/>
      <c r="N48" s="5">
        <f t="shared" si="41"/>
        <v>-1</v>
      </c>
      <c r="O48" s="14"/>
      <c r="P48" s="1">
        <f>SUM(OSRRefP22_6x_0)</f>
        <v>0</v>
      </c>
      <c r="Q48" s="1"/>
      <c r="R48" s="5">
        <f t="shared" si="42"/>
        <v>0</v>
      </c>
      <c r="S48" s="1"/>
      <c r="T48" s="1">
        <f>SUM(OSRRefT22_6x_0)</f>
        <v>200</v>
      </c>
      <c r="U48" s="1"/>
      <c r="V48" s="5">
        <f t="shared" si="43"/>
        <v>5.3755926590906646E-2</v>
      </c>
      <c r="W48" s="1"/>
      <c r="X48" s="1">
        <f t="shared" si="44"/>
        <v>-200</v>
      </c>
      <c r="Y48" s="1"/>
      <c r="Z48" s="5">
        <f t="shared" si="45"/>
        <v>-1</v>
      </c>
    </row>
    <row r="49" spans="1:26" s="24" customFormat="1" hidden="1" outlineLevel="2" x14ac:dyDescent="0.25">
      <c r="A49" s="28"/>
      <c r="B49" s="11" t="str">
        <f>CONCATENATE("          ", "6408", " - ", "INVENTORY ADJUSTMENT")</f>
        <v xml:space="preserve">          6408 - INVENTORY ADJUSTMENT</v>
      </c>
      <c r="C49" s="11"/>
      <c r="D49" s="7"/>
      <c r="E49" s="2"/>
      <c r="F49" s="6">
        <f t="shared" si="38"/>
        <v>0</v>
      </c>
      <c r="G49" s="2"/>
      <c r="H49" s="7">
        <v>100</v>
      </c>
      <c r="I49" s="2"/>
      <c r="J49" s="6">
        <f t="shared" si="39"/>
        <v>1.4326647564469914</v>
      </c>
      <c r="K49" s="2"/>
      <c r="L49" s="7">
        <f t="shared" si="40"/>
        <v>-100</v>
      </c>
      <c r="M49" s="2"/>
      <c r="N49" s="6">
        <f t="shared" si="41"/>
        <v>-1</v>
      </c>
      <c r="O49" s="11"/>
      <c r="P49" s="7"/>
      <c r="Q49" s="2"/>
      <c r="R49" s="6">
        <f t="shared" si="42"/>
        <v>0</v>
      </c>
      <c r="S49" s="2"/>
      <c r="T49" s="7">
        <v>200</v>
      </c>
      <c r="U49" s="2"/>
      <c r="V49" s="6">
        <f t="shared" si="43"/>
        <v>5.3755926590906646E-2</v>
      </c>
      <c r="W49" s="2"/>
      <c r="X49" s="7">
        <f t="shared" si="44"/>
        <v>-200</v>
      </c>
      <c r="Y49" s="2"/>
      <c r="Z49" s="6">
        <f t="shared" si="45"/>
        <v>-1</v>
      </c>
    </row>
    <row r="50" spans="1:26" s="27" customFormat="1" outlineLevel="1" collapsed="1" x14ac:dyDescent="0.25">
      <c r="A50" s="29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2790.52</v>
      </c>
      <c r="I50" s="1"/>
      <c r="J50" s="5">
        <f t="shared" si="39"/>
        <v>39.978796561604582</v>
      </c>
      <c r="K50" s="1"/>
      <c r="L50" s="1">
        <f t="shared" si="40"/>
        <v>-2790.52</v>
      </c>
      <c r="M50" s="1"/>
      <c r="N50" s="5">
        <f t="shared" si="41"/>
        <v>-1</v>
      </c>
      <c r="O50" s="14"/>
      <c r="P50" s="1">
        <f>SUM(OSRRefP22_7x_0)</f>
        <v>0</v>
      </c>
      <c r="Q50" s="1"/>
      <c r="R50" s="5">
        <f t="shared" si="42"/>
        <v>0</v>
      </c>
      <c r="S50" s="1"/>
      <c r="T50" s="1">
        <f>SUM(OSRRefT22_7x_0)</f>
        <v>4773.7700000000004</v>
      </c>
      <c r="U50" s="1"/>
      <c r="V50" s="5">
        <f t="shared" si="43"/>
        <v>1.2830921484093623</v>
      </c>
      <c r="W50" s="1"/>
      <c r="X50" s="1">
        <f t="shared" si="44"/>
        <v>-4773.7700000000004</v>
      </c>
      <c r="Y50" s="1"/>
      <c r="Z50" s="5">
        <f t="shared" si="45"/>
        <v>-1</v>
      </c>
    </row>
    <row r="51" spans="1:26" s="24" customFormat="1" hidden="1" outlineLevel="2" x14ac:dyDescent="0.25">
      <c r="A51" s="28"/>
      <c r="B51" s="11" t="str">
        <f>CONCATENATE("          ", "6241", " - ", "OFFICE EXPENSE")</f>
        <v xml:space="preserve">          6241 - OFFICE EXPENSE</v>
      </c>
      <c r="C51" s="11"/>
      <c r="D51" s="7"/>
      <c r="E51" s="2"/>
      <c r="F51" s="6">
        <f t="shared" si="38"/>
        <v>0</v>
      </c>
      <c r="G51" s="2"/>
      <c r="H51" s="7">
        <v>87.41</v>
      </c>
      <c r="I51" s="2"/>
      <c r="J51" s="6">
        <f t="shared" si="39"/>
        <v>1.2522922636103151</v>
      </c>
      <c r="K51" s="2"/>
      <c r="L51" s="7">
        <f t="shared" si="40"/>
        <v>-87.41</v>
      </c>
      <c r="M51" s="2"/>
      <c r="N51" s="6">
        <f t="shared" si="41"/>
        <v>-1</v>
      </c>
      <c r="O51" s="11"/>
      <c r="P51" s="7"/>
      <c r="Q51" s="2"/>
      <c r="R51" s="6">
        <f t="shared" si="42"/>
        <v>0</v>
      </c>
      <c r="S51" s="2"/>
      <c r="T51" s="7">
        <v>115.02</v>
      </c>
      <c r="U51" s="2"/>
      <c r="V51" s="6">
        <f t="shared" si="43"/>
        <v>3.0915033382430412E-2</v>
      </c>
      <c r="W51" s="2"/>
      <c r="X51" s="7">
        <f t="shared" si="44"/>
        <v>-115.02</v>
      </c>
      <c r="Y51" s="2"/>
      <c r="Z51" s="6">
        <f t="shared" si="45"/>
        <v>-1</v>
      </c>
    </row>
    <row r="52" spans="1:26" s="24" customFormat="1" hidden="1" outlineLevel="2" x14ac:dyDescent="0.25">
      <c r="A52" s="28"/>
      <c r="B52" s="11" t="str">
        <f>CONCATENATE("          ", "6247", " - ", "STORE SUPPLIES")</f>
        <v xml:space="preserve">          6247 - STORE SUPPLIES</v>
      </c>
      <c r="C52" s="11"/>
      <c r="D52" s="7"/>
      <c r="E52" s="2"/>
      <c r="F52" s="6">
        <f t="shared" si="38"/>
        <v>0</v>
      </c>
      <c r="G52" s="2"/>
      <c r="H52" s="7">
        <v>2703.11</v>
      </c>
      <c r="I52" s="2"/>
      <c r="J52" s="6">
        <f t="shared" si="39"/>
        <v>38.726504297994275</v>
      </c>
      <c r="K52" s="2"/>
      <c r="L52" s="7">
        <f t="shared" si="40"/>
        <v>-2703.11</v>
      </c>
      <c r="M52" s="2"/>
      <c r="N52" s="6">
        <f t="shared" si="41"/>
        <v>-1</v>
      </c>
      <c r="O52" s="11"/>
      <c r="P52" s="7"/>
      <c r="Q52" s="2"/>
      <c r="R52" s="6">
        <f t="shared" si="42"/>
        <v>0</v>
      </c>
      <c r="S52" s="2"/>
      <c r="T52" s="7">
        <v>4658.75</v>
      </c>
      <c r="U52" s="2"/>
      <c r="V52" s="6">
        <f t="shared" si="43"/>
        <v>1.2521771150269316</v>
      </c>
      <c r="W52" s="2"/>
      <c r="X52" s="7">
        <f t="shared" si="44"/>
        <v>-4658.75</v>
      </c>
      <c r="Y52" s="2"/>
      <c r="Z52" s="6">
        <f t="shared" si="45"/>
        <v>-1</v>
      </c>
    </row>
    <row r="53" spans="1:26" s="27" customFormat="1" outlineLevel="1" collapsed="1" x14ac:dyDescent="0.25">
      <c r="A53" s="29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SUM(OSRRefD22_8x_0)</f>
        <v>0</v>
      </c>
      <c r="E53" s="1"/>
      <c r="F53" s="5">
        <f t="shared" ref="F53:F54" si="46">IF(D$12=0,0,D53/D$12)</f>
        <v>0</v>
      </c>
      <c r="G53" s="1"/>
      <c r="H53" s="1">
        <f>SUM(OSRRefH22_8x_0)</f>
        <v>0</v>
      </c>
      <c r="I53" s="1"/>
      <c r="J53" s="5">
        <f t="shared" ref="J53:J54" si="47">IF(H$12=0,0,H53/H$12)</f>
        <v>0</v>
      </c>
      <c r="K53" s="1"/>
      <c r="L53" s="1">
        <f t="shared" ref="L53:L54" si="48">+D53-H53</f>
        <v>0</v>
      </c>
      <c r="M53" s="1"/>
      <c r="N53" s="5">
        <f t="shared" ref="N53:N54" si="49">IF(H53=0,0,L53/H53)</f>
        <v>0</v>
      </c>
      <c r="O53" s="14"/>
      <c r="P53" s="1">
        <f>SUM(OSRRefP22_8x_0)</f>
        <v>0</v>
      </c>
      <c r="Q53" s="1"/>
      <c r="R53" s="5">
        <f t="shared" ref="R53:R54" si="50">IF(P$12=0,0,P53/P$12)</f>
        <v>0</v>
      </c>
      <c r="S53" s="1"/>
      <c r="T53" s="1">
        <f>SUM(OSRRefT22_8x_0)</f>
        <v>146.30000000000001</v>
      </c>
      <c r="U53" s="1"/>
      <c r="V53" s="5">
        <f t="shared" ref="V53:V54" si="51">IF(T$12=0,0,T53/T$12)</f>
        <v>3.9322460301248217E-2</v>
      </c>
      <c r="W53" s="1"/>
      <c r="X53" s="1">
        <f t="shared" ref="X53:X54" si="52">+P53-T53</f>
        <v>-146.30000000000001</v>
      </c>
      <c r="Y53" s="1"/>
      <c r="Z53" s="5">
        <f t="shared" ref="Z53:Z54" si="53">IF(T53=0,0,X53/T53)</f>
        <v>-1</v>
      </c>
    </row>
    <row r="54" spans="1:26" s="24" customFormat="1" hidden="1" outlineLevel="2" x14ac:dyDescent="0.25">
      <c r="A54" s="28"/>
      <c r="B54" s="11" t="str">
        <f>CONCATENATE("          ", "6309", " - ", "TELEPHONE")</f>
        <v xml:space="preserve">          6309 - TELEPHONE</v>
      </c>
      <c r="C54" s="11"/>
      <c r="D54" s="7"/>
      <c r="E54" s="2"/>
      <c r="F54" s="6">
        <f t="shared" si="46"/>
        <v>0</v>
      </c>
      <c r="G54" s="2"/>
      <c r="H54" s="7"/>
      <c r="I54" s="2"/>
      <c r="J54" s="6">
        <f t="shared" si="47"/>
        <v>0</v>
      </c>
      <c r="K54" s="2"/>
      <c r="L54" s="7">
        <f t="shared" si="48"/>
        <v>0</v>
      </c>
      <c r="M54" s="2"/>
      <c r="N54" s="6">
        <f t="shared" si="49"/>
        <v>0</v>
      </c>
      <c r="O54" s="11"/>
      <c r="P54" s="7"/>
      <c r="Q54" s="2"/>
      <c r="R54" s="6">
        <f t="shared" si="50"/>
        <v>0</v>
      </c>
      <c r="S54" s="2"/>
      <c r="T54" s="7">
        <v>146.30000000000001</v>
      </c>
      <c r="U54" s="2"/>
      <c r="V54" s="6">
        <f t="shared" si="51"/>
        <v>3.9322460301248217E-2</v>
      </c>
      <c r="W54" s="2"/>
      <c r="X54" s="7">
        <f t="shared" si="52"/>
        <v>-146.30000000000001</v>
      </c>
      <c r="Y54" s="2"/>
      <c r="Z54" s="6">
        <f t="shared" si="53"/>
        <v>-1</v>
      </c>
    </row>
    <row r="55" spans="1:26" s="60" customFormat="1" x14ac:dyDescent="0.25">
      <c r="A55" s="37"/>
      <c r="B55" s="37"/>
      <c r="C55" s="37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collapsed="1" x14ac:dyDescent="0.25">
      <c r="A56" s="10"/>
      <c r="B56" s="26" t="s">
        <v>0</v>
      </c>
      <c r="C56" s="10"/>
      <c r="D56" s="4">
        <f>SUM(OSRRefD25x_0)</f>
        <v>0</v>
      </c>
      <c r="E56" s="4"/>
      <c r="F56" s="12">
        <f t="shared" ref="F56:F60" si="54">IF(D$12=0,0,D56/D$12)</f>
        <v>0</v>
      </c>
      <c r="G56" s="4"/>
      <c r="H56" s="4">
        <f>SUM(OSRRefH25x_0)</f>
        <v>30</v>
      </c>
      <c r="I56" s="4"/>
      <c r="J56" s="12">
        <f t="shared" ref="J56:J60" si="55">IF(H$12=0,0,H56/H$12)</f>
        <v>0.42979942693409745</v>
      </c>
      <c r="K56" s="4"/>
      <c r="L56" s="4">
        <f t="shared" ref="L56:L60" si="56">+D56-H56</f>
        <v>-30</v>
      </c>
      <c r="M56" s="4"/>
      <c r="N56" s="12">
        <f t="shared" ref="N56:N60" si="57">IF(H56=0,0,L56/H56)</f>
        <v>-1</v>
      </c>
      <c r="O56" s="10"/>
      <c r="P56" s="4">
        <f>SUM(OSRRefP25x_0)</f>
        <v>0</v>
      </c>
      <c r="Q56" s="4"/>
      <c r="R56" s="12">
        <f t="shared" ref="R56:R60" si="58">IF(P$12=0,0,P56/P$12)</f>
        <v>0</v>
      </c>
      <c r="S56" s="4"/>
      <c r="T56" s="4">
        <f>SUM(OSRRefT25x_0)</f>
        <v>23321.85</v>
      </c>
      <c r="U56" s="4"/>
      <c r="V56" s="12">
        <f t="shared" ref="V56:V60" si="59">IF(T$12=0,0,T56/T$12)</f>
        <v>6.2684382828206804</v>
      </c>
      <c r="W56" s="4"/>
      <c r="X56" s="4">
        <f t="shared" ref="X56:X60" si="60">+P56-T56</f>
        <v>-23321.85</v>
      </c>
      <c r="Y56" s="4"/>
      <c r="Z56" s="12">
        <f t="shared" ref="Z56:Z60" si="61">IF(T56=0,0,X56/T56)</f>
        <v>-1</v>
      </c>
    </row>
    <row r="57" spans="1:26" s="24" customFormat="1" hidden="1" outlineLevel="1" x14ac:dyDescent="0.25">
      <c r="A57" s="44"/>
      <c r="B57" s="11" t="str">
        <f>CONCATENATE("          ", "4098", " - ", "TAXABLE SALES-GRAD RENTALS")</f>
        <v xml:space="preserve">          4098 - TAXABLE SALES-GRAD RENTALS</v>
      </c>
      <c r="C57" s="11"/>
      <c r="D57" s="2">
        <f t="shared" ref="D57:D60" si="62">0</f>
        <v>0</v>
      </c>
      <c r="E57" s="2"/>
      <c r="F57" s="19">
        <f t="shared" si="54"/>
        <v>0</v>
      </c>
      <c r="G57" s="2"/>
      <c r="H57" s="2">
        <f t="shared" ref="H57:H58" si="63">0</f>
        <v>0</v>
      </c>
      <c r="I57" s="2"/>
      <c r="J57" s="19">
        <f t="shared" si="55"/>
        <v>0</v>
      </c>
      <c r="K57" s="2"/>
      <c r="L57" s="2">
        <f t="shared" si="56"/>
        <v>0</v>
      </c>
      <c r="M57" s="2"/>
      <c r="N57" s="19">
        <f t="shared" si="57"/>
        <v>0</v>
      </c>
      <c r="O57" s="11"/>
      <c r="P57" s="2">
        <f t="shared" ref="P57:P60" si="64">0</f>
        <v>0</v>
      </c>
      <c r="Q57" s="2"/>
      <c r="R57" s="19">
        <f t="shared" si="58"/>
        <v>0</v>
      </c>
      <c r="S57" s="2"/>
      <c r="T57" s="2">
        <f>--1626.85</f>
        <v>1626.85</v>
      </c>
      <c r="U57" s="2"/>
      <c r="V57" s="19">
        <f t="shared" si="59"/>
        <v>0.4372641458720824</v>
      </c>
      <c r="W57" s="2"/>
      <c r="X57" s="2">
        <f t="shared" si="60"/>
        <v>-1626.85</v>
      </c>
      <c r="Y57" s="2"/>
      <c r="Z57" s="19">
        <f t="shared" si="61"/>
        <v>-1</v>
      </c>
    </row>
    <row r="58" spans="1:26" s="24" customFormat="1" hidden="1" outlineLevel="1" x14ac:dyDescent="0.25">
      <c r="A58" s="44"/>
      <c r="B58" s="11" t="str">
        <f>CONCATENATE("          ", "4197", " - ", "NON-TAXABLE SALES-RETURNED CHE")</f>
        <v xml:space="preserve">          4197 - NON-TAXABLE SALES-RETURNED CHE</v>
      </c>
      <c r="C58" s="11"/>
      <c r="D58" s="2">
        <f t="shared" si="62"/>
        <v>0</v>
      </c>
      <c r="E58" s="2"/>
      <c r="F58" s="19">
        <f t="shared" si="54"/>
        <v>0</v>
      </c>
      <c r="G58" s="2"/>
      <c r="H58" s="2">
        <f t="shared" si="63"/>
        <v>0</v>
      </c>
      <c r="I58" s="2"/>
      <c r="J58" s="19">
        <f t="shared" si="55"/>
        <v>0</v>
      </c>
      <c r="K58" s="2"/>
      <c r="L58" s="2">
        <f t="shared" si="56"/>
        <v>0</v>
      </c>
      <c r="M58" s="2"/>
      <c r="N58" s="19">
        <f t="shared" si="57"/>
        <v>0</v>
      </c>
      <c r="O58" s="11"/>
      <c r="P58" s="2">
        <f t="shared" si="64"/>
        <v>0</v>
      </c>
      <c r="Q58" s="2"/>
      <c r="R58" s="19">
        <f t="shared" si="58"/>
        <v>0</v>
      </c>
      <c r="S58" s="2"/>
      <c r="T58" s="2">
        <f>--30</f>
        <v>30</v>
      </c>
      <c r="U58" s="2"/>
      <c r="V58" s="19">
        <f t="shared" si="59"/>
        <v>8.0633889886359972E-3</v>
      </c>
      <c r="W58" s="2"/>
      <c r="X58" s="2">
        <f t="shared" si="60"/>
        <v>-30</v>
      </c>
      <c r="Y58" s="2"/>
      <c r="Z58" s="19">
        <f t="shared" si="61"/>
        <v>-1</v>
      </c>
    </row>
    <row r="59" spans="1:26" s="24" customFormat="1" hidden="1" outlineLevel="1" x14ac:dyDescent="0.25">
      <c r="A59" s="44"/>
      <c r="B59" s="11" t="str">
        <f>CONCATENATE("          ", "4198", " - ", "NON-TAXABLE SALES-GRAD RENTALS")</f>
        <v xml:space="preserve">          4198 - NON-TAXABLE SALES-GRAD RENTALS</v>
      </c>
      <c r="C59" s="11"/>
      <c r="D59" s="2">
        <f t="shared" si="62"/>
        <v>0</v>
      </c>
      <c r="E59" s="2"/>
      <c r="F59" s="19">
        <f t="shared" si="54"/>
        <v>0</v>
      </c>
      <c r="G59" s="2"/>
      <c r="H59" s="2">
        <f>--30</f>
        <v>30</v>
      </c>
      <c r="I59" s="2"/>
      <c r="J59" s="19">
        <f t="shared" si="55"/>
        <v>0.42979942693409745</v>
      </c>
      <c r="K59" s="2"/>
      <c r="L59" s="2">
        <f t="shared" si="56"/>
        <v>-30</v>
      </c>
      <c r="M59" s="2"/>
      <c r="N59" s="19">
        <f t="shared" si="57"/>
        <v>-1</v>
      </c>
      <c r="O59" s="11"/>
      <c r="P59" s="2">
        <f t="shared" si="64"/>
        <v>0</v>
      </c>
      <c r="Q59" s="2"/>
      <c r="R59" s="19">
        <f t="shared" si="58"/>
        <v>0</v>
      </c>
      <c r="S59" s="2"/>
      <c r="T59" s="2">
        <f>--495</f>
        <v>495</v>
      </c>
      <c r="U59" s="2"/>
      <c r="V59" s="19">
        <f t="shared" si="59"/>
        <v>0.13304591831249396</v>
      </c>
      <c r="W59" s="2"/>
      <c r="X59" s="2">
        <f t="shared" si="60"/>
        <v>-495</v>
      </c>
      <c r="Y59" s="2"/>
      <c r="Z59" s="19">
        <f t="shared" si="61"/>
        <v>-1</v>
      </c>
    </row>
    <row r="60" spans="1:26" s="24" customFormat="1" hidden="1" outlineLevel="1" x14ac:dyDescent="0.25">
      <c r="A60" s="44"/>
      <c r="B60" s="11" t="str">
        <f>CONCATENATE("          ", "9160", " - ", "MISC. INCOME")</f>
        <v xml:space="preserve">          9160 - MISC. INCOME</v>
      </c>
      <c r="C60" s="11"/>
      <c r="D60" s="2">
        <f t="shared" si="62"/>
        <v>0</v>
      </c>
      <c r="E60" s="2"/>
      <c r="F60" s="19">
        <f t="shared" si="54"/>
        <v>0</v>
      </c>
      <c r="G60" s="2"/>
      <c r="H60" s="2">
        <f>0</f>
        <v>0</v>
      </c>
      <c r="I60" s="2"/>
      <c r="J60" s="19">
        <f t="shared" si="55"/>
        <v>0</v>
      </c>
      <c r="K60" s="2"/>
      <c r="L60" s="2">
        <f t="shared" si="56"/>
        <v>0</v>
      </c>
      <c r="M60" s="2"/>
      <c r="N60" s="19">
        <f t="shared" si="57"/>
        <v>0</v>
      </c>
      <c r="O60" s="11"/>
      <c r="P60" s="2">
        <f t="shared" si="64"/>
        <v>0</v>
      </c>
      <c r="Q60" s="2"/>
      <c r="R60" s="19">
        <f t="shared" si="58"/>
        <v>0</v>
      </c>
      <c r="S60" s="2"/>
      <c r="T60" s="2">
        <f>--21170</f>
        <v>21170</v>
      </c>
      <c r="U60" s="2"/>
      <c r="V60" s="19">
        <f t="shared" si="59"/>
        <v>5.6900648296474685</v>
      </c>
      <c r="W60" s="2"/>
      <c r="X60" s="2">
        <f t="shared" si="60"/>
        <v>-21170</v>
      </c>
      <c r="Y60" s="2"/>
      <c r="Z60" s="19">
        <f t="shared" si="61"/>
        <v>-1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5" t="s">
        <v>3</v>
      </c>
      <c r="C62" s="25"/>
      <c r="D62" s="22">
        <f>+D24-D26+D56</f>
        <v>0</v>
      </c>
      <c r="E62" s="13"/>
      <c r="F62" s="21">
        <f>IF(D$12=0,0,D62/D$12)</f>
        <v>0</v>
      </c>
      <c r="G62" s="13"/>
      <c r="H62" s="22">
        <f>+H24-H26+H56</f>
        <v>-9086.5400000000009</v>
      </c>
      <c r="I62" s="13"/>
      <c r="J62" s="21">
        <f>IF(H$12=0,0,H62/H$12)</f>
        <v>-130.17965616045848</v>
      </c>
      <c r="K62" s="15"/>
      <c r="L62" s="22">
        <f>+D62-H62</f>
        <v>9086.5400000000009</v>
      </c>
      <c r="M62" s="15"/>
      <c r="N62" s="21">
        <f>IF(H62=0,0,L62/H62)</f>
        <v>-1</v>
      </c>
      <c r="O62" s="26"/>
      <c r="P62" s="22">
        <f>+P24-P26+P56</f>
        <v>0</v>
      </c>
      <c r="Q62" s="13"/>
      <c r="R62" s="21">
        <f>IF(P$12=0,0,P62/P$12)</f>
        <v>0</v>
      </c>
      <c r="S62" s="13"/>
      <c r="T62" s="22">
        <f>+T24-T26+T56</f>
        <v>26493.52</v>
      </c>
      <c r="U62" s="13"/>
      <c r="V62" s="21">
        <f>IF(T$12=0,0,T62/T$12)</f>
        <v>7.1209185812735853</v>
      </c>
      <c r="W62" s="15"/>
      <c r="X62" s="22">
        <f>+P62-T62</f>
        <v>-26493.52</v>
      </c>
      <c r="Y62" s="15"/>
      <c r="Z62" s="21">
        <f>IF(T62=0,0,X62/T62)</f>
        <v>-1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>
        <v>-55.55</v>
      </c>
      <c r="I64" s="4"/>
      <c r="J64" s="12">
        <f>IF(H$12=0,0,H64/H$12)</f>
        <v>-0.79584527220630374</v>
      </c>
      <c r="K64" s="4"/>
      <c r="L64" s="4">
        <f>+D64-H64</f>
        <v>55.55</v>
      </c>
      <c r="M64" s="4"/>
      <c r="N64" s="12">
        <f>IF(H64=0,0,L64/H64)</f>
        <v>-1</v>
      </c>
      <c r="O64" s="10"/>
      <c r="P64" s="4"/>
      <c r="Q64" s="4"/>
      <c r="R64" s="12">
        <f>IF(P$12=0,0,P64/P$12)</f>
        <v>0</v>
      </c>
      <c r="S64" s="4"/>
      <c r="T64" s="4">
        <v>399.63</v>
      </c>
      <c r="U64" s="4"/>
      <c r="V64" s="12">
        <f>IF(T$12=0,0,T64/T$12)</f>
        <v>0.10741240471762012</v>
      </c>
      <c r="W64" s="4"/>
      <c r="X64" s="4">
        <f>+P64-T64</f>
        <v>-399.63</v>
      </c>
      <c r="Y64" s="4"/>
      <c r="Z64" s="12">
        <f>IF(T64=0,0,X64/T64)</f>
        <v>-1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4</v>
      </c>
      <c r="C66" s="25"/>
      <c r="D66" s="33">
        <f>+D62-D64</f>
        <v>0</v>
      </c>
      <c r="E66" s="13"/>
      <c r="F66" s="32">
        <f>IF(D$12=0,0,D66/D$12)</f>
        <v>0</v>
      </c>
      <c r="G66" s="13"/>
      <c r="H66" s="33">
        <f>+H62-H64</f>
        <v>-9030.9900000000016</v>
      </c>
      <c r="I66" s="13"/>
      <c r="J66" s="32">
        <f>IF(H$12=0,0,H66/H$12)</f>
        <v>-129.38381088825219</v>
      </c>
      <c r="K66" s="15"/>
      <c r="L66" s="33">
        <f>D66-H66</f>
        <v>9030.9900000000016</v>
      </c>
      <c r="M66" s="15"/>
      <c r="N66" s="32">
        <f>IF(H66=0,0,L66/H66)</f>
        <v>-1</v>
      </c>
      <c r="O66" s="26"/>
      <c r="P66" s="33">
        <f>+P62-P64</f>
        <v>0</v>
      </c>
      <c r="Q66" s="13"/>
      <c r="R66" s="32">
        <f>IF(P$12=0,0,P66/P$12)</f>
        <v>0</v>
      </c>
      <c r="S66" s="13"/>
      <c r="T66" s="33">
        <f>+T62-T64</f>
        <v>26093.89</v>
      </c>
      <c r="U66" s="13"/>
      <c r="V66" s="32">
        <f>IF(T$12=0,0,T66/T$12)</f>
        <v>7.013506176555965</v>
      </c>
      <c r="W66" s="15"/>
      <c r="X66" s="33">
        <f>P66-T66</f>
        <v>-26093.89</v>
      </c>
      <c r="Y66" s="15"/>
      <c r="Z66" s="32">
        <f>IF(T66=0,0,X66/T66)</f>
        <v>-1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5</v>
      </c>
      <c r="C69" s="25"/>
      <c r="D69" s="34">
        <f>SUM(D66:D68)</f>
        <v>0</v>
      </c>
      <c r="E69" s="13"/>
      <c r="F69" s="31">
        <f>IF(D$12=0,0,D69/D$12)</f>
        <v>0</v>
      </c>
      <c r="G69" s="13"/>
      <c r="H69" s="34">
        <f>SUM(H66:H68)</f>
        <v>-9030.9900000000016</v>
      </c>
      <c r="I69" s="13"/>
      <c r="J69" s="31">
        <f>IF(H$12=0,0,H69/H$12)</f>
        <v>-129.38381088825219</v>
      </c>
      <c r="K69" s="15"/>
      <c r="L69" s="34">
        <f>+D69-H69</f>
        <v>9030.9900000000016</v>
      </c>
      <c r="M69" s="15"/>
      <c r="N69" s="31">
        <f>IF(H69=0,0,L69/H69)</f>
        <v>-1</v>
      </c>
      <c r="O69" s="26"/>
      <c r="P69" s="34">
        <f>SUM(P66:P68)</f>
        <v>0</v>
      </c>
      <c r="Q69" s="13"/>
      <c r="R69" s="31">
        <f>IF(P$12=0,0,P69/P$12)</f>
        <v>0</v>
      </c>
      <c r="S69" s="13"/>
      <c r="T69" s="34">
        <f>SUM(T66:T68)</f>
        <v>26093.89</v>
      </c>
      <c r="U69" s="13"/>
      <c r="V69" s="31">
        <f>IF(T$12=0,0,T69/T$12)</f>
        <v>7.013506176555965</v>
      </c>
      <c r="W69" s="15"/>
      <c r="X69" s="34">
        <f>+P69-T69</f>
        <v>-26093.89</v>
      </c>
      <c r="Y69" s="15"/>
      <c r="Z69" s="31">
        <f>IF(T69=0,0,X69/T69)</f>
        <v>-1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4">
        <v>44123.565363622685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9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263646.53999999998</v>
      </c>
      <c r="E12" s="4"/>
      <c r="F12" s="12"/>
      <c r="G12" s="4"/>
      <c r="H12" s="4">
        <f>SUM(OSRRefH13x_0)</f>
        <v>320325.60999999993</v>
      </c>
      <c r="I12" s="4"/>
      <c r="J12" s="12"/>
      <c r="K12" s="4"/>
      <c r="L12" s="4">
        <f t="shared" ref="L12:L36" si="0">+D12-H12</f>
        <v>-56679.069999999949</v>
      </c>
      <c r="M12" s="4"/>
      <c r="N12" s="12">
        <f t="shared" ref="N12:N36" si="1">IF(H12=0,0,L12/H12)</f>
        <v>-0.17694204968500632</v>
      </c>
      <c r="O12" s="10"/>
      <c r="P12" s="4">
        <f>SUM(OSRRefP13x_0)</f>
        <v>963284.72999999986</v>
      </c>
      <c r="Q12" s="4"/>
      <c r="R12" s="12"/>
      <c r="S12" s="4"/>
      <c r="T12" s="4">
        <f>SUM(OSRRefT13x_0)</f>
        <v>1192178.0799999998</v>
      </c>
      <c r="U12" s="4"/>
      <c r="V12" s="12"/>
      <c r="W12" s="4"/>
      <c r="X12" s="4">
        <f t="shared" ref="X12:X36" si="2">+P12-T12</f>
        <v>-228893.34999999998</v>
      </c>
      <c r="Y12" s="4"/>
      <c r="Z12" s="12">
        <f t="shared" ref="Z12:Z36" si="3">IF(T12=0,0,X12/T12)</f>
        <v>-0.19199593906306348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-549.51</f>
        <v>-549.51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-549.51</v>
      </c>
      <c r="M13" s="2"/>
      <c r="N13" s="19">
        <f t="shared" si="1"/>
        <v>0</v>
      </c>
      <c r="O13" s="11"/>
      <c r="P13" s="2">
        <f>-1723.7</f>
        <v>-1723.7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-1723.7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--12167.65</f>
        <v>12167.65</v>
      </c>
      <c r="E14" s="2"/>
      <c r="F14" s="19"/>
      <c r="G14" s="2"/>
      <c r="H14" s="2">
        <f>--79257.39</f>
        <v>79257.39</v>
      </c>
      <c r="I14" s="2"/>
      <c r="J14" s="19"/>
      <c r="K14" s="2"/>
      <c r="L14" s="2">
        <f t="shared" si="0"/>
        <v>-67089.740000000005</v>
      </c>
      <c r="M14" s="2"/>
      <c r="N14" s="19">
        <f t="shared" si="1"/>
        <v>-0.84647929991133952</v>
      </c>
      <c r="O14" s="11"/>
      <c r="P14" s="2">
        <f>--50030.67</f>
        <v>50030.67</v>
      </c>
      <c r="Q14" s="2"/>
      <c r="R14" s="19"/>
      <c r="S14" s="2"/>
      <c r="T14" s="2">
        <f>--188677.32</f>
        <v>188677.32</v>
      </c>
      <c r="U14" s="2"/>
      <c r="V14" s="19"/>
      <c r="W14" s="2"/>
      <c r="X14" s="2">
        <f t="shared" si="2"/>
        <v>-138646.65000000002</v>
      </c>
      <c r="Y14" s="2"/>
      <c r="Z14" s="19">
        <f t="shared" si="3"/>
        <v>-0.73483474325372022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--198101.2</f>
        <v>198101.2</v>
      </c>
      <c r="E15" s="2"/>
      <c r="F15" s="19"/>
      <c r="G15" s="2"/>
      <c r="H15" s="2">
        <f>--225219.71</f>
        <v>225219.71</v>
      </c>
      <c r="I15" s="2"/>
      <c r="J15" s="19"/>
      <c r="K15" s="2"/>
      <c r="L15" s="2">
        <f t="shared" si="0"/>
        <v>-27118.50999999998</v>
      </c>
      <c r="M15" s="2"/>
      <c r="N15" s="19">
        <f t="shared" si="1"/>
        <v>-0.12040913293068348</v>
      </c>
      <c r="O15" s="11"/>
      <c r="P15" s="2">
        <f>--739313.21</f>
        <v>739313.21</v>
      </c>
      <c r="Q15" s="2"/>
      <c r="R15" s="19"/>
      <c r="S15" s="2"/>
      <c r="T15" s="2">
        <f>--1038754.49</f>
        <v>1038754.49</v>
      </c>
      <c r="U15" s="2"/>
      <c r="V15" s="19"/>
      <c r="W15" s="2"/>
      <c r="X15" s="2">
        <f t="shared" si="2"/>
        <v>-299441.28000000003</v>
      </c>
      <c r="Y15" s="2"/>
      <c r="Z15" s="19">
        <f t="shared" si="3"/>
        <v>-0.28826954095765212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--18937.34</f>
        <v>18937.34</v>
      </c>
      <c r="E16" s="2"/>
      <c r="F16" s="19"/>
      <c r="G16" s="2"/>
      <c r="H16" s="2">
        <f>--17378.42</f>
        <v>17378.419999999998</v>
      </c>
      <c r="I16" s="2"/>
      <c r="J16" s="19"/>
      <c r="K16" s="2"/>
      <c r="L16" s="2">
        <f t="shared" si="0"/>
        <v>1558.9200000000019</v>
      </c>
      <c r="M16" s="2"/>
      <c r="N16" s="19">
        <f t="shared" si="1"/>
        <v>8.9704357473234159E-2</v>
      </c>
      <c r="O16" s="11"/>
      <c r="P16" s="2">
        <f>--68652.7</f>
        <v>68652.7</v>
      </c>
      <c r="Q16" s="2"/>
      <c r="R16" s="19"/>
      <c r="S16" s="2"/>
      <c r="T16" s="2">
        <f>--40956.21</f>
        <v>40956.21</v>
      </c>
      <c r="U16" s="2"/>
      <c r="V16" s="19"/>
      <c r="W16" s="2"/>
      <c r="X16" s="2">
        <f t="shared" si="2"/>
        <v>27696.489999999998</v>
      </c>
      <c r="Y16" s="2"/>
      <c r="Z16" s="19">
        <f t="shared" si="3"/>
        <v>0.67624641049550238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--852.96</f>
        <v>852.96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852.96</v>
      </c>
      <c r="M18" s="2"/>
      <c r="N18" s="19">
        <f t="shared" si="1"/>
        <v>0</v>
      </c>
      <c r="O18" s="11"/>
      <c r="P18" s="2">
        <f>--981.96</f>
        <v>981.96</v>
      </c>
      <c r="Q18" s="2"/>
      <c r="R18" s="19"/>
      <c r="S18" s="2"/>
      <c r="T18" s="2">
        <f>--493.95</f>
        <v>493.95</v>
      </c>
      <c r="U18" s="2"/>
      <c r="V18" s="19"/>
      <c r="W18" s="2"/>
      <c r="X18" s="2">
        <f t="shared" si="2"/>
        <v>488.01000000000005</v>
      </c>
      <c r="Y18" s="2"/>
      <c r="Z18" s="19">
        <f t="shared" si="3"/>
        <v>0.98797449134527793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--713.93</f>
        <v>713.93</v>
      </c>
      <c r="E19" s="2"/>
      <c r="F19" s="19"/>
      <c r="G19" s="2"/>
      <c r="H19" s="2">
        <f>--10424.61</f>
        <v>10424.61</v>
      </c>
      <c r="I19" s="2"/>
      <c r="J19" s="19"/>
      <c r="K19" s="2"/>
      <c r="L19" s="2">
        <f t="shared" si="0"/>
        <v>-9710.68</v>
      </c>
      <c r="M19" s="2"/>
      <c r="N19" s="19">
        <f t="shared" si="1"/>
        <v>-0.93151494396433054</v>
      </c>
      <c r="O19" s="11"/>
      <c r="P19" s="2">
        <f>--27981.41</f>
        <v>27981.41</v>
      </c>
      <c r="Q19" s="2"/>
      <c r="R19" s="19"/>
      <c r="S19" s="2"/>
      <c r="T19" s="2">
        <f>--19983.21</f>
        <v>19983.21</v>
      </c>
      <c r="U19" s="2"/>
      <c r="V19" s="19"/>
      <c r="W19" s="2"/>
      <c r="X19" s="2">
        <f t="shared" si="2"/>
        <v>7998.2000000000007</v>
      </c>
      <c r="Y19" s="2"/>
      <c r="Z19" s="19">
        <f t="shared" si="3"/>
        <v>0.40024600652247566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--16.99</f>
        <v>16.989999999999998</v>
      </c>
      <c r="I20" s="2"/>
      <c r="J20" s="19"/>
      <c r="K20" s="2"/>
      <c r="L20" s="2">
        <f t="shared" si="0"/>
        <v>-16.989999999999998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--535.96</f>
        <v>535.96</v>
      </c>
      <c r="U20" s="2"/>
      <c r="V20" s="19"/>
      <c r="W20" s="2"/>
      <c r="X20" s="2">
        <f t="shared" si="2"/>
        <v>-535.96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--669.89</f>
        <v>669.89</v>
      </c>
      <c r="E21" s="2"/>
      <c r="F21" s="19"/>
      <c r="G21" s="2"/>
      <c r="H21" s="2">
        <f>--63.96</f>
        <v>63.96</v>
      </c>
      <c r="I21" s="2"/>
      <c r="J21" s="19"/>
      <c r="K21" s="2"/>
      <c r="L21" s="2">
        <f t="shared" si="0"/>
        <v>605.92999999999995</v>
      </c>
      <c r="M21" s="2"/>
      <c r="N21" s="19">
        <f t="shared" si="1"/>
        <v>9.4735772357723569</v>
      </c>
      <c r="O21" s="11"/>
      <c r="P21" s="2">
        <f>--3309.16</f>
        <v>3309.16</v>
      </c>
      <c r="Q21" s="2"/>
      <c r="R21" s="19"/>
      <c r="S21" s="2"/>
      <c r="T21" s="2">
        <f>--1454.52</f>
        <v>1454.52</v>
      </c>
      <c r="U21" s="2"/>
      <c r="V21" s="19"/>
      <c r="W21" s="2"/>
      <c r="X21" s="2">
        <f t="shared" si="2"/>
        <v>1854.6399999999999</v>
      </c>
      <c r="Y21" s="2"/>
      <c r="Z21" s="19">
        <f t="shared" si="3"/>
        <v>1.2750873140279955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--38657</f>
        <v>38657</v>
      </c>
      <c r="E22" s="2"/>
      <c r="F22" s="19"/>
      <c r="G22" s="2"/>
      <c r="H22" s="2">
        <f>--15231</f>
        <v>15231</v>
      </c>
      <c r="I22" s="2"/>
      <c r="J22" s="19"/>
      <c r="K22" s="2"/>
      <c r="L22" s="2">
        <f t="shared" si="0"/>
        <v>23426</v>
      </c>
      <c r="M22" s="2"/>
      <c r="N22" s="19">
        <f t="shared" si="1"/>
        <v>1.5380474033221718</v>
      </c>
      <c r="O22" s="11"/>
      <c r="P22" s="2">
        <f>--120724.38</f>
        <v>120724.38</v>
      </c>
      <c r="Q22" s="2"/>
      <c r="R22" s="19"/>
      <c r="S22" s="2"/>
      <c r="T22" s="2">
        <f>--45802</f>
        <v>45802</v>
      </c>
      <c r="U22" s="2"/>
      <c r="V22" s="19"/>
      <c r="W22" s="2"/>
      <c r="X22" s="2">
        <f t="shared" si="2"/>
        <v>74922.38</v>
      </c>
      <c r="Y22" s="2"/>
      <c r="Z22" s="19">
        <f t="shared" si="3"/>
        <v>1.6357883935199338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--1946.8</f>
        <v>1946.8</v>
      </c>
      <c r="E23" s="2"/>
      <c r="F23" s="19"/>
      <c r="G23" s="2"/>
      <c r="H23" s="2">
        <f>--864.82</f>
        <v>864.82</v>
      </c>
      <c r="I23" s="2"/>
      <c r="J23" s="19"/>
      <c r="K23" s="2"/>
      <c r="L23" s="2">
        <f t="shared" si="0"/>
        <v>1081.98</v>
      </c>
      <c r="M23" s="2"/>
      <c r="N23" s="19">
        <f t="shared" si="1"/>
        <v>1.2511042760343192</v>
      </c>
      <c r="O23" s="11"/>
      <c r="P23" s="2">
        <f>--5066.48</f>
        <v>5066.4799999999996</v>
      </c>
      <c r="Q23" s="2"/>
      <c r="R23" s="19"/>
      <c r="S23" s="2"/>
      <c r="T23" s="2">
        <f>--2021.11</f>
        <v>2021.11</v>
      </c>
      <c r="U23" s="2"/>
      <c r="V23" s="19"/>
      <c r="W23" s="2"/>
      <c r="X23" s="2">
        <f t="shared" si="2"/>
        <v>3045.37</v>
      </c>
      <c r="Y23" s="2"/>
      <c r="Z23" s="19">
        <f t="shared" si="3"/>
        <v>1.5067809273122195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--1522</f>
        <v>1522</v>
      </c>
      <c r="U24" s="2"/>
      <c r="V24" s="19"/>
      <c r="W24" s="2"/>
      <c r="X24" s="2">
        <f t="shared" si="2"/>
        <v>-1522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--8427.6</f>
        <v>8427.6</v>
      </c>
      <c r="E25" s="2"/>
      <c r="F25" s="19"/>
      <c r="G25" s="2"/>
      <c r="H25" s="2">
        <f>--2555.94</f>
        <v>2555.94</v>
      </c>
      <c r="I25" s="2"/>
      <c r="J25" s="19"/>
      <c r="K25" s="2"/>
      <c r="L25" s="2">
        <f t="shared" si="0"/>
        <v>5871.66</v>
      </c>
      <c r="M25" s="2"/>
      <c r="N25" s="19">
        <f t="shared" si="1"/>
        <v>2.2972604990727481</v>
      </c>
      <c r="O25" s="11"/>
      <c r="P25" s="2">
        <f>--19226.09</f>
        <v>19226.09</v>
      </c>
      <c r="Q25" s="2"/>
      <c r="R25" s="19"/>
      <c r="S25" s="2"/>
      <c r="T25" s="2">
        <f>--7077.94</f>
        <v>7077.94</v>
      </c>
      <c r="U25" s="2"/>
      <c r="V25" s="19"/>
      <c r="W25" s="2"/>
      <c r="X25" s="2">
        <f t="shared" si="2"/>
        <v>12148.150000000001</v>
      </c>
      <c r="Y25" s="2"/>
      <c r="Z25" s="19">
        <f t="shared" si="3"/>
        <v>1.7163397824790831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--460.89</f>
        <v>460.89</v>
      </c>
      <c r="E26" s="2"/>
      <c r="F26" s="19"/>
      <c r="G26" s="2"/>
      <c r="H26" s="2">
        <f>--485.86</f>
        <v>485.86</v>
      </c>
      <c r="I26" s="2"/>
      <c r="J26" s="19"/>
      <c r="K26" s="2"/>
      <c r="L26" s="2">
        <f t="shared" si="0"/>
        <v>-24.970000000000027</v>
      </c>
      <c r="M26" s="2"/>
      <c r="N26" s="19">
        <f t="shared" si="1"/>
        <v>-5.139340550775949E-2</v>
      </c>
      <c r="O26" s="11"/>
      <c r="P26" s="2">
        <f>--873.79</f>
        <v>873.79</v>
      </c>
      <c r="Q26" s="2"/>
      <c r="R26" s="19"/>
      <c r="S26" s="2"/>
      <c r="T26" s="2">
        <f>--760.76</f>
        <v>760.76</v>
      </c>
      <c r="U26" s="2"/>
      <c r="V26" s="19"/>
      <c r="W26" s="2"/>
      <c r="X26" s="2">
        <f t="shared" si="2"/>
        <v>113.02999999999997</v>
      </c>
      <c r="Y26" s="2"/>
      <c r="Z26" s="19">
        <f t="shared" si="3"/>
        <v>0.14857510910142485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--119.98</f>
        <v>119.98</v>
      </c>
      <c r="I27" s="2"/>
      <c r="J27" s="19"/>
      <c r="K27" s="2"/>
      <c r="L27" s="2">
        <f t="shared" si="0"/>
        <v>-119.98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-557.94</f>
        <v>-557.94000000000005</v>
      </c>
      <c r="E28" s="2"/>
      <c r="F28" s="19"/>
      <c r="G28" s="2"/>
      <c r="H28" s="2">
        <f>-1039.72</f>
        <v>-1039.72</v>
      </c>
      <c r="I28" s="2"/>
      <c r="J28" s="19"/>
      <c r="K28" s="2"/>
      <c r="L28" s="2">
        <f t="shared" si="0"/>
        <v>481.78</v>
      </c>
      <c r="M28" s="2"/>
      <c r="N28" s="19">
        <f t="shared" si="1"/>
        <v>-0.46337475474166118</v>
      </c>
      <c r="O28" s="11"/>
      <c r="P28" s="2">
        <f>-14274.16</f>
        <v>-14274.16</v>
      </c>
      <c r="Q28" s="2"/>
      <c r="R28" s="19"/>
      <c r="S28" s="2"/>
      <c r="T28" s="2">
        <f>-3274.47</f>
        <v>-3274.47</v>
      </c>
      <c r="U28" s="2"/>
      <c r="V28" s="19"/>
      <c r="W28" s="2"/>
      <c r="X28" s="2">
        <f t="shared" si="2"/>
        <v>-10999.69</v>
      </c>
      <c r="Y28" s="2"/>
      <c r="Z28" s="19">
        <f t="shared" si="3"/>
        <v>3.3592276001917871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-14636</f>
        <v>-14636</v>
      </c>
      <c r="E29" s="2"/>
      <c r="F29" s="19"/>
      <c r="G29" s="2"/>
      <c r="H29" s="2">
        <f>-27457.13</f>
        <v>-27457.13</v>
      </c>
      <c r="I29" s="2"/>
      <c r="J29" s="19"/>
      <c r="K29" s="2"/>
      <c r="L29" s="2">
        <f t="shared" si="0"/>
        <v>12821.130000000001</v>
      </c>
      <c r="M29" s="2"/>
      <c r="N29" s="19">
        <f t="shared" si="1"/>
        <v>-0.46695084300507739</v>
      </c>
      <c r="O29" s="11"/>
      <c r="P29" s="2">
        <f>-48285</f>
        <v>-48285</v>
      </c>
      <c r="Q29" s="2"/>
      <c r="R29" s="19"/>
      <c r="S29" s="2"/>
      <c r="T29" s="2">
        <f>-147646.85</f>
        <v>-147646.85</v>
      </c>
      <c r="U29" s="2"/>
      <c r="V29" s="19"/>
      <c r="W29" s="2"/>
      <c r="X29" s="2">
        <f t="shared" si="2"/>
        <v>99361.85</v>
      </c>
      <c r="Y29" s="2"/>
      <c r="Z29" s="19">
        <f t="shared" si="3"/>
        <v>-0.67296965698895705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-483.9</f>
        <v>-483.9</v>
      </c>
      <c r="E30" s="2"/>
      <c r="F30" s="19"/>
      <c r="G30" s="2"/>
      <c r="H30" s="2">
        <f>-553.79</f>
        <v>-553.79</v>
      </c>
      <c r="I30" s="2"/>
      <c r="J30" s="19"/>
      <c r="K30" s="2"/>
      <c r="L30" s="2">
        <f t="shared" si="0"/>
        <v>69.889999999999986</v>
      </c>
      <c r="M30" s="2"/>
      <c r="N30" s="19">
        <f t="shared" si="1"/>
        <v>-0.12620307336716083</v>
      </c>
      <c r="O30" s="11"/>
      <c r="P30" s="2">
        <f>-2002.73</f>
        <v>-2002.73</v>
      </c>
      <c r="Q30" s="2"/>
      <c r="R30" s="19"/>
      <c r="S30" s="2"/>
      <c r="T30" s="2">
        <f>-1284.48</f>
        <v>-1284.48</v>
      </c>
      <c r="U30" s="2"/>
      <c r="V30" s="19"/>
      <c r="W30" s="2"/>
      <c r="X30" s="2">
        <f t="shared" si="2"/>
        <v>-718.25</v>
      </c>
      <c r="Y30" s="2"/>
      <c r="Z30" s="19">
        <f t="shared" si="3"/>
        <v>0.55917569755854513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>0</f>
        <v>0</v>
      </c>
      <c r="E31" s="2"/>
      <c r="F31" s="19"/>
      <c r="G31" s="2"/>
      <c r="H31" s="2">
        <f t="shared" ref="H31:H32" si="5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>-552.98</f>
        <v>-552.98</v>
      </c>
      <c r="E32" s="2"/>
      <c r="F32" s="19"/>
      <c r="G32" s="2"/>
      <c r="H32" s="2">
        <f t="shared" si="5"/>
        <v>0</v>
      </c>
      <c r="I32" s="2"/>
      <c r="J32" s="19"/>
      <c r="K32" s="2"/>
      <c r="L32" s="2">
        <f t="shared" si="0"/>
        <v>-552.98</v>
      </c>
      <c r="M32" s="2"/>
      <c r="N32" s="19">
        <f t="shared" si="1"/>
        <v>0</v>
      </c>
      <c r="O32" s="11"/>
      <c r="P32" s="2">
        <f>-552.98</f>
        <v>-552.98</v>
      </c>
      <c r="Q32" s="2"/>
      <c r="R32" s="19"/>
      <c r="S32" s="2"/>
      <c r="T32" s="2">
        <f>-406.99</f>
        <v>-406.99</v>
      </c>
      <c r="U32" s="2"/>
      <c r="V32" s="19"/>
      <c r="W32" s="2"/>
      <c r="X32" s="2">
        <f t="shared" si="2"/>
        <v>-145.99</v>
      </c>
      <c r="Y32" s="2"/>
      <c r="Z32" s="19">
        <f t="shared" si="3"/>
        <v>0.35870660212781641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-258.44</f>
        <v>-258.44</v>
      </c>
      <c r="E33" s="2"/>
      <c r="F33" s="19"/>
      <c r="G33" s="2"/>
      <c r="H33" s="2">
        <f>-962.59</f>
        <v>-962.59</v>
      </c>
      <c r="I33" s="2"/>
      <c r="J33" s="19"/>
      <c r="K33" s="2"/>
      <c r="L33" s="2">
        <f t="shared" si="0"/>
        <v>704.15000000000009</v>
      </c>
      <c r="M33" s="2"/>
      <c r="N33" s="19">
        <f t="shared" si="1"/>
        <v>-0.73151601408699451</v>
      </c>
      <c r="O33" s="11"/>
      <c r="P33" s="2">
        <f>-412.4</f>
        <v>-412.4</v>
      </c>
      <c r="Q33" s="2"/>
      <c r="R33" s="19"/>
      <c r="S33" s="2"/>
      <c r="T33" s="2">
        <f>-2143.74</f>
        <v>-2143.7399999999998</v>
      </c>
      <c r="U33" s="2"/>
      <c r="V33" s="19"/>
      <c r="W33" s="2"/>
      <c r="X33" s="2">
        <f t="shared" si="2"/>
        <v>1731.3399999999997</v>
      </c>
      <c r="Y33" s="2"/>
      <c r="Z33" s="19">
        <f t="shared" si="3"/>
        <v>-0.80762592478565487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>-249.95</f>
        <v>-249.95</v>
      </c>
      <c r="E34" s="2"/>
      <c r="F34" s="19"/>
      <c r="G34" s="2"/>
      <c r="H34" s="2">
        <f>-1279.84</f>
        <v>-1279.8399999999999</v>
      </c>
      <c r="I34" s="2"/>
      <c r="J34" s="19"/>
      <c r="K34" s="2"/>
      <c r="L34" s="2">
        <f t="shared" si="0"/>
        <v>1029.8899999999999</v>
      </c>
      <c r="M34" s="2"/>
      <c r="N34" s="19">
        <f t="shared" si="1"/>
        <v>-0.80470215026878356</v>
      </c>
      <c r="O34" s="11"/>
      <c r="P34" s="2">
        <f>-5624.15</f>
        <v>-5624.15</v>
      </c>
      <c r="Q34" s="2"/>
      <c r="R34" s="19"/>
      <c r="S34" s="2"/>
      <c r="T34" s="2">
        <f>-1279.84</f>
        <v>-1279.8399999999999</v>
      </c>
      <c r="U34" s="2"/>
      <c r="V34" s="19"/>
      <c r="W34" s="2"/>
      <c r="X34" s="2">
        <f t="shared" si="2"/>
        <v>-4344.3099999999995</v>
      </c>
      <c r="Y34" s="2"/>
      <c r="Z34" s="19">
        <f t="shared" si="3"/>
        <v>3.3944164895611948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ref="D35:D36" si="6">0</f>
        <v>0</v>
      </c>
      <c r="E35" s="2"/>
      <c r="F35" s="19"/>
      <c r="G35" s="2"/>
      <c r="H35" s="2">
        <f t="shared" ref="H35:H36" si="7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ref="P35:P36" si="8">0</f>
        <v>0</v>
      </c>
      <c r="Q35" s="2"/>
      <c r="R35" s="19"/>
      <c r="S35" s="2"/>
      <c r="T35" s="2">
        <f>-24.99</f>
        <v>-24.99</v>
      </c>
      <c r="U35" s="2"/>
      <c r="V35" s="19"/>
      <c r="W35" s="2"/>
      <c r="X35" s="2">
        <f t="shared" si="2"/>
        <v>24.99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6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8"/>
        <v>0</v>
      </c>
      <c r="Q36" s="2"/>
      <c r="R36" s="19"/>
      <c r="S36" s="2"/>
      <c r="T36" s="2">
        <f>-19.99</f>
        <v>-19.989999999999998</v>
      </c>
      <c r="U36" s="2"/>
      <c r="V36" s="19"/>
      <c r="W36" s="2"/>
      <c r="X36" s="2">
        <f t="shared" si="2"/>
        <v>19.989999999999998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6" t="s">
        <v>8</v>
      </c>
      <c r="C38" s="10"/>
      <c r="D38" s="4">
        <f>SUM(OSRRefD16x_0)</f>
        <v>262131.99999999991</v>
      </c>
      <c r="E38" s="4"/>
      <c r="F38" s="12">
        <f t="shared" ref="F38:F51" si="9">IF(D$12=0,0,D38/D$12)</f>
        <v>0.99425541484443503</v>
      </c>
      <c r="G38" s="4"/>
      <c r="H38" s="4">
        <f>SUM(OSRRefH16x_0)</f>
        <v>278765.08</v>
      </c>
      <c r="I38" s="4"/>
      <c r="J38" s="12">
        <f t="shared" ref="J38:J51" si="10">IF(H$12=0,0,H38/H$12)</f>
        <v>0.87025536297269546</v>
      </c>
      <c r="K38" s="4"/>
      <c r="L38" s="4">
        <f t="shared" ref="L38:L51" si="11">+D38-H38</f>
        <v>-16633.080000000104</v>
      </c>
      <c r="M38" s="4"/>
      <c r="N38" s="12">
        <f t="shared" ref="N38:N51" si="12">IF(H38=0,0,L38/H38)</f>
        <v>-5.9667014247265483E-2</v>
      </c>
      <c r="O38" s="10"/>
      <c r="P38" s="4">
        <f>SUM(OSRRefP16x_0)</f>
        <v>924552</v>
      </c>
      <c r="Q38" s="4"/>
      <c r="R38" s="12">
        <f t="shared" ref="R38:R51" si="13">IF(P$12=0,0,P38/P$12)</f>
        <v>0.95979098516385719</v>
      </c>
      <c r="S38" s="4"/>
      <c r="T38" s="4">
        <f>SUM(OSRRefT16x_0)</f>
        <v>1076160.1500000001</v>
      </c>
      <c r="U38" s="4"/>
      <c r="V38" s="12">
        <f t="shared" ref="V38:V51" si="14">IF(T$12=0,0,T38/T$12)</f>
        <v>0.90268406042157756</v>
      </c>
      <c r="W38" s="4"/>
      <c r="X38" s="4">
        <f t="shared" ref="X38:X51" si="15">+P38-T38</f>
        <v>-151608.15000000014</v>
      </c>
      <c r="Y38" s="4"/>
      <c r="Z38" s="12">
        <f t="shared" ref="Z38:Z51" si="16">IF(T38=0,0,X38/T38)</f>
        <v>-0.14087879949838333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8274.98</v>
      </c>
      <c r="E39" s="2"/>
      <c r="F39" s="19">
        <f t="shared" si="9"/>
        <v>3.1386643647968983E-2</v>
      </c>
      <c r="G39" s="2"/>
      <c r="H39" s="2">
        <v>66227.41</v>
      </c>
      <c r="I39" s="2"/>
      <c r="J39" s="19">
        <f t="shared" si="10"/>
        <v>0.20675028137775189</v>
      </c>
      <c r="K39" s="2"/>
      <c r="L39" s="2">
        <f t="shared" si="11"/>
        <v>-57952.430000000008</v>
      </c>
      <c r="M39" s="2"/>
      <c r="N39" s="19">
        <f t="shared" si="12"/>
        <v>-0.87505203661142728</v>
      </c>
      <c r="O39" s="11"/>
      <c r="P39" s="2">
        <v>15697.449999999999</v>
      </c>
      <c r="Q39" s="2"/>
      <c r="R39" s="19">
        <f t="shared" si="13"/>
        <v>1.6295752970152452E-2</v>
      </c>
      <c r="S39" s="2"/>
      <c r="T39" s="2">
        <v>149686.09000000003</v>
      </c>
      <c r="U39" s="2"/>
      <c r="V39" s="19">
        <f t="shared" si="14"/>
        <v>0.12555682117557473</v>
      </c>
      <c r="W39" s="2"/>
      <c r="X39" s="2">
        <f t="shared" si="15"/>
        <v>-133988.64000000001</v>
      </c>
      <c r="Y39" s="2"/>
      <c r="Z39" s="19">
        <f t="shared" si="16"/>
        <v>-0.89513087020978366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470149.41</v>
      </c>
      <c r="E40" s="2"/>
      <c r="F40" s="19">
        <f t="shared" si="9"/>
        <v>1.7832565145743995</v>
      </c>
      <c r="G40" s="2"/>
      <c r="H40" s="2">
        <v>127420.07</v>
      </c>
      <c r="I40" s="2"/>
      <c r="J40" s="19">
        <f t="shared" si="10"/>
        <v>0.39778296215528952</v>
      </c>
      <c r="K40" s="2"/>
      <c r="L40" s="2">
        <f t="shared" si="11"/>
        <v>342729.33999999997</v>
      </c>
      <c r="M40" s="2"/>
      <c r="N40" s="19">
        <f t="shared" si="12"/>
        <v>2.6897594703879846</v>
      </c>
      <c r="O40" s="11"/>
      <c r="P40" s="2">
        <v>713373.21</v>
      </c>
      <c r="Q40" s="2"/>
      <c r="R40" s="19">
        <f t="shared" si="13"/>
        <v>0.74056318737659221</v>
      </c>
      <c r="S40" s="2"/>
      <c r="T40" s="2">
        <v>801042.97</v>
      </c>
      <c r="U40" s="2"/>
      <c r="V40" s="19">
        <f t="shared" si="14"/>
        <v>0.67191553295460693</v>
      </c>
      <c r="W40" s="2"/>
      <c r="X40" s="2">
        <f t="shared" si="15"/>
        <v>-87669.760000000009</v>
      </c>
      <c r="Y40" s="2"/>
      <c r="Z40" s="19">
        <f t="shared" si="16"/>
        <v>-0.10944451581667337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24155.15</v>
      </c>
      <c r="E41" s="2"/>
      <c r="F41" s="19">
        <f t="shared" si="9"/>
        <v>9.1619446247995534E-2</v>
      </c>
      <c r="G41" s="2"/>
      <c r="H41" s="2">
        <v>10519.97</v>
      </c>
      <c r="I41" s="2"/>
      <c r="J41" s="19">
        <f t="shared" si="10"/>
        <v>3.2841489008637183E-2</v>
      </c>
      <c r="K41" s="2"/>
      <c r="L41" s="2">
        <f t="shared" si="11"/>
        <v>13635.180000000002</v>
      </c>
      <c r="M41" s="2"/>
      <c r="N41" s="19">
        <f t="shared" si="12"/>
        <v>1.2961234680327038</v>
      </c>
      <c r="O41" s="11"/>
      <c r="P41" s="2">
        <v>61434</v>
      </c>
      <c r="Q41" s="2"/>
      <c r="R41" s="19">
        <f t="shared" si="13"/>
        <v>6.3775536024535562E-2</v>
      </c>
      <c r="S41" s="2"/>
      <c r="T41" s="2">
        <v>27712.41</v>
      </c>
      <c r="U41" s="2"/>
      <c r="V41" s="19">
        <f t="shared" si="14"/>
        <v>2.3245193369098017E-2</v>
      </c>
      <c r="W41" s="2"/>
      <c r="X41" s="2">
        <f t="shared" si="15"/>
        <v>33721.589999999997</v>
      </c>
      <c r="Y41" s="2"/>
      <c r="Z41" s="19">
        <f t="shared" si="16"/>
        <v>1.2168407583461704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/>
      <c r="Q42" s="2"/>
      <c r="R42" s="19">
        <f t="shared" si="13"/>
        <v>0</v>
      </c>
      <c r="S42" s="2"/>
      <c r="T42" s="2">
        <v>1522</v>
      </c>
      <c r="U42" s="2"/>
      <c r="V42" s="19">
        <f t="shared" si="14"/>
        <v>1.2766549104811591E-3</v>
      </c>
      <c r="W42" s="2"/>
      <c r="X42" s="2">
        <f t="shared" si="15"/>
        <v>-1522</v>
      </c>
      <c r="Y42" s="2"/>
      <c r="Z42" s="19">
        <f t="shared" si="16"/>
        <v>-1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8609.1200000000008</v>
      </c>
      <c r="E43" s="2"/>
      <c r="F43" s="19">
        <f t="shared" si="9"/>
        <v>3.2654022313359399E-2</v>
      </c>
      <c r="G43" s="2"/>
      <c r="H43" s="2">
        <v>3058</v>
      </c>
      <c r="I43" s="2"/>
      <c r="J43" s="19">
        <f t="shared" si="10"/>
        <v>9.5465361011877903E-3</v>
      </c>
      <c r="K43" s="2"/>
      <c r="L43" s="2">
        <f t="shared" si="11"/>
        <v>5551.1200000000008</v>
      </c>
      <c r="M43" s="2"/>
      <c r="N43" s="19">
        <f t="shared" si="12"/>
        <v>1.8152779594506216</v>
      </c>
      <c r="O43" s="11"/>
      <c r="P43" s="2">
        <v>14837.68</v>
      </c>
      <c r="Q43" s="2"/>
      <c r="R43" s="19">
        <f t="shared" si="13"/>
        <v>1.5403213128894925E-2</v>
      </c>
      <c r="S43" s="2"/>
      <c r="T43" s="2">
        <v>6426</v>
      </c>
      <c r="U43" s="2"/>
      <c r="V43" s="19">
        <f t="shared" si="14"/>
        <v>5.3901343329513327E-3</v>
      </c>
      <c r="W43" s="2"/>
      <c r="X43" s="2">
        <f t="shared" si="15"/>
        <v>8411.68</v>
      </c>
      <c r="Y43" s="2"/>
      <c r="Z43" s="19">
        <f t="shared" si="16"/>
        <v>1.3090071584189231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18.760000000000002</v>
      </c>
      <c r="E44" s="2"/>
      <c r="F44" s="19">
        <f t="shared" si="9"/>
        <v>7.1155874072915967E-5</v>
      </c>
      <c r="G44" s="2"/>
      <c r="H44" s="2">
        <v>6272.87</v>
      </c>
      <c r="I44" s="2"/>
      <c r="J44" s="19">
        <f t="shared" si="10"/>
        <v>1.9582792646519898E-2</v>
      </c>
      <c r="K44" s="2"/>
      <c r="L44" s="2">
        <f t="shared" si="11"/>
        <v>-6254.11</v>
      </c>
      <c r="M44" s="2"/>
      <c r="N44" s="19">
        <f t="shared" si="12"/>
        <v>-0.99700934341059189</v>
      </c>
      <c r="O44" s="11"/>
      <c r="P44" s="2">
        <v>21755.969999999998</v>
      </c>
      <c r="Q44" s="2"/>
      <c r="R44" s="19">
        <f t="shared" si="13"/>
        <v>2.258519140026231E-2</v>
      </c>
      <c r="S44" s="2"/>
      <c r="T44" s="2">
        <v>12479.75</v>
      </c>
      <c r="U44" s="2"/>
      <c r="V44" s="19">
        <f t="shared" si="14"/>
        <v>1.0468025045385838E-2</v>
      </c>
      <c r="W44" s="2"/>
      <c r="X44" s="2">
        <f t="shared" si="15"/>
        <v>9276.2199999999975</v>
      </c>
      <c r="Y44" s="2"/>
      <c r="Z44" s="19">
        <f t="shared" si="16"/>
        <v>0.7433017488331094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>
        <v>6.75</v>
      </c>
      <c r="I45" s="2"/>
      <c r="J45" s="19">
        <f t="shared" si="10"/>
        <v>2.1072308267827857E-5</v>
      </c>
      <c r="K45" s="2"/>
      <c r="L45" s="2">
        <f t="shared" si="11"/>
        <v>-6.75</v>
      </c>
      <c r="M45" s="2"/>
      <c r="N45" s="19">
        <f t="shared" si="12"/>
        <v>-1</v>
      </c>
      <c r="O45" s="11"/>
      <c r="P45" s="2"/>
      <c r="Q45" s="2"/>
      <c r="R45" s="19">
        <f t="shared" si="13"/>
        <v>0</v>
      </c>
      <c r="S45" s="2"/>
      <c r="T45" s="2">
        <v>88.75</v>
      </c>
      <c r="U45" s="2"/>
      <c r="V45" s="19">
        <f t="shared" si="14"/>
        <v>7.4443576416033426E-5</v>
      </c>
      <c r="W45" s="2"/>
      <c r="X45" s="2">
        <f t="shared" si="15"/>
        <v>-88.75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-511387.42000000004</v>
      </c>
      <c r="E46" s="2"/>
      <c r="F46" s="19">
        <f t="shared" si="9"/>
        <v>-1.9396705149250208</v>
      </c>
      <c r="G46" s="2"/>
      <c r="H46" s="2">
        <v>-213676</v>
      </c>
      <c r="I46" s="2"/>
      <c r="J46" s="19">
        <f t="shared" si="10"/>
        <v>-0.66705874687946443</v>
      </c>
      <c r="K46" s="2"/>
      <c r="L46" s="2">
        <f t="shared" si="11"/>
        <v>-297711.42000000004</v>
      </c>
      <c r="M46" s="2"/>
      <c r="N46" s="19">
        <f t="shared" si="12"/>
        <v>1.3932843183137087</v>
      </c>
      <c r="O46" s="11"/>
      <c r="P46" s="2">
        <v>-827319.82</v>
      </c>
      <c r="Q46" s="2"/>
      <c r="R46" s="19">
        <f t="shared" si="13"/>
        <v>-0.85885283367878162</v>
      </c>
      <c r="S46" s="2"/>
      <c r="T46" s="2">
        <v>-999198</v>
      </c>
      <c r="U46" s="2"/>
      <c r="V46" s="19">
        <f t="shared" si="14"/>
        <v>-0.8381281427351861</v>
      </c>
      <c r="W46" s="2"/>
      <c r="X46" s="2">
        <f t="shared" si="15"/>
        <v>171878.18000000005</v>
      </c>
      <c r="Y46" s="2"/>
      <c r="Z46" s="19">
        <f t="shared" si="16"/>
        <v>-0.17201613694182741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262131.99999999997</v>
      </c>
      <c r="E47" s="2"/>
      <c r="F47" s="19">
        <f t="shared" si="9"/>
        <v>0.99425541484443525</v>
      </c>
      <c r="G47" s="2"/>
      <c r="H47" s="2">
        <v>278765</v>
      </c>
      <c r="I47" s="2"/>
      <c r="J47" s="19">
        <f t="shared" si="10"/>
        <v>0.87025511322681959</v>
      </c>
      <c r="K47" s="2"/>
      <c r="L47" s="2">
        <f t="shared" si="11"/>
        <v>-16633.000000000029</v>
      </c>
      <c r="M47" s="2"/>
      <c r="N47" s="19">
        <f t="shared" si="12"/>
        <v>-5.9666744390436496E-2</v>
      </c>
      <c r="O47" s="11"/>
      <c r="P47" s="2">
        <v>924552</v>
      </c>
      <c r="Q47" s="2"/>
      <c r="R47" s="19">
        <f t="shared" si="13"/>
        <v>0.95979098516385719</v>
      </c>
      <c r="S47" s="2"/>
      <c r="T47" s="2">
        <v>1076159</v>
      </c>
      <c r="U47" s="2"/>
      <c r="V47" s="19">
        <f t="shared" si="14"/>
        <v>0.90268309580058725</v>
      </c>
      <c r="W47" s="2"/>
      <c r="X47" s="2">
        <f t="shared" si="15"/>
        <v>-151607</v>
      </c>
      <c r="Y47" s="2"/>
      <c r="Z47" s="19">
        <f t="shared" si="16"/>
        <v>-0.14087788142830196</v>
      </c>
    </row>
    <row r="48" spans="1:26" s="24" customFormat="1" hidden="1" outlineLevel="1" x14ac:dyDescent="0.25">
      <c r="A48" s="44"/>
      <c r="B48" s="11" t="str">
        <f>CONCATENATE("          ", "5581", " - ", "FREIGHT-IN-ELECTRONICS")</f>
        <v xml:space="preserve">          5581 - FREIGHT-IN-ELECTRONICS</v>
      </c>
      <c r="C48" s="11"/>
      <c r="D48" s="2"/>
      <c r="E48" s="2"/>
      <c r="F48" s="19">
        <f t="shared" si="9"/>
        <v>0</v>
      </c>
      <c r="G48" s="2"/>
      <c r="H48" s="2">
        <v>92.95</v>
      </c>
      <c r="I48" s="2"/>
      <c r="J48" s="19">
        <f t="shared" si="10"/>
        <v>2.9017348940660732E-4</v>
      </c>
      <c r="K48" s="2"/>
      <c r="L48" s="2">
        <f t="shared" si="11"/>
        <v>-92.95</v>
      </c>
      <c r="M48" s="2"/>
      <c r="N48" s="19">
        <f t="shared" si="12"/>
        <v>-1</v>
      </c>
      <c r="O48" s="11"/>
      <c r="P48" s="2"/>
      <c r="Q48" s="2"/>
      <c r="R48" s="19">
        <f t="shared" si="13"/>
        <v>0</v>
      </c>
      <c r="S48" s="2"/>
      <c r="T48" s="2">
        <v>92.95</v>
      </c>
      <c r="U48" s="2"/>
      <c r="V48" s="19">
        <f t="shared" si="14"/>
        <v>7.7966540032341496E-5</v>
      </c>
      <c r="W48" s="2"/>
      <c r="X48" s="2">
        <f t="shared" si="15"/>
        <v>-92.95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"5582", " - ", "FREIGHT-IN-COMPUTER HARDWARE")</f>
        <v xml:space="preserve">          5582 - FREIGHT-IN-COMPUTER HARDWARE</v>
      </c>
      <c r="C49" s="11"/>
      <c r="D49" s="2">
        <v>24</v>
      </c>
      <c r="E49" s="2"/>
      <c r="F49" s="19">
        <f t="shared" si="9"/>
        <v>9.1030968963218717E-5</v>
      </c>
      <c r="G49" s="2"/>
      <c r="H49" s="2">
        <v>4.84</v>
      </c>
      <c r="I49" s="2"/>
      <c r="J49" s="19">
        <f t="shared" si="10"/>
        <v>1.5109625483894344E-5</v>
      </c>
      <c r="K49" s="2"/>
      <c r="L49" s="2">
        <f t="shared" si="11"/>
        <v>19.16</v>
      </c>
      <c r="M49" s="2"/>
      <c r="N49" s="19">
        <f t="shared" si="12"/>
        <v>3.9586776859504136</v>
      </c>
      <c r="O49" s="11"/>
      <c r="P49" s="2">
        <v>24</v>
      </c>
      <c r="Q49" s="2"/>
      <c r="R49" s="19">
        <f t="shared" si="13"/>
        <v>2.4914751840818656E-5</v>
      </c>
      <c r="S49" s="2"/>
      <c r="T49" s="2">
        <v>4.84</v>
      </c>
      <c r="U49" s="2"/>
      <c r="V49" s="19">
        <f t="shared" si="14"/>
        <v>4.0597961673645272E-6</v>
      </c>
      <c r="W49" s="2"/>
      <c r="X49" s="2">
        <f t="shared" si="15"/>
        <v>19.16</v>
      </c>
      <c r="Y49" s="2"/>
      <c r="Z49" s="19">
        <f t="shared" si="16"/>
        <v>3.9586776859504136</v>
      </c>
    </row>
    <row r="50" spans="1:26" s="24" customFormat="1" hidden="1" outlineLevel="1" x14ac:dyDescent="0.25">
      <c r="A50" s="44"/>
      <c r="B50" s="11" t="str">
        <f>CONCATENATE("          ", "5583", " - ", "FREIGHT-IN-COMPUTER EQUIPMENT")</f>
        <v xml:space="preserve">          5583 - FREIGHT-IN-COMPUTER EQUIPMENT</v>
      </c>
      <c r="C50" s="11"/>
      <c r="D50" s="2">
        <v>156</v>
      </c>
      <c r="E50" s="2"/>
      <c r="F50" s="19">
        <f t="shared" si="9"/>
        <v>5.9170129826092164E-4</v>
      </c>
      <c r="G50" s="2"/>
      <c r="H50" s="2">
        <v>7.86</v>
      </c>
      <c r="I50" s="2"/>
      <c r="J50" s="19">
        <f t="shared" si="10"/>
        <v>2.4537532294092883E-5</v>
      </c>
      <c r="K50" s="2"/>
      <c r="L50" s="2">
        <f t="shared" si="11"/>
        <v>148.13999999999999</v>
      </c>
      <c r="M50" s="2"/>
      <c r="N50" s="19">
        <f t="shared" si="12"/>
        <v>18.847328244274806</v>
      </c>
      <c r="O50" s="11"/>
      <c r="P50" s="2">
        <v>173.39</v>
      </c>
      <c r="Q50" s="2"/>
      <c r="R50" s="19">
        <f t="shared" si="13"/>
        <v>1.7999870090331445E-4</v>
      </c>
      <c r="S50" s="2"/>
      <c r="T50" s="2">
        <v>41</v>
      </c>
      <c r="U50" s="2"/>
      <c r="V50" s="19">
        <f t="shared" si="14"/>
        <v>3.4390835302054882E-5</v>
      </c>
      <c r="W50" s="2"/>
      <c r="X50" s="2">
        <f t="shared" si="15"/>
        <v>132.38999999999999</v>
      </c>
      <c r="Y50" s="2"/>
      <c r="Z50" s="19">
        <f t="shared" si="16"/>
        <v>3.229024390243902</v>
      </c>
    </row>
    <row r="51" spans="1:26" s="24" customFormat="1" hidden="1" outlineLevel="1" x14ac:dyDescent="0.25">
      <c r="A51" s="44"/>
      <c r="B51" s="11" t="str">
        <f>CONCATENATE("          ", "5586", " - ", "FREIGHT-IN-COMPUTER SUPPLIES")</f>
        <v xml:space="preserve">          5586 - FREIGHT-IN-COMPUTER SUPPLIES</v>
      </c>
      <c r="C51" s="11"/>
      <c r="D51" s="2"/>
      <c r="E51" s="2"/>
      <c r="F51" s="19">
        <f t="shared" si="9"/>
        <v>0</v>
      </c>
      <c r="G51" s="2"/>
      <c r="H51" s="2">
        <v>65.36</v>
      </c>
      <c r="I51" s="2"/>
      <c r="J51" s="19">
        <f t="shared" si="10"/>
        <v>2.0404238050151537E-4</v>
      </c>
      <c r="K51" s="2"/>
      <c r="L51" s="2">
        <f t="shared" si="11"/>
        <v>-65.36</v>
      </c>
      <c r="M51" s="2"/>
      <c r="N51" s="19">
        <f t="shared" si="12"/>
        <v>-1</v>
      </c>
      <c r="O51" s="11"/>
      <c r="P51" s="2">
        <v>24.12</v>
      </c>
      <c r="Q51" s="2"/>
      <c r="R51" s="19">
        <f t="shared" si="13"/>
        <v>2.5039325600022752E-5</v>
      </c>
      <c r="S51" s="2"/>
      <c r="T51" s="2">
        <v>102.39</v>
      </c>
      <c r="U51" s="2"/>
      <c r="V51" s="19">
        <f t="shared" si="14"/>
        <v>8.5884820160424364E-5</v>
      </c>
      <c r="W51" s="2"/>
      <c r="X51" s="2">
        <f t="shared" si="15"/>
        <v>-78.27</v>
      </c>
      <c r="Y51" s="2"/>
      <c r="Z51" s="19">
        <f t="shared" si="16"/>
        <v>-0.76443012012891876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6</v>
      </c>
      <c r="C53" s="25"/>
      <c r="D53" s="22">
        <f>D12-D38</f>
        <v>1514.5400000000664</v>
      </c>
      <c r="E53" s="13"/>
      <c r="F53" s="21">
        <f>IF(D$12=0,0,D53/D$12)</f>
        <v>5.7445851555649715E-3</v>
      </c>
      <c r="G53" s="13"/>
      <c r="H53" s="22">
        <f>H12-H38</f>
        <v>41560.529999999912</v>
      </c>
      <c r="I53" s="13"/>
      <c r="J53" s="21">
        <f>IF(H$12=0,0,H53/H$12)</f>
        <v>0.12974463702730457</v>
      </c>
      <c r="K53" s="15"/>
      <c r="L53" s="22">
        <f>+D53-H53</f>
        <v>-40045.989999999845</v>
      </c>
      <c r="M53" s="15"/>
      <c r="N53" s="21">
        <f>IF(H53=0,0,L53/H53)</f>
        <v>-0.96355821256369756</v>
      </c>
      <c r="O53" s="26"/>
      <c r="P53" s="22">
        <f>P12-P38</f>
        <v>38732.729999999865</v>
      </c>
      <c r="Q53" s="13"/>
      <c r="R53" s="21">
        <f>IF(P$12=0,0,P53/P$12)</f>
        <v>4.0209014836142865E-2</v>
      </c>
      <c r="S53" s="13"/>
      <c r="T53" s="22">
        <f>T12-T38</f>
        <v>116017.9299999997</v>
      </c>
      <c r="U53" s="13"/>
      <c r="V53" s="21">
        <f>IF(T$12=0,0,T53/T$12)</f>
        <v>9.7315939578422481E-2</v>
      </c>
      <c r="W53" s="15"/>
      <c r="X53" s="22">
        <f>+P53-T53</f>
        <v>-77285.199999999837</v>
      </c>
      <c r="Y53" s="15"/>
      <c r="Z53" s="21">
        <f>IF(T53=0,0,X53/T53)</f>
        <v>-0.66614875821349373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9</v>
      </c>
      <c r="C55" s="10"/>
      <c r="D55" s="20">
        <f>SUM(OSRRefD22x_0)</f>
        <v>12326.230000000001</v>
      </c>
      <c r="E55" s="20"/>
      <c r="F55" s="36">
        <f t="shared" ref="F55:F65" si="17">IF(D$12=0,0,D55/D$12)</f>
        <v>4.6752860856812316E-2</v>
      </c>
      <c r="G55" s="20"/>
      <c r="H55" s="20">
        <f>SUM(OSRRefH22x_0)</f>
        <v>12298.65</v>
      </c>
      <c r="I55" s="20"/>
      <c r="J55" s="36">
        <f t="shared" ref="J55:J65" si="18">IF(H$12=0,0,H55/H$12)</f>
        <v>3.8394213937499415E-2</v>
      </c>
      <c r="K55" s="4"/>
      <c r="L55" s="20">
        <f t="shared" ref="L55:L65" si="19">+D55-H55</f>
        <v>27.580000000001746</v>
      </c>
      <c r="M55" s="4"/>
      <c r="N55" s="36">
        <f t="shared" ref="N55:N65" si="20">IF(H55=0,0,L55/H55)</f>
        <v>2.2425225532885112E-3</v>
      </c>
      <c r="O55" s="10"/>
      <c r="P55" s="20">
        <f>SUM(OSRRefP22x_0)</f>
        <v>39241.700000000012</v>
      </c>
      <c r="Q55" s="20"/>
      <c r="R55" s="36">
        <f t="shared" ref="R55:R65" si="21">IF(P$12=0,0,P55/P$12)</f>
        <v>4.0737384054660576E-2</v>
      </c>
      <c r="S55" s="20"/>
      <c r="T55" s="20">
        <f>SUM(OSRRefT22x_0)</f>
        <v>102193.21999999999</v>
      </c>
      <c r="U55" s="20"/>
      <c r="V55" s="36">
        <f t="shared" ref="V55:V65" si="22">IF(T$12=0,0,T55/T$12)</f>
        <v>8.5719760926991712E-2</v>
      </c>
      <c r="W55" s="4"/>
      <c r="X55" s="20">
        <f t="shared" ref="X55:X65" si="23">+P55-T55</f>
        <v>-62951.519999999975</v>
      </c>
      <c r="Y55" s="4"/>
      <c r="Z55" s="36">
        <f t="shared" ref="Z55:Z65" si="24">IF(T55=0,0,X55/T55)</f>
        <v>-0.61600485824793449</v>
      </c>
    </row>
    <row r="56" spans="1:26" s="27" customFormat="1" outlineLevel="1" collapsed="1" x14ac:dyDescent="0.25">
      <c r="A56" s="29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2917.2400000000007</v>
      </c>
      <c r="E56" s="1"/>
      <c r="F56" s="5">
        <f t="shared" si="17"/>
        <v>1.1064965995760843E-2</v>
      </c>
      <c r="G56" s="1"/>
      <c r="H56" s="1">
        <f>SUM(OSRRefH22_0x_0)</f>
        <v>3779.41</v>
      </c>
      <c r="I56" s="1"/>
      <c r="J56" s="5">
        <f t="shared" si="18"/>
        <v>1.1798650754149818E-2</v>
      </c>
      <c r="K56" s="1"/>
      <c r="L56" s="1">
        <f t="shared" si="19"/>
        <v>-862.16999999999916</v>
      </c>
      <c r="M56" s="1"/>
      <c r="N56" s="5">
        <f t="shared" si="20"/>
        <v>-0.22812290807295296</v>
      </c>
      <c r="O56" s="14"/>
      <c r="P56" s="1">
        <f>SUM(OSRRefP22_0x_0)</f>
        <v>8488.76</v>
      </c>
      <c r="Q56" s="1"/>
      <c r="R56" s="5">
        <f t="shared" si="21"/>
        <v>8.8123062015111574E-3</v>
      </c>
      <c r="S56" s="1"/>
      <c r="T56" s="1">
        <f>SUM(OSRRefT22_0x_0)</f>
        <v>8908.9500000000007</v>
      </c>
      <c r="U56" s="1"/>
      <c r="V56" s="5">
        <f t="shared" si="22"/>
        <v>7.472834930835167E-3</v>
      </c>
      <c r="W56" s="1"/>
      <c r="X56" s="1">
        <f t="shared" si="23"/>
        <v>-420.19000000000051</v>
      </c>
      <c r="Y56" s="1"/>
      <c r="Z56" s="5">
        <f t="shared" si="24"/>
        <v>-4.7164929649397572E-2</v>
      </c>
    </row>
    <row r="57" spans="1:26" s="24" customFormat="1" hidden="1" outlineLevel="2" x14ac:dyDescent="0.25">
      <c r="A57" s="28"/>
      <c r="B57" s="11" t="str">
        <f>CONCATENATE("          ", "6111", " - ", "F.I.C.A.")</f>
        <v xml:space="preserve">          6111 - F.I.C.A.</v>
      </c>
      <c r="C57" s="11"/>
      <c r="D57" s="7">
        <v>530.98</v>
      </c>
      <c r="E57" s="2"/>
      <c r="F57" s="6">
        <f t="shared" si="17"/>
        <v>2.0139843291704113E-3</v>
      </c>
      <c r="G57" s="2"/>
      <c r="H57" s="7">
        <v>699.16</v>
      </c>
      <c r="I57" s="2"/>
      <c r="J57" s="6">
        <f t="shared" si="18"/>
        <v>2.1826540812643737E-3</v>
      </c>
      <c r="K57" s="2"/>
      <c r="L57" s="7">
        <f t="shared" si="19"/>
        <v>-168.17999999999995</v>
      </c>
      <c r="M57" s="2"/>
      <c r="N57" s="6">
        <f t="shared" si="20"/>
        <v>-0.24054579781452023</v>
      </c>
      <c r="O57" s="11"/>
      <c r="P57" s="7">
        <v>1569.36</v>
      </c>
      <c r="Q57" s="2"/>
      <c r="R57" s="6">
        <f t="shared" si="21"/>
        <v>1.6291756228711319E-3</v>
      </c>
      <c r="S57" s="2"/>
      <c r="T57" s="7">
        <v>1774.7</v>
      </c>
      <c r="U57" s="2"/>
      <c r="V57" s="6">
        <f t="shared" si="22"/>
        <v>1.4886198880623609E-3</v>
      </c>
      <c r="W57" s="2"/>
      <c r="X57" s="7">
        <f t="shared" si="23"/>
        <v>-205.34000000000015</v>
      </c>
      <c r="Y57" s="2"/>
      <c r="Z57" s="6">
        <f t="shared" si="24"/>
        <v>-0.11570406265847757</v>
      </c>
    </row>
    <row r="58" spans="1:26" s="24" customFormat="1" hidden="1" outlineLevel="2" x14ac:dyDescent="0.25">
      <c r="A58" s="28"/>
      <c r="B58" s="11" t="str">
        <f>CONCATENATE("          ", "6112", " - ", "COMPENSATION INSURANCE")</f>
        <v xml:space="preserve">          6112 - COMPENSATION INSURANCE</v>
      </c>
      <c r="C58" s="11"/>
      <c r="D58" s="7">
        <v>168.59</v>
      </c>
      <c r="E58" s="2"/>
      <c r="F58" s="6">
        <f t="shared" si="17"/>
        <v>6.394546273962102E-4</v>
      </c>
      <c r="G58" s="2"/>
      <c r="H58" s="7">
        <v>205.93</v>
      </c>
      <c r="I58" s="2"/>
      <c r="J58" s="6">
        <f t="shared" si="18"/>
        <v>6.4287710245833937E-4</v>
      </c>
      <c r="K58" s="2"/>
      <c r="L58" s="7">
        <f t="shared" si="19"/>
        <v>-37.340000000000003</v>
      </c>
      <c r="M58" s="2"/>
      <c r="N58" s="6">
        <f t="shared" si="20"/>
        <v>-0.18132375078910309</v>
      </c>
      <c r="O58" s="11"/>
      <c r="P58" s="7">
        <v>312.5</v>
      </c>
      <c r="Q58" s="2"/>
      <c r="R58" s="6">
        <f t="shared" si="21"/>
        <v>3.2441083126065961E-4</v>
      </c>
      <c r="S58" s="2"/>
      <c r="T58" s="7">
        <v>463.57</v>
      </c>
      <c r="U58" s="2"/>
      <c r="V58" s="6">
        <f t="shared" si="22"/>
        <v>3.888429151456971E-4</v>
      </c>
      <c r="W58" s="2"/>
      <c r="X58" s="7">
        <f t="shared" si="23"/>
        <v>-151.07</v>
      </c>
      <c r="Y58" s="2"/>
      <c r="Z58" s="6">
        <f t="shared" si="24"/>
        <v>-0.3258839010289708</v>
      </c>
    </row>
    <row r="59" spans="1:26" s="24" customFormat="1" hidden="1" outlineLevel="2" x14ac:dyDescent="0.25">
      <c r="A59" s="28"/>
      <c r="B59" s="11" t="str">
        <f>CONCATENATE("          ", "6113", " - ", "GROUP INSURANCE")</f>
        <v xml:space="preserve">          6113 - GROUP INSURANCE</v>
      </c>
      <c r="C59" s="11"/>
      <c r="D59" s="7">
        <v>1035.69</v>
      </c>
      <c r="E59" s="2"/>
      <c r="F59" s="6">
        <f t="shared" si="17"/>
        <v>3.9283276768964995E-3</v>
      </c>
      <c r="G59" s="2"/>
      <c r="H59" s="7">
        <v>964.88</v>
      </c>
      <c r="I59" s="2"/>
      <c r="J59" s="6">
        <f t="shared" si="18"/>
        <v>3.0121850076239619E-3</v>
      </c>
      <c r="K59" s="2"/>
      <c r="L59" s="7">
        <f t="shared" si="19"/>
        <v>70.810000000000059</v>
      </c>
      <c r="M59" s="2"/>
      <c r="N59" s="6">
        <f t="shared" si="20"/>
        <v>7.3387364231821642E-2</v>
      </c>
      <c r="O59" s="11"/>
      <c r="P59" s="7">
        <v>3107.07</v>
      </c>
      <c r="Q59" s="2"/>
      <c r="R59" s="6">
        <f t="shared" si="21"/>
        <v>3.2254949167521848E-3</v>
      </c>
      <c r="S59" s="2"/>
      <c r="T59" s="7">
        <v>2894.64</v>
      </c>
      <c r="U59" s="2"/>
      <c r="V59" s="6">
        <f t="shared" si="22"/>
        <v>2.4280265243595152E-3</v>
      </c>
      <c r="W59" s="2"/>
      <c r="X59" s="7">
        <f t="shared" si="23"/>
        <v>212.43000000000029</v>
      </c>
      <c r="Y59" s="2"/>
      <c r="Z59" s="6">
        <f t="shared" si="24"/>
        <v>7.3387364231821683E-2</v>
      </c>
    </row>
    <row r="60" spans="1:26" s="24" customFormat="1" hidden="1" outlineLevel="2" x14ac:dyDescent="0.25">
      <c r="A60" s="28"/>
      <c r="B60" s="11" t="str">
        <f>CONCATENATE("          ", "6114", " - ", "STATE UNEMPLOYMENT INSURANCE")</f>
        <v xml:space="preserve">          6114 - STATE UNEMPLOYMENT INSURANCE</v>
      </c>
      <c r="C60" s="11"/>
      <c r="D60" s="7">
        <v>23.69</v>
      </c>
      <c r="E60" s="2"/>
      <c r="F60" s="6">
        <f t="shared" si="17"/>
        <v>8.9855152280777153E-5</v>
      </c>
      <c r="G60" s="2"/>
      <c r="H60" s="7">
        <v>28.18</v>
      </c>
      <c r="I60" s="2"/>
      <c r="J60" s="6">
        <f t="shared" si="18"/>
        <v>8.797298473887244E-5</v>
      </c>
      <c r="K60" s="2"/>
      <c r="L60" s="7">
        <f t="shared" si="19"/>
        <v>-4.4899999999999984</v>
      </c>
      <c r="M60" s="2"/>
      <c r="N60" s="6">
        <f t="shared" si="20"/>
        <v>-0.15933286018452797</v>
      </c>
      <c r="O60" s="11"/>
      <c r="P60" s="7">
        <v>58.62</v>
      </c>
      <c r="Q60" s="2"/>
      <c r="R60" s="6">
        <f t="shared" si="21"/>
        <v>6.0854281371199571E-5</v>
      </c>
      <c r="S60" s="2"/>
      <c r="T60" s="7">
        <v>63.44</v>
      </c>
      <c r="U60" s="2"/>
      <c r="V60" s="6">
        <f t="shared" si="22"/>
        <v>5.3213526623472227E-5</v>
      </c>
      <c r="W60" s="2"/>
      <c r="X60" s="7">
        <f t="shared" si="23"/>
        <v>-4.82</v>
      </c>
      <c r="Y60" s="2"/>
      <c r="Z60" s="6">
        <f t="shared" si="24"/>
        <v>-7.5977301387137458E-2</v>
      </c>
    </row>
    <row r="61" spans="1:26" s="24" customFormat="1" hidden="1" outlineLevel="2" x14ac:dyDescent="0.25">
      <c r="A61" s="28"/>
      <c r="B61" s="11" t="str">
        <f>CONCATENATE("          ", "6115", " - ", "P.E.R.S.")</f>
        <v xml:space="preserve">          6115 - P.E.R.S.</v>
      </c>
      <c r="C61" s="11"/>
      <c r="D61" s="7">
        <v>176.42</v>
      </c>
      <c r="E61" s="2"/>
      <c r="F61" s="6">
        <f t="shared" si="17"/>
        <v>6.6915348102046025E-4</v>
      </c>
      <c r="G61" s="2"/>
      <c r="H61" s="7">
        <v>196.25</v>
      </c>
      <c r="I61" s="2"/>
      <c r="J61" s="6">
        <f t="shared" si="18"/>
        <v>6.1265785149055066E-4</v>
      </c>
      <c r="K61" s="2"/>
      <c r="L61" s="7">
        <f t="shared" si="19"/>
        <v>-19.830000000000013</v>
      </c>
      <c r="M61" s="2"/>
      <c r="N61" s="6">
        <f t="shared" si="20"/>
        <v>-0.10104458598726121</v>
      </c>
      <c r="O61" s="11"/>
      <c r="P61" s="7">
        <v>617.47</v>
      </c>
      <c r="Q61" s="2"/>
      <c r="R61" s="6">
        <f t="shared" si="21"/>
        <v>6.4100465913126241E-4</v>
      </c>
      <c r="S61" s="2"/>
      <c r="T61" s="7">
        <v>563.04999999999995</v>
      </c>
      <c r="U61" s="2"/>
      <c r="V61" s="6">
        <f t="shared" si="22"/>
        <v>4.7228682480053656E-4</v>
      </c>
      <c r="W61" s="2"/>
      <c r="X61" s="7">
        <f t="shared" si="23"/>
        <v>54.420000000000073</v>
      </c>
      <c r="Y61" s="2"/>
      <c r="Z61" s="6">
        <f t="shared" si="24"/>
        <v>9.66521623301662E-2</v>
      </c>
    </row>
    <row r="62" spans="1:26" s="24" customFormat="1" hidden="1" outlineLevel="2" x14ac:dyDescent="0.25">
      <c r="A62" s="28"/>
      <c r="B62" s="11" t="str">
        <f>CONCATENATE("          ", "6117", " - ", "RETIREMENT STAFF HOURLY")</f>
        <v xml:space="preserve">          6117 - RETIREMENT STAFF HOURLY</v>
      </c>
      <c r="C62" s="11"/>
      <c r="D62" s="7">
        <v>185.73</v>
      </c>
      <c r="E62" s="2"/>
      <c r="F62" s="6">
        <f t="shared" si="17"/>
        <v>7.0446591106410885E-4</v>
      </c>
      <c r="G62" s="2"/>
      <c r="H62" s="7">
        <v>301.07</v>
      </c>
      <c r="I62" s="2"/>
      <c r="J62" s="6">
        <f t="shared" si="18"/>
        <v>9.3988738521406413E-4</v>
      </c>
      <c r="K62" s="2"/>
      <c r="L62" s="7">
        <f t="shared" si="19"/>
        <v>-115.34</v>
      </c>
      <c r="M62" s="2"/>
      <c r="N62" s="6">
        <f t="shared" si="20"/>
        <v>-0.38310027568339589</v>
      </c>
      <c r="O62" s="11"/>
      <c r="P62" s="7">
        <v>623.80999999999995</v>
      </c>
      <c r="Q62" s="2"/>
      <c r="R62" s="6">
        <f t="shared" si="21"/>
        <v>6.4758630607587853E-4</v>
      </c>
      <c r="S62" s="2"/>
      <c r="T62" s="7">
        <v>552.04999999999995</v>
      </c>
      <c r="U62" s="2"/>
      <c r="V62" s="6">
        <f t="shared" si="22"/>
        <v>4.6306001532925349E-4</v>
      </c>
      <c r="W62" s="2"/>
      <c r="X62" s="7">
        <f t="shared" si="23"/>
        <v>71.759999999999991</v>
      </c>
      <c r="Y62" s="2"/>
      <c r="Z62" s="6">
        <f t="shared" si="24"/>
        <v>0.12998822570419347</v>
      </c>
    </row>
    <row r="63" spans="1:26" s="24" customFormat="1" hidden="1" outlineLevel="2" x14ac:dyDescent="0.25">
      <c r="A63" s="28"/>
      <c r="B63" s="11" t="str">
        <f>CONCATENATE("          ", "6118", " - ", "VACATION")</f>
        <v xml:space="preserve">          6118 - VACATION</v>
      </c>
      <c r="C63" s="11"/>
      <c r="D63" s="7">
        <v>257.8</v>
      </c>
      <c r="E63" s="2"/>
      <c r="F63" s="6">
        <f t="shared" si="17"/>
        <v>9.7782432494657439E-4</v>
      </c>
      <c r="G63" s="2"/>
      <c r="H63" s="7">
        <v>572.64</v>
      </c>
      <c r="I63" s="2"/>
      <c r="J63" s="6">
        <f t="shared" si="18"/>
        <v>1.7876809787391028E-3</v>
      </c>
      <c r="K63" s="2"/>
      <c r="L63" s="7">
        <f t="shared" si="19"/>
        <v>-314.83999999999997</v>
      </c>
      <c r="M63" s="2"/>
      <c r="N63" s="6">
        <f t="shared" si="20"/>
        <v>-0.54980441464096108</v>
      </c>
      <c r="O63" s="11"/>
      <c r="P63" s="7">
        <v>773.4</v>
      </c>
      <c r="Q63" s="2"/>
      <c r="R63" s="6">
        <f t="shared" si="21"/>
        <v>8.0287787807038118E-4</v>
      </c>
      <c r="S63" s="2"/>
      <c r="T63" s="7">
        <v>1037.27</v>
      </c>
      <c r="U63" s="2"/>
      <c r="V63" s="6">
        <f t="shared" si="22"/>
        <v>8.7006296911615766E-4</v>
      </c>
      <c r="W63" s="2"/>
      <c r="X63" s="7">
        <f t="shared" si="23"/>
        <v>-263.87</v>
      </c>
      <c r="Y63" s="2"/>
      <c r="Z63" s="6">
        <f t="shared" si="24"/>
        <v>-0.2543889247736848</v>
      </c>
    </row>
    <row r="64" spans="1:26" s="24" customFormat="1" hidden="1" outlineLevel="2" x14ac:dyDescent="0.25">
      <c r="A64" s="28"/>
      <c r="B64" s="11" t="str">
        <f>CONCATENATE("          ", "6119", " - ", "SICK LEAVE")</f>
        <v xml:space="preserve">          6119 - SICK LEAVE</v>
      </c>
      <c r="C64" s="11"/>
      <c r="D64" s="7">
        <v>256.57</v>
      </c>
      <c r="E64" s="2"/>
      <c r="F64" s="6">
        <f t="shared" si="17"/>
        <v>9.7315898778720935E-4</v>
      </c>
      <c r="G64" s="2"/>
      <c r="H64" s="7">
        <v>636.29999999999995</v>
      </c>
      <c r="I64" s="2"/>
      <c r="J64" s="6">
        <f t="shared" si="18"/>
        <v>1.9864162593805725E-3</v>
      </c>
      <c r="K64" s="2"/>
      <c r="L64" s="7">
        <f t="shared" si="19"/>
        <v>-379.72999999999996</v>
      </c>
      <c r="M64" s="2"/>
      <c r="N64" s="6">
        <f t="shared" si="20"/>
        <v>-0.59677824925349676</v>
      </c>
      <c r="O64" s="11"/>
      <c r="P64" s="7">
        <v>769.71</v>
      </c>
      <c r="Q64" s="2"/>
      <c r="R64" s="6">
        <f t="shared" si="21"/>
        <v>7.9904723497485543E-4</v>
      </c>
      <c r="S64" s="2"/>
      <c r="T64" s="7">
        <v>1086.03</v>
      </c>
      <c r="U64" s="2"/>
      <c r="V64" s="6">
        <f t="shared" si="22"/>
        <v>9.1096289909977214E-4</v>
      </c>
      <c r="W64" s="2"/>
      <c r="X64" s="7">
        <f t="shared" si="23"/>
        <v>-316.31999999999994</v>
      </c>
      <c r="Y64" s="2"/>
      <c r="Z64" s="6">
        <f t="shared" si="24"/>
        <v>-0.29126267230187008</v>
      </c>
    </row>
    <row r="65" spans="1:26" s="24" customFormat="1" hidden="1" outlineLevel="2" x14ac:dyDescent="0.25">
      <c r="A65" s="28"/>
      <c r="B65" s="11" t="str">
        <f>CONCATENATE("          ", "6156", " - ", "EMPLOYEE MEALS")</f>
        <v xml:space="preserve">          6156 - EMPLOYEE MEALS</v>
      </c>
      <c r="C65" s="11"/>
      <c r="D65" s="7">
        <v>281.77</v>
      </c>
      <c r="E65" s="2"/>
      <c r="F65" s="6">
        <f t="shared" si="17"/>
        <v>1.0687415051985889E-3</v>
      </c>
      <c r="G65" s="2"/>
      <c r="H65" s="7">
        <v>175</v>
      </c>
      <c r="I65" s="2"/>
      <c r="J65" s="6">
        <f t="shared" si="18"/>
        <v>5.4631910323998142E-4</v>
      </c>
      <c r="K65" s="2"/>
      <c r="L65" s="7">
        <f t="shared" si="19"/>
        <v>106.76999999999998</v>
      </c>
      <c r="M65" s="2"/>
      <c r="N65" s="6">
        <f t="shared" si="20"/>
        <v>0.61011428571428561</v>
      </c>
      <c r="O65" s="11"/>
      <c r="P65" s="7">
        <v>656.82</v>
      </c>
      <c r="Q65" s="2"/>
      <c r="R65" s="6">
        <f t="shared" si="21"/>
        <v>6.8185447100360468E-4</v>
      </c>
      <c r="S65" s="2"/>
      <c r="T65" s="7">
        <v>474.2</v>
      </c>
      <c r="U65" s="2"/>
      <c r="V65" s="6">
        <f t="shared" si="22"/>
        <v>3.9775936829840059E-4</v>
      </c>
      <c r="W65" s="2"/>
      <c r="X65" s="7">
        <f t="shared" si="23"/>
        <v>182.62000000000006</v>
      </c>
      <c r="Y65" s="2"/>
      <c r="Z65" s="6">
        <f t="shared" si="24"/>
        <v>0.38511176718684115</v>
      </c>
    </row>
    <row r="66" spans="1:26" s="27" customFormat="1" outlineLevel="1" collapsed="1" x14ac:dyDescent="0.25">
      <c r="A66" s="29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7451.68</v>
      </c>
      <c r="E66" s="1"/>
      <c r="F66" s="5">
        <f t="shared" ref="F66:F71" si="25">IF(D$12=0,0,D66/D$12)</f>
        <v>2.826390211682657E-2</v>
      </c>
      <c r="G66" s="1"/>
      <c r="H66" s="1">
        <f>SUM(OSRRefH22_1x_0)</f>
        <v>10223.98</v>
      </c>
      <c r="I66" s="1"/>
      <c r="J66" s="5">
        <f t="shared" ref="J66:J71" si="26">IF(H$12=0,0,H66/H$12)</f>
        <v>3.1917460486534315E-2</v>
      </c>
      <c r="K66" s="1"/>
      <c r="L66" s="1">
        <f t="shared" ref="L66:L71" si="27">+D66-H66</f>
        <v>-2772.2999999999993</v>
      </c>
      <c r="M66" s="1"/>
      <c r="N66" s="5">
        <f t="shared" ref="N66:N71" si="28">IF(H66=0,0,L66/H66)</f>
        <v>-0.27115663371798454</v>
      </c>
      <c r="O66" s="14"/>
      <c r="P66" s="1">
        <f>SUM(OSRRefP22_1x_0)</f>
        <v>23259.17</v>
      </c>
      <c r="Q66" s="1"/>
      <c r="R66" s="5">
        <f t="shared" ref="R66:R71" si="29">IF(P$12=0,0,P66/P$12)</f>
        <v>2.4145685357225586E-2</v>
      </c>
      <c r="S66" s="1"/>
      <c r="T66" s="1">
        <f>SUM(OSRRefT22_1x_0)</f>
        <v>27512.059999999998</v>
      </c>
      <c r="U66" s="1"/>
      <c r="V66" s="5">
        <f t="shared" ref="V66:V71" si="30">IF(T$12=0,0,T66/T$12)</f>
        <v>2.307713961659151E-2</v>
      </c>
      <c r="W66" s="1"/>
      <c r="X66" s="1">
        <f t="shared" ref="X66:X71" si="31">+P66-T66</f>
        <v>-4252.8899999999994</v>
      </c>
      <c r="Y66" s="1"/>
      <c r="Z66" s="5">
        <f t="shared" ref="Z66:Z71" si="32">IF(T66=0,0,X66/T66)</f>
        <v>-0.15458275389047565</v>
      </c>
    </row>
    <row r="67" spans="1:26" s="24" customFormat="1" hidden="1" outlineLevel="2" x14ac:dyDescent="0.25">
      <c r="A67" s="28"/>
      <c r="B67" s="11" t="str">
        <f>CONCATENATE("          ", "6002", " - ", "STAFF SALARIES")</f>
        <v xml:space="preserve">          6002 - STAFF SALARIES</v>
      </c>
      <c r="C67" s="11"/>
      <c r="D67" s="7">
        <v>2282.3000000000002</v>
      </c>
      <c r="E67" s="2"/>
      <c r="F67" s="6">
        <f t="shared" si="25"/>
        <v>8.6566658526980866E-3</v>
      </c>
      <c r="G67" s="2"/>
      <c r="H67" s="7">
        <v>2855.56</v>
      </c>
      <c r="I67" s="2"/>
      <c r="J67" s="6">
        <f t="shared" si="26"/>
        <v>8.9145541625597798E-3</v>
      </c>
      <c r="K67" s="2"/>
      <c r="L67" s="7">
        <f t="shared" si="27"/>
        <v>-573.25999999999976</v>
      </c>
      <c r="M67" s="2"/>
      <c r="N67" s="6">
        <f t="shared" si="28"/>
        <v>-0.20075221672806726</v>
      </c>
      <c r="O67" s="11"/>
      <c r="P67" s="7">
        <v>6961.44</v>
      </c>
      <c r="Q67" s="2"/>
      <c r="R67" s="6">
        <f t="shared" si="29"/>
        <v>7.226772918947859E-3</v>
      </c>
      <c r="S67" s="2"/>
      <c r="T67" s="7">
        <v>8631.64</v>
      </c>
      <c r="U67" s="2"/>
      <c r="V67" s="6">
        <f t="shared" si="30"/>
        <v>7.2402270640641204E-3</v>
      </c>
      <c r="W67" s="2"/>
      <c r="X67" s="7">
        <f t="shared" si="31"/>
        <v>-1670.1999999999998</v>
      </c>
      <c r="Y67" s="2"/>
      <c r="Z67" s="6">
        <f t="shared" si="32"/>
        <v>-0.19349741184757474</v>
      </c>
    </row>
    <row r="68" spans="1:26" s="24" customFormat="1" hidden="1" outlineLevel="2" x14ac:dyDescent="0.25">
      <c r="A68" s="28"/>
      <c r="B68" s="11" t="str">
        <f>CONCATENATE("          ", "6004", " - ", "STAFF HOURLY")</f>
        <v xml:space="preserve">          6004 - STAFF HOURLY</v>
      </c>
      <c r="C68" s="11"/>
      <c r="D68" s="7">
        <v>3714.5</v>
      </c>
      <c r="E68" s="2"/>
      <c r="F68" s="6">
        <f t="shared" si="25"/>
        <v>1.4088938925578163E-2</v>
      </c>
      <c r="G68" s="2"/>
      <c r="H68" s="7"/>
      <c r="I68" s="2"/>
      <c r="J68" s="6">
        <f t="shared" si="26"/>
        <v>0</v>
      </c>
      <c r="K68" s="2"/>
      <c r="L68" s="7">
        <f t="shared" si="27"/>
        <v>3714.5</v>
      </c>
      <c r="M68" s="2"/>
      <c r="N68" s="6">
        <f t="shared" si="28"/>
        <v>0</v>
      </c>
      <c r="O68" s="11"/>
      <c r="P68" s="7">
        <v>10549.21</v>
      </c>
      <c r="Q68" s="2"/>
      <c r="R68" s="6">
        <f t="shared" si="29"/>
        <v>1.0951289552778441E-2</v>
      </c>
      <c r="S68" s="2"/>
      <c r="T68" s="7"/>
      <c r="U68" s="2"/>
      <c r="V68" s="6">
        <f t="shared" si="30"/>
        <v>0</v>
      </c>
      <c r="W68" s="2"/>
      <c r="X68" s="7">
        <f t="shared" si="31"/>
        <v>10549.21</v>
      </c>
      <c r="Y68" s="2"/>
      <c r="Z68" s="6">
        <f t="shared" si="32"/>
        <v>0</v>
      </c>
    </row>
    <row r="69" spans="1:26" s="24" customFormat="1" hidden="1" outlineLevel="2" x14ac:dyDescent="0.25">
      <c r="A69" s="28"/>
      <c r="B69" s="11" t="str">
        <f>CONCATENATE("          ", "6005", " - ", "TEMPORARY WAGES-HOURLY")</f>
        <v xml:space="preserve">          6005 - TEMPORARY WAGES-HOURLY</v>
      </c>
      <c r="C69" s="11"/>
      <c r="D69" s="7"/>
      <c r="E69" s="2"/>
      <c r="F69" s="6">
        <f t="shared" si="25"/>
        <v>0</v>
      </c>
      <c r="G69" s="2"/>
      <c r="H69" s="7">
        <v>4227.2700000000004</v>
      </c>
      <c r="I69" s="2"/>
      <c r="J69" s="6">
        <f t="shared" si="26"/>
        <v>1.3196790603161581E-2</v>
      </c>
      <c r="K69" s="2"/>
      <c r="L69" s="7">
        <f t="shared" si="27"/>
        <v>-4227.2700000000004</v>
      </c>
      <c r="M69" s="2"/>
      <c r="N69" s="6">
        <f t="shared" si="28"/>
        <v>-1</v>
      </c>
      <c r="O69" s="11"/>
      <c r="P69" s="7"/>
      <c r="Q69" s="2"/>
      <c r="R69" s="6">
        <f t="shared" si="29"/>
        <v>0</v>
      </c>
      <c r="S69" s="2"/>
      <c r="T69" s="7">
        <v>9368.14</v>
      </c>
      <c r="U69" s="2"/>
      <c r="V69" s="6">
        <f t="shared" si="30"/>
        <v>7.8580038982095698E-3</v>
      </c>
      <c r="W69" s="2"/>
      <c r="X69" s="7">
        <f t="shared" si="31"/>
        <v>-9368.14</v>
      </c>
      <c r="Y69" s="2"/>
      <c r="Z69" s="6">
        <f t="shared" si="32"/>
        <v>-1</v>
      </c>
    </row>
    <row r="70" spans="1:26" s="24" customFormat="1" hidden="1" outlineLevel="2" x14ac:dyDescent="0.25">
      <c r="A70" s="28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5"/>
        <v>0</v>
      </c>
      <c r="G70" s="2"/>
      <c r="H70" s="7">
        <v>2102.34</v>
      </c>
      <c r="I70" s="2"/>
      <c r="J70" s="6">
        <f t="shared" si="26"/>
        <v>6.563134305745958E-3</v>
      </c>
      <c r="K70" s="2"/>
      <c r="L70" s="7">
        <f t="shared" si="27"/>
        <v>-2102.34</v>
      </c>
      <c r="M70" s="2"/>
      <c r="N70" s="6">
        <f t="shared" si="28"/>
        <v>-1</v>
      </c>
      <c r="O70" s="11"/>
      <c r="P70" s="7"/>
      <c r="Q70" s="2"/>
      <c r="R70" s="6">
        <f t="shared" si="29"/>
        <v>0</v>
      </c>
      <c r="S70" s="2"/>
      <c r="T70" s="7">
        <v>5054.16</v>
      </c>
      <c r="U70" s="2"/>
      <c r="V70" s="6">
        <f t="shared" si="30"/>
        <v>4.2394337597617968E-3</v>
      </c>
      <c r="W70" s="2"/>
      <c r="X70" s="7">
        <f t="shared" si="31"/>
        <v>-5054.16</v>
      </c>
      <c r="Y70" s="2"/>
      <c r="Z70" s="6">
        <f t="shared" si="32"/>
        <v>-1</v>
      </c>
    </row>
    <row r="71" spans="1:26" s="24" customFormat="1" hidden="1" outlineLevel="2" x14ac:dyDescent="0.25">
      <c r="A71" s="28"/>
      <c r="B71" s="11" t="str">
        <f>CONCATENATE("          ", "6007", " - ", "STUDENT HOURLY")</f>
        <v xml:space="preserve">          6007 - STUDENT HOURLY</v>
      </c>
      <c r="C71" s="11"/>
      <c r="D71" s="7">
        <v>1454.88</v>
      </c>
      <c r="E71" s="2"/>
      <c r="F71" s="6">
        <f t="shared" si="25"/>
        <v>5.518297338550319E-3</v>
      </c>
      <c r="G71" s="2"/>
      <c r="H71" s="7">
        <v>1038.81</v>
      </c>
      <c r="I71" s="2"/>
      <c r="J71" s="6">
        <f t="shared" si="26"/>
        <v>3.2429814150670006E-3</v>
      </c>
      <c r="K71" s="2"/>
      <c r="L71" s="7">
        <f t="shared" si="27"/>
        <v>416.07000000000016</v>
      </c>
      <c r="M71" s="2"/>
      <c r="N71" s="6">
        <f t="shared" si="28"/>
        <v>0.40052560140930504</v>
      </c>
      <c r="O71" s="11"/>
      <c r="P71" s="7">
        <v>5748.52</v>
      </c>
      <c r="Q71" s="2"/>
      <c r="R71" s="6">
        <f t="shared" si="29"/>
        <v>5.9676228854992864E-3</v>
      </c>
      <c r="S71" s="2"/>
      <c r="T71" s="7">
        <v>4458.12</v>
      </c>
      <c r="U71" s="2"/>
      <c r="V71" s="6">
        <f t="shared" si="30"/>
        <v>3.7394748945560217E-3</v>
      </c>
      <c r="W71" s="2"/>
      <c r="X71" s="7">
        <f t="shared" si="31"/>
        <v>1290.4000000000005</v>
      </c>
      <c r="Y71" s="2"/>
      <c r="Z71" s="6">
        <f t="shared" si="32"/>
        <v>0.28944936430603047</v>
      </c>
    </row>
    <row r="72" spans="1:26" s="27" customFormat="1" outlineLevel="1" collapsed="1" x14ac:dyDescent="0.25">
      <c r="A72" s="29"/>
      <c r="B72" s="14" t="str">
        <f>CONCATENATE("     ","Advertising/Promo                                 ")</f>
        <v xml:space="preserve">     Advertising/Promo                                 </v>
      </c>
      <c r="C72" s="14"/>
      <c r="D72" s="1">
        <f>SUM(OSRRefD22_2x_0)</f>
        <v>0</v>
      </c>
      <c r="E72" s="1"/>
      <c r="F72" s="5">
        <f t="shared" ref="F72:F80" si="33">IF(D$12=0,0,D72/D$12)</f>
        <v>0</v>
      </c>
      <c r="G72" s="1"/>
      <c r="H72" s="1">
        <f>SUM(OSRRefH22_2x_0)</f>
        <v>98.24</v>
      </c>
      <c r="I72" s="1"/>
      <c r="J72" s="5">
        <f t="shared" ref="J72:J80" si="34">IF(H$12=0,0,H72/H$12)</f>
        <v>3.0668793544169013E-4</v>
      </c>
      <c r="K72" s="1"/>
      <c r="L72" s="1">
        <f t="shared" ref="L72:L80" si="35">+D72-H72</f>
        <v>-98.24</v>
      </c>
      <c r="M72" s="1"/>
      <c r="N72" s="5">
        <f t="shared" ref="N72:N80" si="36">IF(H72=0,0,L72/H72)</f>
        <v>-1</v>
      </c>
      <c r="O72" s="14"/>
      <c r="P72" s="1">
        <f>SUM(OSRRefP22_2x_0)</f>
        <v>248.88</v>
      </c>
      <c r="Q72" s="1"/>
      <c r="R72" s="5">
        <f t="shared" ref="R72:R80" si="37">IF(P$12=0,0,P72/P$12)</f>
        <v>2.5836597658928945E-4</v>
      </c>
      <c r="S72" s="1"/>
      <c r="T72" s="1">
        <f>SUM(OSRRefT22_2x_0)</f>
        <v>800.4</v>
      </c>
      <c r="U72" s="1"/>
      <c r="V72" s="5">
        <f t="shared" ref="V72:V80" si="38">IF(T$12=0,0,T72/T$12)</f>
        <v>6.7137620916499327E-4</v>
      </c>
      <c r="W72" s="1"/>
      <c r="X72" s="1">
        <f t="shared" ref="X72:X80" si="39">+P72-T72</f>
        <v>-551.52</v>
      </c>
      <c r="Y72" s="1"/>
      <c r="Z72" s="5">
        <f t="shared" ref="Z72:Z80" si="40">IF(T72=0,0,X72/T72)</f>
        <v>-0.6890554722638681</v>
      </c>
    </row>
    <row r="73" spans="1:26" s="24" customFormat="1" hidden="1" outlineLevel="2" x14ac:dyDescent="0.25">
      <c r="A73" s="28"/>
      <c r="B73" s="11" t="str">
        <f>CONCATENATE("          ", "6362", " - ", "ADVERTISING EXPENSE")</f>
        <v xml:space="preserve">          6362 - ADVERTISING EXPENSE</v>
      </c>
      <c r="C73" s="11"/>
      <c r="D73" s="7"/>
      <c r="E73" s="2"/>
      <c r="F73" s="6">
        <f t="shared" si="33"/>
        <v>0</v>
      </c>
      <c r="G73" s="2"/>
      <c r="H73" s="7">
        <v>98.24</v>
      </c>
      <c r="I73" s="2"/>
      <c r="J73" s="6">
        <f t="shared" si="34"/>
        <v>3.0668793544169013E-4</v>
      </c>
      <c r="K73" s="2"/>
      <c r="L73" s="7">
        <f t="shared" si="35"/>
        <v>-98.24</v>
      </c>
      <c r="M73" s="2"/>
      <c r="N73" s="6">
        <f t="shared" si="36"/>
        <v>-1</v>
      </c>
      <c r="O73" s="11"/>
      <c r="P73" s="7">
        <v>248.88</v>
      </c>
      <c r="Q73" s="2"/>
      <c r="R73" s="6">
        <f t="shared" si="37"/>
        <v>2.5836597658928945E-4</v>
      </c>
      <c r="S73" s="2"/>
      <c r="T73" s="7">
        <v>800.4</v>
      </c>
      <c r="U73" s="2"/>
      <c r="V73" s="6">
        <f t="shared" si="38"/>
        <v>6.7137620916499327E-4</v>
      </c>
      <c r="W73" s="2"/>
      <c r="X73" s="7">
        <f t="shared" si="39"/>
        <v>-551.52</v>
      </c>
      <c r="Y73" s="2"/>
      <c r="Z73" s="6">
        <f t="shared" si="40"/>
        <v>-0.6890554722638681</v>
      </c>
    </row>
    <row r="74" spans="1:26" s="27" customFormat="1" outlineLevel="1" collapsed="1" x14ac:dyDescent="0.25">
      <c r="A74" s="29"/>
      <c r="B74" s="14" t="str">
        <f>CONCATENATE("     ","Depreciation                                      ")</f>
        <v xml:space="preserve">     Depreciation                                      </v>
      </c>
      <c r="C74" s="14"/>
      <c r="D74" s="1">
        <f>SUM(OSRRefD22_3x_0)</f>
        <v>280.44</v>
      </c>
      <c r="E74" s="1"/>
      <c r="F74" s="5">
        <f t="shared" si="33"/>
        <v>1.0636968723352106E-3</v>
      </c>
      <c r="G74" s="1"/>
      <c r="H74" s="1">
        <f>SUM(OSRRefH22_3x_0)</f>
        <v>280.44</v>
      </c>
      <c r="I74" s="1"/>
      <c r="J74" s="5">
        <f t="shared" si="34"/>
        <v>8.7548416750068796E-4</v>
      </c>
      <c r="K74" s="1"/>
      <c r="L74" s="1">
        <f t="shared" si="35"/>
        <v>0</v>
      </c>
      <c r="M74" s="1"/>
      <c r="N74" s="5">
        <f t="shared" si="36"/>
        <v>0</v>
      </c>
      <c r="O74" s="14"/>
      <c r="P74" s="1">
        <f>SUM(OSRRefP22_3x_0)</f>
        <v>841.32</v>
      </c>
      <c r="Q74" s="1"/>
      <c r="R74" s="5">
        <f t="shared" si="37"/>
        <v>8.7338662577989804E-4</v>
      </c>
      <c r="S74" s="1"/>
      <c r="T74" s="1">
        <f>SUM(OSRRefT22_3x_0)</f>
        <v>841.32</v>
      </c>
      <c r="U74" s="1"/>
      <c r="V74" s="5">
        <f t="shared" si="38"/>
        <v>7.0569994039816619E-4</v>
      </c>
      <c r="W74" s="1"/>
      <c r="X74" s="1">
        <f t="shared" si="39"/>
        <v>0</v>
      </c>
      <c r="Y74" s="1"/>
      <c r="Z74" s="5">
        <f t="shared" si="40"/>
        <v>0</v>
      </c>
    </row>
    <row r="75" spans="1:26" s="24" customFormat="1" hidden="1" outlineLevel="2" x14ac:dyDescent="0.25">
      <c r="A75" s="28"/>
      <c r="B75" s="11" t="str">
        <f>CONCATENATE("          ", "6322", " - ", "EQUIPMENT DEPRECIATION EXPENSE")</f>
        <v xml:space="preserve">          6322 - EQUIPMENT DEPRECIATION EXPENSE</v>
      </c>
      <c r="C75" s="11"/>
      <c r="D75" s="7">
        <v>280.44</v>
      </c>
      <c r="E75" s="2"/>
      <c r="F75" s="6">
        <f t="shared" si="33"/>
        <v>1.0636968723352106E-3</v>
      </c>
      <c r="G75" s="2"/>
      <c r="H75" s="7">
        <v>280.44</v>
      </c>
      <c r="I75" s="2"/>
      <c r="J75" s="6">
        <f t="shared" si="34"/>
        <v>8.7548416750068796E-4</v>
      </c>
      <c r="K75" s="2"/>
      <c r="L75" s="7">
        <f t="shared" si="35"/>
        <v>0</v>
      </c>
      <c r="M75" s="2"/>
      <c r="N75" s="6">
        <f t="shared" si="36"/>
        <v>0</v>
      </c>
      <c r="O75" s="11"/>
      <c r="P75" s="7">
        <v>841.32</v>
      </c>
      <c r="Q75" s="2"/>
      <c r="R75" s="6">
        <f t="shared" si="37"/>
        <v>8.7338662577989804E-4</v>
      </c>
      <c r="S75" s="2"/>
      <c r="T75" s="7">
        <v>841.32</v>
      </c>
      <c r="U75" s="2"/>
      <c r="V75" s="6">
        <f t="shared" si="38"/>
        <v>7.0569994039816619E-4</v>
      </c>
      <c r="W75" s="2"/>
      <c r="X75" s="7">
        <f t="shared" si="39"/>
        <v>0</v>
      </c>
      <c r="Y75" s="2"/>
      <c r="Z75" s="6">
        <f t="shared" si="40"/>
        <v>0</v>
      </c>
    </row>
    <row r="76" spans="1:26" s="27" customFormat="1" outlineLevel="1" collapsed="1" x14ac:dyDescent="0.25">
      <c r="A76" s="29"/>
      <c r="B76" s="14" t="str">
        <f>CONCATENATE("     ","Discounts and Markdowns                           ")</f>
        <v xml:space="preserve">     Discounts and Markdowns                           </v>
      </c>
      <c r="C76" s="14"/>
      <c r="D76" s="1">
        <f>SUM(OSRRefD22_4x_0)</f>
        <v>0</v>
      </c>
      <c r="E76" s="1"/>
      <c r="F76" s="5">
        <f t="shared" si="33"/>
        <v>0</v>
      </c>
      <c r="G76" s="1"/>
      <c r="H76" s="1">
        <f>SUM(OSRRefH22_4x_0)</f>
        <v>-3019.66</v>
      </c>
      <c r="I76" s="1"/>
      <c r="J76" s="5">
        <f t="shared" si="34"/>
        <v>-9.4268453902265278E-3</v>
      </c>
      <c r="K76" s="1"/>
      <c r="L76" s="1">
        <f t="shared" si="35"/>
        <v>3019.66</v>
      </c>
      <c r="M76" s="1"/>
      <c r="N76" s="5">
        <f t="shared" si="36"/>
        <v>-1</v>
      </c>
      <c r="O76" s="14"/>
      <c r="P76" s="1">
        <f>SUM(OSRRefP22_4x_0)</f>
        <v>0</v>
      </c>
      <c r="Q76" s="1"/>
      <c r="R76" s="5">
        <f t="shared" si="37"/>
        <v>0</v>
      </c>
      <c r="S76" s="1"/>
      <c r="T76" s="1">
        <f>SUM(OSRRefT22_4x_0)</f>
        <v>66999.509999999995</v>
      </c>
      <c r="U76" s="1"/>
      <c r="V76" s="5">
        <f t="shared" si="38"/>
        <v>5.6199246676301919E-2</v>
      </c>
      <c r="W76" s="1"/>
      <c r="X76" s="1">
        <f t="shared" si="39"/>
        <v>-66999.509999999995</v>
      </c>
      <c r="Y76" s="1"/>
      <c r="Z76" s="5">
        <f t="shared" si="40"/>
        <v>-1</v>
      </c>
    </row>
    <row r="77" spans="1:26" s="24" customFormat="1" hidden="1" outlineLevel="2" x14ac:dyDescent="0.25">
      <c r="A77" s="28"/>
      <c r="B77" s="11" t="str">
        <f>CONCATENATE("          ", "6382", " - ", "DISCOUNTS/MARK DOWNS")</f>
        <v xml:space="preserve">          6382 - DISCOUNTS/MARK DOWNS</v>
      </c>
      <c r="C77" s="11"/>
      <c r="D77" s="7"/>
      <c r="E77" s="2"/>
      <c r="F77" s="6">
        <f t="shared" si="33"/>
        <v>0</v>
      </c>
      <c r="G77" s="2"/>
      <c r="H77" s="7">
        <v>-3019.66</v>
      </c>
      <c r="I77" s="2"/>
      <c r="J77" s="6">
        <f t="shared" si="34"/>
        <v>-9.4268453902265278E-3</v>
      </c>
      <c r="K77" s="2"/>
      <c r="L77" s="7">
        <f t="shared" si="35"/>
        <v>3019.66</v>
      </c>
      <c r="M77" s="2"/>
      <c r="N77" s="6">
        <f t="shared" si="36"/>
        <v>-1</v>
      </c>
      <c r="O77" s="11"/>
      <c r="P77" s="7"/>
      <c r="Q77" s="2"/>
      <c r="R77" s="6">
        <f t="shared" si="37"/>
        <v>0</v>
      </c>
      <c r="S77" s="2"/>
      <c r="T77" s="7">
        <v>66999.509999999995</v>
      </c>
      <c r="U77" s="2"/>
      <c r="V77" s="6">
        <f t="shared" si="38"/>
        <v>5.6199246676301919E-2</v>
      </c>
      <c r="W77" s="2"/>
      <c r="X77" s="7">
        <f t="shared" si="39"/>
        <v>-66999.509999999995</v>
      </c>
      <c r="Y77" s="2"/>
      <c r="Z77" s="6">
        <f t="shared" si="40"/>
        <v>-1</v>
      </c>
    </row>
    <row r="78" spans="1:26" s="27" customFormat="1" outlineLevel="1" collapsed="1" x14ac:dyDescent="0.25">
      <c r="A78" s="29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SUM(OSRRefD22_5x_0)</f>
        <v>87.509999999999991</v>
      </c>
      <c r="E78" s="1"/>
      <c r="F78" s="5">
        <f t="shared" si="33"/>
        <v>3.319216705821362E-4</v>
      </c>
      <c r="G78" s="1"/>
      <c r="H78" s="1">
        <f>SUM(OSRRefH22_5x_0)</f>
        <v>5.49</v>
      </c>
      <c r="I78" s="1"/>
      <c r="J78" s="5">
        <f t="shared" si="34"/>
        <v>1.7138810724499992E-5</v>
      </c>
      <c r="K78" s="1"/>
      <c r="L78" s="1">
        <f t="shared" si="35"/>
        <v>82.02</v>
      </c>
      <c r="M78" s="1"/>
      <c r="N78" s="5">
        <f t="shared" si="36"/>
        <v>14.939890710382512</v>
      </c>
      <c r="O78" s="14"/>
      <c r="P78" s="1">
        <f>SUM(OSRRefP22_5x_0)</f>
        <v>277.26000000000005</v>
      </c>
      <c r="Q78" s="1"/>
      <c r="R78" s="5">
        <f t="shared" si="37"/>
        <v>2.878276706410576E-4</v>
      </c>
      <c r="S78" s="1"/>
      <c r="T78" s="1">
        <f>SUM(OSRRefT22_5x_0)</f>
        <v>5.49</v>
      </c>
      <c r="U78" s="1"/>
      <c r="V78" s="5">
        <f t="shared" si="38"/>
        <v>4.6050167270312506E-6</v>
      </c>
      <c r="W78" s="1"/>
      <c r="X78" s="1">
        <f t="shared" si="39"/>
        <v>271.77000000000004</v>
      </c>
      <c r="Y78" s="1"/>
      <c r="Z78" s="5">
        <f t="shared" si="40"/>
        <v>49.502732240437162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7">
        <v>83.71</v>
      </c>
      <c r="E79" s="2"/>
      <c r="F79" s="6">
        <f t="shared" si="33"/>
        <v>3.1750843382962661E-4</v>
      </c>
      <c r="G79" s="2"/>
      <c r="H79" s="7">
        <v>5.49</v>
      </c>
      <c r="I79" s="2"/>
      <c r="J79" s="6">
        <f t="shared" si="34"/>
        <v>1.7138810724499992E-5</v>
      </c>
      <c r="K79" s="2"/>
      <c r="L79" s="7">
        <f t="shared" si="35"/>
        <v>78.22</v>
      </c>
      <c r="M79" s="2"/>
      <c r="N79" s="6">
        <f t="shared" si="36"/>
        <v>14.247723132969034</v>
      </c>
      <c r="O79" s="11"/>
      <c r="P79" s="7">
        <v>264.66000000000003</v>
      </c>
      <c r="Q79" s="2"/>
      <c r="R79" s="6">
        <f t="shared" si="37"/>
        <v>2.7474742592462775E-4</v>
      </c>
      <c r="S79" s="2"/>
      <c r="T79" s="7">
        <v>5.49</v>
      </c>
      <c r="U79" s="2"/>
      <c r="V79" s="6">
        <f t="shared" si="38"/>
        <v>4.6050167270312506E-6</v>
      </c>
      <c r="W79" s="2"/>
      <c r="X79" s="7">
        <f t="shared" si="39"/>
        <v>259.17</v>
      </c>
      <c r="Y79" s="2"/>
      <c r="Z79" s="6">
        <f t="shared" si="40"/>
        <v>47.207650273224047</v>
      </c>
    </row>
    <row r="80" spans="1:26" s="24" customFormat="1" hidden="1" outlineLevel="2" x14ac:dyDescent="0.25">
      <c r="A80" s="28"/>
      <c r="B80" s="11" t="str">
        <f>CONCATENATE("          ", "6307", " - ", "POSTAGE")</f>
        <v xml:space="preserve">          6307 - POSTAGE</v>
      </c>
      <c r="C80" s="11"/>
      <c r="D80" s="7">
        <v>3.8</v>
      </c>
      <c r="E80" s="2"/>
      <c r="F80" s="6">
        <f t="shared" si="33"/>
        <v>1.441323675250963E-5</v>
      </c>
      <c r="G80" s="2"/>
      <c r="H80" s="7"/>
      <c r="I80" s="2"/>
      <c r="J80" s="6">
        <f t="shared" si="34"/>
        <v>0</v>
      </c>
      <c r="K80" s="2"/>
      <c r="L80" s="7">
        <f t="shared" si="35"/>
        <v>3.8</v>
      </c>
      <c r="M80" s="2"/>
      <c r="N80" s="6">
        <f t="shared" si="36"/>
        <v>0</v>
      </c>
      <c r="O80" s="11"/>
      <c r="P80" s="7">
        <v>12.6</v>
      </c>
      <c r="Q80" s="2"/>
      <c r="R80" s="6">
        <f t="shared" si="37"/>
        <v>1.3080244716429795E-5</v>
      </c>
      <c r="S80" s="2"/>
      <c r="T80" s="7"/>
      <c r="U80" s="2"/>
      <c r="V80" s="6">
        <f t="shared" si="38"/>
        <v>0</v>
      </c>
      <c r="W80" s="2"/>
      <c r="X80" s="7">
        <f t="shared" si="39"/>
        <v>12.6</v>
      </c>
      <c r="Y80" s="2"/>
      <c r="Z80" s="6">
        <f t="shared" si="40"/>
        <v>0</v>
      </c>
    </row>
    <row r="81" spans="1:26" s="27" customFormat="1" outlineLevel="1" collapsed="1" x14ac:dyDescent="0.25">
      <c r="A81" s="29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SUM(OSRRefD22_6x_0)</f>
        <v>0</v>
      </c>
      <c r="E81" s="1"/>
      <c r="F81" s="5">
        <f t="shared" ref="F81:F90" si="41">IF(D$12=0,0,D81/D$12)</f>
        <v>0</v>
      </c>
      <c r="G81" s="1"/>
      <c r="H81" s="1">
        <f>SUM(OSRRefH22_6x_0)</f>
        <v>0</v>
      </c>
      <c r="I81" s="1"/>
      <c r="J81" s="5">
        <f t="shared" ref="J81:J90" si="42">IF(H$12=0,0,H81/H$12)</f>
        <v>0</v>
      </c>
      <c r="K81" s="1"/>
      <c r="L81" s="1">
        <f t="shared" ref="L81:L90" si="43">+D81-H81</f>
        <v>0</v>
      </c>
      <c r="M81" s="1"/>
      <c r="N81" s="5">
        <f t="shared" ref="N81:N90" si="44">IF(H81=0,0,L81/H81)</f>
        <v>0</v>
      </c>
      <c r="O81" s="14"/>
      <c r="P81" s="1">
        <f>SUM(OSRRefP22_6x_0)</f>
        <v>-30.15</v>
      </c>
      <c r="Q81" s="1"/>
      <c r="R81" s="5">
        <f t="shared" ref="R81:R90" si="45">IF(P$12=0,0,P81/P$12)</f>
        <v>-3.1299157000028436E-5</v>
      </c>
      <c r="S81" s="1"/>
      <c r="T81" s="1">
        <f>SUM(OSRRefT22_6x_0)</f>
        <v>0</v>
      </c>
      <c r="U81" s="1"/>
      <c r="V81" s="5">
        <f t="shared" ref="V81:V90" si="46">IF(T$12=0,0,T81/T$12)</f>
        <v>0</v>
      </c>
      <c r="W81" s="1"/>
      <c r="X81" s="1">
        <f t="shared" ref="X81:X90" si="47">+P81-T81</f>
        <v>-30.15</v>
      </c>
      <c r="Y81" s="1"/>
      <c r="Z81" s="5">
        <f t="shared" ref="Z81:Z90" si="48">IF(T81=0,0,X81/T81)</f>
        <v>0</v>
      </c>
    </row>
    <row r="82" spans="1:26" s="24" customFormat="1" hidden="1" outlineLevel="2" x14ac:dyDescent="0.25">
      <c r="A82" s="28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41"/>
        <v>0</v>
      </c>
      <c r="G82" s="2"/>
      <c r="H82" s="7"/>
      <c r="I82" s="2"/>
      <c r="J82" s="6">
        <f t="shared" si="42"/>
        <v>0</v>
      </c>
      <c r="K82" s="2"/>
      <c r="L82" s="7">
        <f t="shared" si="43"/>
        <v>0</v>
      </c>
      <c r="M82" s="2"/>
      <c r="N82" s="6">
        <f t="shared" si="44"/>
        <v>0</v>
      </c>
      <c r="O82" s="11"/>
      <c r="P82" s="7">
        <v>-30.15</v>
      </c>
      <c r="Q82" s="2"/>
      <c r="R82" s="6">
        <f t="shared" si="45"/>
        <v>-3.1299157000028436E-5</v>
      </c>
      <c r="S82" s="2"/>
      <c r="T82" s="7"/>
      <c r="U82" s="2"/>
      <c r="V82" s="6">
        <f t="shared" si="46"/>
        <v>0</v>
      </c>
      <c r="W82" s="2"/>
      <c r="X82" s="7">
        <f t="shared" si="47"/>
        <v>-30.15</v>
      </c>
      <c r="Y82" s="2"/>
      <c r="Z82" s="6">
        <f t="shared" si="48"/>
        <v>0</v>
      </c>
    </row>
    <row r="83" spans="1:26" s="27" customFormat="1" outlineLevel="1" collapsed="1" x14ac:dyDescent="0.25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SUM(OSRRefD22_7x_0)</f>
        <v>1250</v>
      </c>
      <c r="E83" s="1"/>
      <c r="F83" s="5">
        <f t="shared" si="41"/>
        <v>4.7411963001676412E-3</v>
      </c>
      <c r="G83" s="1"/>
      <c r="H83" s="1">
        <f>SUM(OSRRefH22_7x_0)</f>
        <v>0</v>
      </c>
      <c r="I83" s="1"/>
      <c r="J83" s="5">
        <f t="shared" si="42"/>
        <v>0</v>
      </c>
      <c r="K83" s="1"/>
      <c r="L83" s="1">
        <f t="shared" si="43"/>
        <v>1250</v>
      </c>
      <c r="M83" s="1"/>
      <c r="N83" s="5">
        <f t="shared" si="44"/>
        <v>0</v>
      </c>
      <c r="O83" s="14"/>
      <c r="P83" s="1">
        <f>SUM(OSRRefP22_7x_0)</f>
        <v>3750</v>
      </c>
      <c r="Q83" s="1"/>
      <c r="R83" s="5">
        <f t="shared" si="45"/>
        <v>3.8929299751279153E-3</v>
      </c>
      <c r="S83" s="1"/>
      <c r="T83" s="1">
        <f>SUM(OSRRefT22_7x_0)</f>
        <v>0</v>
      </c>
      <c r="U83" s="1"/>
      <c r="V83" s="5">
        <f t="shared" si="46"/>
        <v>0</v>
      </c>
      <c r="W83" s="1"/>
      <c r="X83" s="1">
        <f t="shared" si="47"/>
        <v>3750</v>
      </c>
      <c r="Y83" s="1"/>
      <c r="Z83" s="5">
        <f t="shared" si="48"/>
        <v>0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7">
        <v>1250</v>
      </c>
      <c r="E84" s="2"/>
      <c r="F84" s="6">
        <f t="shared" si="41"/>
        <v>4.7411963001676412E-3</v>
      </c>
      <c r="G84" s="2"/>
      <c r="H84" s="7"/>
      <c r="I84" s="2"/>
      <c r="J84" s="6">
        <f t="shared" si="42"/>
        <v>0</v>
      </c>
      <c r="K84" s="2"/>
      <c r="L84" s="7">
        <f t="shared" si="43"/>
        <v>1250</v>
      </c>
      <c r="M84" s="2"/>
      <c r="N84" s="6">
        <f t="shared" si="44"/>
        <v>0</v>
      </c>
      <c r="O84" s="11"/>
      <c r="P84" s="7">
        <v>3750</v>
      </c>
      <c r="Q84" s="2"/>
      <c r="R84" s="6">
        <f t="shared" si="45"/>
        <v>3.8929299751279153E-3</v>
      </c>
      <c r="S84" s="2"/>
      <c r="T84" s="7"/>
      <c r="U84" s="2"/>
      <c r="V84" s="6">
        <f t="shared" si="46"/>
        <v>0</v>
      </c>
      <c r="W84" s="2"/>
      <c r="X84" s="7">
        <f t="shared" si="47"/>
        <v>3750</v>
      </c>
      <c r="Y84" s="2"/>
      <c r="Z84" s="6">
        <f t="shared" si="48"/>
        <v>0</v>
      </c>
    </row>
    <row r="85" spans="1:26" s="27" customFormat="1" outlineLevel="1" collapsed="1" x14ac:dyDescent="0.25">
      <c r="A85" s="29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SUM(OSRRefD22_8x_0)</f>
        <v>0</v>
      </c>
      <c r="E85" s="1"/>
      <c r="F85" s="5">
        <f t="shared" si="41"/>
        <v>0</v>
      </c>
      <c r="G85" s="1"/>
      <c r="H85" s="1">
        <f>SUM(OSRRefH22_8x_0)</f>
        <v>0</v>
      </c>
      <c r="I85" s="1"/>
      <c r="J85" s="5">
        <f t="shared" si="42"/>
        <v>0</v>
      </c>
      <c r="K85" s="1"/>
      <c r="L85" s="1">
        <f t="shared" si="43"/>
        <v>0</v>
      </c>
      <c r="M85" s="1"/>
      <c r="N85" s="5">
        <f t="shared" si="44"/>
        <v>0</v>
      </c>
      <c r="O85" s="14"/>
      <c r="P85" s="1">
        <f>SUM(OSRRefP22_8x_0)</f>
        <v>0</v>
      </c>
      <c r="Q85" s="1"/>
      <c r="R85" s="5">
        <f t="shared" si="45"/>
        <v>0</v>
      </c>
      <c r="S85" s="1"/>
      <c r="T85" s="1">
        <f>SUM(OSRRefT22_8x_0)</f>
        <v>-5000</v>
      </c>
      <c r="U85" s="1"/>
      <c r="V85" s="5">
        <f t="shared" si="46"/>
        <v>-4.194004305128644E-3</v>
      </c>
      <c r="W85" s="1"/>
      <c r="X85" s="1">
        <f t="shared" si="47"/>
        <v>5000</v>
      </c>
      <c r="Y85" s="1"/>
      <c r="Z85" s="5">
        <f t="shared" si="48"/>
        <v>-1</v>
      </c>
    </row>
    <row r="86" spans="1:26" s="24" customFormat="1" hidden="1" outlineLevel="2" x14ac:dyDescent="0.25">
      <c r="A86" s="28"/>
      <c r="B86" s="11" t="str">
        <f>CONCATENATE("          ", "6258", " - ", "MEMBERSHIP DUES")</f>
        <v xml:space="preserve">          6258 - MEMBERSHIP DUES</v>
      </c>
      <c r="C86" s="11"/>
      <c r="D86" s="7"/>
      <c r="E86" s="2"/>
      <c r="F86" s="6">
        <f t="shared" si="41"/>
        <v>0</v>
      </c>
      <c r="G86" s="2"/>
      <c r="H86" s="7"/>
      <c r="I86" s="2"/>
      <c r="J86" s="6">
        <f t="shared" si="42"/>
        <v>0</v>
      </c>
      <c r="K86" s="2"/>
      <c r="L86" s="7">
        <f t="shared" si="43"/>
        <v>0</v>
      </c>
      <c r="M86" s="2"/>
      <c r="N86" s="6">
        <f t="shared" si="44"/>
        <v>0</v>
      </c>
      <c r="O86" s="11"/>
      <c r="P86" s="7"/>
      <c r="Q86" s="2"/>
      <c r="R86" s="6">
        <f t="shared" si="45"/>
        <v>0</v>
      </c>
      <c r="S86" s="2"/>
      <c r="T86" s="7">
        <v>-5000</v>
      </c>
      <c r="U86" s="2"/>
      <c r="V86" s="6">
        <f t="shared" si="46"/>
        <v>-4.194004305128644E-3</v>
      </c>
      <c r="W86" s="2"/>
      <c r="X86" s="7">
        <f t="shared" si="47"/>
        <v>5000</v>
      </c>
      <c r="Y86" s="2"/>
      <c r="Z86" s="6">
        <f t="shared" si="48"/>
        <v>-1</v>
      </c>
    </row>
    <row r="87" spans="1:26" s="27" customFormat="1" outlineLevel="1" collapsed="1" x14ac:dyDescent="0.25">
      <c r="A87" s="29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SUM(OSRRefD22_9x_0)</f>
        <v>39.36</v>
      </c>
      <c r="E87" s="1"/>
      <c r="F87" s="5">
        <f t="shared" si="41"/>
        <v>1.492907890996787E-4</v>
      </c>
      <c r="G87" s="1"/>
      <c r="H87" s="1">
        <f>SUM(OSRRefH22_9x_0)</f>
        <v>600.75</v>
      </c>
      <c r="I87" s="1"/>
      <c r="J87" s="5">
        <f t="shared" si="42"/>
        <v>1.8754354358366792E-3</v>
      </c>
      <c r="K87" s="1"/>
      <c r="L87" s="1">
        <f t="shared" si="43"/>
        <v>-561.39</v>
      </c>
      <c r="M87" s="1"/>
      <c r="N87" s="5">
        <f t="shared" si="44"/>
        <v>-0.93448189762796507</v>
      </c>
      <c r="O87" s="14"/>
      <c r="P87" s="1">
        <f>SUM(OSRRefP22_9x_0)</f>
        <v>1494.9099999999999</v>
      </c>
      <c r="Q87" s="1"/>
      <c r="R87" s="5">
        <f t="shared" si="45"/>
        <v>1.5518879864315923E-3</v>
      </c>
      <c r="S87" s="1"/>
      <c r="T87" s="1">
        <f>SUM(OSRRefT22_9x_0)</f>
        <v>1364.19</v>
      </c>
      <c r="U87" s="1"/>
      <c r="V87" s="5">
        <f t="shared" si="46"/>
        <v>1.144283746602689E-3</v>
      </c>
      <c r="W87" s="1"/>
      <c r="X87" s="1">
        <f t="shared" si="47"/>
        <v>130.7199999999998</v>
      </c>
      <c r="Y87" s="1"/>
      <c r="Z87" s="5">
        <f t="shared" si="48"/>
        <v>9.5822429426985822E-2</v>
      </c>
    </row>
    <row r="88" spans="1:26" s="24" customFormat="1" hidden="1" outlineLevel="2" x14ac:dyDescent="0.25">
      <c r="A88" s="28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>
        <v>668.12</v>
      </c>
      <c r="Q88" s="2"/>
      <c r="R88" s="6">
        <f t="shared" si="45"/>
        <v>6.9358516666199002E-4</v>
      </c>
      <c r="S88" s="2"/>
      <c r="T88" s="7"/>
      <c r="U88" s="2"/>
      <c r="V88" s="6">
        <f t="shared" si="46"/>
        <v>0</v>
      </c>
      <c r="W88" s="2"/>
      <c r="X88" s="7">
        <f t="shared" si="47"/>
        <v>668.12</v>
      </c>
      <c r="Y88" s="2"/>
      <c r="Z88" s="6">
        <f t="shared" si="48"/>
        <v>0</v>
      </c>
    </row>
    <row r="89" spans="1:26" s="24" customFormat="1" hidden="1" outlineLevel="2" x14ac:dyDescent="0.25">
      <c r="A89" s="28"/>
      <c r="B89" s="11" t="str">
        <f>CONCATENATE("          ", "6241", " - ", "OFFICE EXPENSE")</f>
        <v xml:space="preserve">          6241 - OFFICE EXPENSE</v>
      </c>
      <c r="C89" s="11"/>
      <c r="D89" s="7">
        <v>39.36</v>
      </c>
      <c r="E89" s="2"/>
      <c r="F89" s="6">
        <f t="shared" si="41"/>
        <v>1.492907890996787E-4</v>
      </c>
      <c r="G89" s="2"/>
      <c r="H89" s="7">
        <v>242.54</v>
      </c>
      <c r="I89" s="2"/>
      <c r="J89" s="6">
        <f t="shared" si="42"/>
        <v>7.5716705885614348E-4</v>
      </c>
      <c r="K89" s="2"/>
      <c r="L89" s="7">
        <f t="shared" si="43"/>
        <v>-203.18</v>
      </c>
      <c r="M89" s="2"/>
      <c r="N89" s="6">
        <f t="shared" si="44"/>
        <v>-0.83771748989857353</v>
      </c>
      <c r="O89" s="11"/>
      <c r="P89" s="7">
        <v>826.79</v>
      </c>
      <c r="Q89" s="2"/>
      <c r="R89" s="6">
        <f t="shared" si="45"/>
        <v>8.5830281976960238E-4</v>
      </c>
      <c r="S89" s="2"/>
      <c r="T89" s="7">
        <v>423.54</v>
      </c>
      <c r="U89" s="2"/>
      <c r="V89" s="6">
        <f t="shared" si="46"/>
        <v>3.5526571667883716E-4</v>
      </c>
      <c r="W89" s="2"/>
      <c r="X89" s="7">
        <f t="shared" si="47"/>
        <v>403.24999999999994</v>
      </c>
      <c r="Y89" s="2"/>
      <c r="Z89" s="6">
        <f t="shared" si="48"/>
        <v>0.95209425319922536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7"/>
      <c r="E90" s="2"/>
      <c r="F90" s="6">
        <f t="shared" si="41"/>
        <v>0</v>
      </c>
      <c r="G90" s="2"/>
      <c r="H90" s="7">
        <v>358.21</v>
      </c>
      <c r="I90" s="2"/>
      <c r="J90" s="6">
        <f t="shared" si="42"/>
        <v>1.1182683769805357E-3</v>
      </c>
      <c r="K90" s="2"/>
      <c r="L90" s="7">
        <f t="shared" si="43"/>
        <v>-358.21</v>
      </c>
      <c r="M90" s="2"/>
      <c r="N90" s="6">
        <f t="shared" si="44"/>
        <v>-1</v>
      </c>
      <c r="O90" s="11"/>
      <c r="P90" s="7"/>
      <c r="Q90" s="2"/>
      <c r="R90" s="6">
        <f t="shared" si="45"/>
        <v>0</v>
      </c>
      <c r="S90" s="2"/>
      <c r="T90" s="7">
        <v>940.65</v>
      </c>
      <c r="U90" s="2"/>
      <c r="V90" s="6">
        <f t="shared" si="46"/>
        <v>7.8901802992385175E-4</v>
      </c>
      <c r="W90" s="2"/>
      <c r="X90" s="7">
        <f t="shared" si="47"/>
        <v>-940.65</v>
      </c>
      <c r="Y90" s="2"/>
      <c r="Z90" s="6">
        <f t="shared" si="48"/>
        <v>-1</v>
      </c>
    </row>
    <row r="91" spans="1:26" s="27" customFormat="1" outlineLevel="1" collapsed="1" x14ac:dyDescent="0.25">
      <c r="A91" s="29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SUM(OSRRefD22_10x_0)</f>
        <v>300</v>
      </c>
      <c r="E91" s="1"/>
      <c r="F91" s="5">
        <f t="shared" ref="F91:F92" si="49">IF(D$12=0,0,D91/D$12)</f>
        <v>1.137887112040234E-3</v>
      </c>
      <c r="G91" s="1"/>
      <c r="H91" s="1">
        <f>SUM(OSRRefH22_10x_0)</f>
        <v>330</v>
      </c>
      <c r="I91" s="1"/>
      <c r="J91" s="5">
        <f t="shared" ref="J91:J92" si="50">IF(H$12=0,0,H91/H$12)</f>
        <v>1.0302017375382509E-3</v>
      </c>
      <c r="K91" s="1"/>
      <c r="L91" s="1">
        <f t="shared" ref="L91:L92" si="51">+D91-H91</f>
        <v>-30</v>
      </c>
      <c r="M91" s="1"/>
      <c r="N91" s="5">
        <f t="shared" ref="N91:N92" si="52">IF(H91=0,0,L91/H91)</f>
        <v>-9.0909090909090912E-2</v>
      </c>
      <c r="O91" s="14"/>
      <c r="P91" s="1">
        <f>SUM(OSRRefP22_10x_0)</f>
        <v>911.55</v>
      </c>
      <c r="Q91" s="1"/>
      <c r="R91" s="5">
        <f t="shared" ref="R91:R92" si="53">IF(P$12=0,0,P91/P$12)</f>
        <v>9.4629341835409362E-4</v>
      </c>
      <c r="S91" s="1"/>
      <c r="T91" s="1">
        <f>SUM(OSRRefT22_10x_0)</f>
        <v>761.3</v>
      </c>
      <c r="U91" s="1"/>
      <c r="V91" s="5">
        <f t="shared" ref="V91:V92" si="54">IF(T$12=0,0,T91/T$12)</f>
        <v>6.3857909549888724E-4</v>
      </c>
      <c r="W91" s="1"/>
      <c r="X91" s="1">
        <f t="shared" ref="X91:X92" si="55">+P91-T91</f>
        <v>150.25</v>
      </c>
      <c r="Y91" s="1"/>
      <c r="Z91" s="5">
        <f t="shared" ref="Z91:Z92" si="56">IF(T91=0,0,X91/T91)</f>
        <v>0.19735977932483911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7">
        <v>300</v>
      </c>
      <c r="E92" s="2"/>
      <c r="F92" s="6">
        <f t="shared" si="49"/>
        <v>1.137887112040234E-3</v>
      </c>
      <c r="G92" s="2"/>
      <c r="H92" s="7">
        <v>330</v>
      </c>
      <c r="I92" s="2"/>
      <c r="J92" s="6">
        <f t="shared" si="50"/>
        <v>1.0302017375382509E-3</v>
      </c>
      <c r="K92" s="2"/>
      <c r="L92" s="7">
        <f t="shared" si="51"/>
        <v>-30</v>
      </c>
      <c r="M92" s="2"/>
      <c r="N92" s="6">
        <f t="shared" si="52"/>
        <v>-9.0909090909090912E-2</v>
      </c>
      <c r="O92" s="11"/>
      <c r="P92" s="7">
        <v>911.55</v>
      </c>
      <c r="Q92" s="2"/>
      <c r="R92" s="6">
        <f t="shared" si="53"/>
        <v>9.4629341835409362E-4</v>
      </c>
      <c r="S92" s="2"/>
      <c r="T92" s="7">
        <v>761.3</v>
      </c>
      <c r="U92" s="2"/>
      <c r="V92" s="6">
        <f t="shared" si="54"/>
        <v>6.3857909549888724E-4</v>
      </c>
      <c r="W92" s="2"/>
      <c r="X92" s="7">
        <f t="shared" si="55"/>
        <v>150.25</v>
      </c>
      <c r="Y92" s="2"/>
      <c r="Z92" s="6">
        <f t="shared" si="56"/>
        <v>0.19735977932483911</v>
      </c>
    </row>
    <row r="93" spans="1:26" s="60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6" t="s">
        <v>0</v>
      </c>
      <c r="C94" s="10"/>
      <c r="D94" s="4">
        <f>SUM(OSRRefD25x_0)</f>
        <v>281.44</v>
      </c>
      <c r="E94" s="4"/>
      <c r="F94" s="12">
        <f t="shared" ref="F94:F97" si="57">IF(D$12=0,0,D94/D$12)</f>
        <v>1.0674898293753449E-3</v>
      </c>
      <c r="G94" s="4"/>
      <c r="H94" s="4">
        <f>SUM(OSRRefH25x_0)</f>
        <v>5155.6499999999996</v>
      </c>
      <c r="I94" s="4"/>
      <c r="J94" s="12">
        <f t="shared" ref="J94:J97" si="58">IF(H$12=0,0,H94/H$12)</f>
        <v>1.6095029054966917E-2</v>
      </c>
      <c r="K94" s="4"/>
      <c r="L94" s="4">
        <f t="shared" ref="L94:L97" si="59">+D94-H94</f>
        <v>-4874.21</v>
      </c>
      <c r="M94" s="4"/>
      <c r="N94" s="12">
        <f t="shared" ref="N94:N97" si="60">IF(H94=0,0,L94/H94)</f>
        <v>-0.94541134483527789</v>
      </c>
      <c r="O94" s="10"/>
      <c r="P94" s="4">
        <f>SUM(OSRRefP25x_0)</f>
        <v>-232.72000000000003</v>
      </c>
      <c r="Q94" s="4"/>
      <c r="R94" s="12">
        <f t="shared" ref="R94:R97" si="61">IF(P$12=0,0,P94/P$12)</f>
        <v>-2.4159004368313827E-4</v>
      </c>
      <c r="S94" s="4"/>
      <c r="T94" s="4">
        <f>SUM(OSRRefT25x_0)</f>
        <v>2146.1100000000006</v>
      </c>
      <c r="U94" s="4"/>
      <c r="V94" s="12">
        <f t="shared" ref="V94:V97" si="62">IF(T$12=0,0,T94/T$12)</f>
        <v>1.8001589158559272E-3</v>
      </c>
      <c r="W94" s="4"/>
      <c r="X94" s="4">
        <f t="shared" ref="X94:X97" si="63">+P94-T94</f>
        <v>-2378.8300000000008</v>
      </c>
      <c r="Y94" s="4"/>
      <c r="Z94" s="12">
        <f t="shared" ref="Z94:Z97" si="64">IF(T94=0,0,X94/T94)</f>
        <v>-1.1084380576950856</v>
      </c>
    </row>
    <row r="95" spans="1:26" s="24" customFormat="1" hidden="1" outlineLevel="1" x14ac:dyDescent="0.25">
      <c r="A95" s="44"/>
      <c r="B95" s="11" t="str">
        <f>CONCATENATE("          ", "4187", " - ", "NON-TAXABLE SALES-COMPUTER REP")</f>
        <v xml:space="preserve">          4187 - NON-TAXABLE SALES-COMPUTER REP</v>
      </c>
      <c r="C95" s="11"/>
      <c r="D95" s="2">
        <f>--125.14</f>
        <v>125.14</v>
      </c>
      <c r="E95" s="2"/>
      <c r="F95" s="19">
        <f t="shared" si="57"/>
        <v>4.7465064400238291E-4</v>
      </c>
      <c r="G95" s="2"/>
      <c r="H95" s="2">
        <f>--4892.54</f>
        <v>4892.54</v>
      </c>
      <c r="I95" s="2"/>
      <c r="J95" s="19">
        <f t="shared" si="58"/>
        <v>1.5273646087804222E-2</v>
      </c>
      <c r="K95" s="2"/>
      <c r="L95" s="2">
        <f t="shared" si="59"/>
        <v>-4767.3999999999996</v>
      </c>
      <c r="M95" s="2"/>
      <c r="N95" s="19">
        <f t="shared" si="60"/>
        <v>-0.97442228372174777</v>
      </c>
      <c r="O95" s="11"/>
      <c r="P95" s="2">
        <f>--145.13</f>
        <v>145.13</v>
      </c>
      <c r="Q95" s="2"/>
      <c r="R95" s="19">
        <f t="shared" si="61"/>
        <v>1.5066158061075049E-4</v>
      </c>
      <c r="S95" s="2"/>
      <c r="T95" s="2">
        <f>--7374.8</f>
        <v>7374.8</v>
      </c>
      <c r="U95" s="2"/>
      <c r="V95" s="19">
        <f t="shared" si="62"/>
        <v>6.1859885898925444E-3</v>
      </c>
      <c r="W95" s="2"/>
      <c r="X95" s="2">
        <f t="shared" si="63"/>
        <v>-7229.67</v>
      </c>
      <c r="Y95" s="2"/>
      <c r="Z95" s="19">
        <f t="shared" si="64"/>
        <v>-0.98032082225958672</v>
      </c>
    </row>
    <row r="96" spans="1:26" s="24" customFormat="1" hidden="1" outlineLevel="1" x14ac:dyDescent="0.25">
      <c r="A96" s="44"/>
      <c r="B96" s="11" t="str">
        <f>CONCATENATE("          ", "4387", " - ", "SALES RETURN NON TAXABLE-COMPU")</f>
        <v xml:space="preserve">          4387 - SALES RETURN NON TAXABLE-COMPU</v>
      </c>
      <c r="C96" s="11"/>
      <c r="D96" s="2">
        <f>0</f>
        <v>0</v>
      </c>
      <c r="E96" s="2"/>
      <c r="F96" s="19">
        <f t="shared" si="57"/>
        <v>0</v>
      </c>
      <c r="G96" s="2"/>
      <c r="H96" s="2">
        <f>-2989.2</f>
        <v>-2989.2</v>
      </c>
      <c r="I96" s="2"/>
      <c r="J96" s="19">
        <f t="shared" si="58"/>
        <v>-9.3317546480283006E-3</v>
      </c>
      <c r="K96" s="2"/>
      <c r="L96" s="2">
        <f t="shared" si="59"/>
        <v>2989.2</v>
      </c>
      <c r="M96" s="2"/>
      <c r="N96" s="19">
        <f t="shared" si="60"/>
        <v>-1</v>
      </c>
      <c r="O96" s="11"/>
      <c r="P96" s="2">
        <f>0</f>
        <v>0</v>
      </c>
      <c r="Q96" s="2"/>
      <c r="R96" s="19">
        <f t="shared" si="61"/>
        <v>0</v>
      </c>
      <c r="S96" s="2"/>
      <c r="T96" s="2">
        <f>-6440.7</f>
        <v>-6440.7</v>
      </c>
      <c r="U96" s="2"/>
      <c r="V96" s="19">
        <f t="shared" si="62"/>
        <v>-5.4024647056084112E-3</v>
      </c>
      <c r="W96" s="2"/>
      <c r="X96" s="2">
        <f t="shared" si="63"/>
        <v>6440.7</v>
      </c>
      <c r="Y96" s="2"/>
      <c r="Z96" s="19">
        <f t="shared" si="64"/>
        <v>-1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--156.3</f>
        <v>156.30000000000001</v>
      </c>
      <c r="E97" s="2"/>
      <c r="F97" s="19">
        <f t="shared" si="57"/>
        <v>5.9283918537296194E-4</v>
      </c>
      <c r="G97" s="2"/>
      <c r="H97" s="2">
        <f>--3252.31</f>
        <v>3252.31</v>
      </c>
      <c r="I97" s="2"/>
      <c r="J97" s="19">
        <f t="shared" si="58"/>
        <v>1.0153137615190995E-2</v>
      </c>
      <c r="K97" s="2"/>
      <c r="L97" s="2">
        <f t="shared" si="59"/>
        <v>-3096.0099999999998</v>
      </c>
      <c r="M97" s="2"/>
      <c r="N97" s="19">
        <f t="shared" si="60"/>
        <v>-0.95194185056160074</v>
      </c>
      <c r="O97" s="11"/>
      <c r="P97" s="2">
        <f>-377.85</f>
        <v>-377.85</v>
      </c>
      <c r="Q97" s="2"/>
      <c r="R97" s="19">
        <f t="shared" si="61"/>
        <v>-3.9225162429388876E-4</v>
      </c>
      <c r="S97" s="2"/>
      <c r="T97" s="2">
        <f>--1212.01</f>
        <v>1212.01</v>
      </c>
      <c r="U97" s="2"/>
      <c r="V97" s="19">
        <f t="shared" si="62"/>
        <v>1.0166350315717935E-3</v>
      </c>
      <c r="W97" s="2"/>
      <c r="X97" s="2">
        <f t="shared" si="63"/>
        <v>-1589.8600000000001</v>
      </c>
      <c r="Y97" s="2"/>
      <c r="Z97" s="19">
        <f t="shared" si="64"/>
        <v>-1.3117548535078094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5" t="s">
        <v>3</v>
      </c>
      <c r="C99" s="25"/>
      <c r="D99" s="22">
        <f>+D53-D55+D94</f>
        <v>-10530.249999999935</v>
      </c>
      <c r="E99" s="13"/>
      <c r="F99" s="21">
        <f>IF(D$12=0,0,D99/D$12)</f>
        <v>-3.9940785871871998E-2</v>
      </c>
      <c r="G99" s="13"/>
      <c r="H99" s="22">
        <f>+H53-H55+H94</f>
        <v>34417.529999999912</v>
      </c>
      <c r="I99" s="13"/>
      <c r="J99" s="21">
        <f>IF(H$12=0,0,H99/H$12)</f>
        <v>0.10744545214477207</v>
      </c>
      <c r="K99" s="15"/>
      <c r="L99" s="22">
        <f>+D99-H99</f>
        <v>-44947.779999999846</v>
      </c>
      <c r="M99" s="15"/>
      <c r="N99" s="21">
        <f>IF(H99=0,0,L99/H99)</f>
        <v>-1.305956005558794</v>
      </c>
      <c r="O99" s="26"/>
      <c r="P99" s="22">
        <f>+P53-P55+P94</f>
        <v>-741.69000000014671</v>
      </c>
      <c r="Q99" s="13"/>
      <c r="R99" s="21">
        <f>IF(P$12=0,0,P99/P$12)</f>
        <v>-7.6995926220085192E-4</v>
      </c>
      <c r="S99" s="13"/>
      <c r="T99" s="22">
        <f>+T53-T55+T94</f>
        <v>15970.819999999716</v>
      </c>
      <c r="U99" s="13"/>
      <c r="V99" s="21">
        <f>IF(T$12=0,0,T99/T$12)</f>
        <v>1.3396337567286691E-2</v>
      </c>
      <c r="W99" s="15"/>
      <c r="X99" s="22">
        <f>+P99-T99</f>
        <v>-16712.509999999864</v>
      </c>
      <c r="Y99" s="15"/>
      <c r="Z99" s="21">
        <f>IF(T99=0,0,X99/T99)</f>
        <v>-1.0464403205345849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1"/>
      <c r="B101" s="10" t="s">
        <v>13</v>
      </c>
      <c r="C101" s="10"/>
      <c r="D101" s="4">
        <v>60328.69</v>
      </c>
      <c r="E101" s="4"/>
      <c r="F101" s="12">
        <f>IF(D$12=0,0,D101/D$12)</f>
        <v>0.22882412945756847</v>
      </c>
      <c r="G101" s="4"/>
      <c r="H101" s="4">
        <v>19351.62</v>
      </c>
      <c r="I101" s="4"/>
      <c r="J101" s="12">
        <f>IF(H$12=0,0,H101/H$12)</f>
        <v>6.0412341055090794E-2</v>
      </c>
      <c r="K101" s="4"/>
      <c r="L101" s="4">
        <f>+D101-H101</f>
        <v>40977.070000000007</v>
      </c>
      <c r="M101" s="4"/>
      <c r="N101" s="12">
        <f>IF(H101=0,0,L101/H101)</f>
        <v>2.1175007570425635</v>
      </c>
      <c r="O101" s="10"/>
      <c r="P101" s="4">
        <v>178453.3</v>
      </c>
      <c r="Q101" s="4"/>
      <c r="R101" s="12">
        <f>IF(P$12=0,0,P101/P$12)</f>
        <v>0.18525498686146516</v>
      </c>
      <c r="S101" s="4"/>
      <c r="T101" s="4">
        <v>128055.71999999999</v>
      </c>
      <c r="U101" s="4"/>
      <c r="V101" s="12">
        <f>IF(T$12=0,0,T101/T$12)</f>
        <v>0.10741324819526962</v>
      </c>
      <c r="W101" s="4"/>
      <c r="X101" s="4">
        <f>+P101-T101</f>
        <v>50397.58</v>
      </c>
      <c r="Y101" s="4"/>
      <c r="Z101" s="12">
        <f>IF(T101=0,0,X101/T101)</f>
        <v>0.39355977226163741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4</v>
      </c>
      <c r="C103" s="25"/>
      <c r="D103" s="33">
        <f>+D99-D101</f>
        <v>-70858.939999999944</v>
      </c>
      <c r="E103" s="13"/>
      <c r="F103" s="32">
        <f>IF(D$12=0,0,D103/D$12)</f>
        <v>-0.26876491532944052</v>
      </c>
      <c r="G103" s="13"/>
      <c r="H103" s="33">
        <f>+H99-H101</f>
        <v>15065.909999999913</v>
      </c>
      <c r="I103" s="13"/>
      <c r="J103" s="32">
        <f>IF(H$12=0,0,H103/H$12)</f>
        <v>4.7033111089681265E-2</v>
      </c>
      <c r="K103" s="15"/>
      <c r="L103" s="33">
        <f>D103-H103</f>
        <v>-85924.84999999986</v>
      </c>
      <c r="M103" s="15"/>
      <c r="N103" s="32">
        <f>IF(H103=0,0,L103/H103)</f>
        <v>-5.7032631948551638</v>
      </c>
      <c r="O103" s="26"/>
      <c r="P103" s="33">
        <f>+P99-P101</f>
        <v>-179194.99000000014</v>
      </c>
      <c r="Q103" s="13"/>
      <c r="R103" s="32">
        <f>IF(P$12=0,0,P103/P$12)</f>
        <v>-0.18602494612366602</v>
      </c>
      <c r="S103" s="13"/>
      <c r="T103" s="33">
        <f>+T99-T101</f>
        <v>-112084.90000000027</v>
      </c>
      <c r="U103" s="13"/>
      <c r="V103" s="32">
        <f>IF(T$12=0,0,T103/T$12)</f>
        <v>-9.4016910627982925E-2</v>
      </c>
      <c r="W103" s="15"/>
      <c r="X103" s="33">
        <f>P103-T103</f>
        <v>-67110.089999999866</v>
      </c>
      <c r="Y103" s="15"/>
      <c r="Z103" s="32">
        <f>IF(T103=0,0,X103/T103)</f>
        <v>0.59874336328978928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5</v>
      </c>
      <c r="C106" s="25"/>
      <c r="D106" s="34">
        <f>SUM(D103:D105)</f>
        <v>-70858.939999999944</v>
      </c>
      <c r="E106" s="13"/>
      <c r="F106" s="31">
        <f>IF(D$12=0,0,D106/D$12)</f>
        <v>-0.26876491532944052</v>
      </c>
      <c r="G106" s="13"/>
      <c r="H106" s="34">
        <f>SUM(H103:H105)</f>
        <v>15065.909999999913</v>
      </c>
      <c r="I106" s="13"/>
      <c r="J106" s="31">
        <f>IF(H$12=0,0,H106/H$12)</f>
        <v>4.7033111089681265E-2</v>
      </c>
      <c r="K106" s="15"/>
      <c r="L106" s="34">
        <f>+D106-H106</f>
        <v>-85924.84999999986</v>
      </c>
      <c r="M106" s="15"/>
      <c r="N106" s="31">
        <f>IF(H106=0,0,L106/H106)</f>
        <v>-5.7032631948551638</v>
      </c>
      <c r="O106" s="26"/>
      <c r="P106" s="34">
        <f>SUM(P103:P105)</f>
        <v>-179194.99000000014</v>
      </c>
      <c r="Q106" s="13"/>
      <c r="R106" s="31">
        <f>IF(P$12=0,0,P106/P$12)</f>
        <v>-0.18602494612366602</v>
      </c>
      <c r="S106" s="13"/>
      <c r="T106" s="34">
        <f>SUM(T103:T105)</f>
        <v>-112084.90000000027</v>
      </c>
      <c r="U106" s="13"/>
      <c r="V106" s="31">
        <f>IF(T$12=0,0,T106/T$12)</f>
        <v>-9.4016910627982925E-2</v>
      </c>
      <c r="W106" s="15"/>
      <c r="X106" s="34">
        <f>+P106-T106</f>
        <v>-67110.089999999866</v>
      </c>
      <c r="Y106" s="15"/>
      <c r="Z106" s="31">
        <f>IF(T106=0,0,X106/T106)</f>
        <v>0.59874336328978928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4">
        <v>44123.564933020833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9" t="s">
        <v>313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8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263646.53999999998</v>
      </c>
      <c r="E12" s="4"/>
      <c r="F12" s="12"/>
      <c r="G12" s="4"/>
      <c r="H12" s="4">
        <f>SUM(OSRRefH13x_0)</f>
        <v>320325.60999999993</v>
      </c>
      <c r="I12" s="4"/>
      <c r="J12" s="12"/>
      <c r="K12" s="4"/>
      <c r="L12" s="4">
        <f t="shared" ref="L12:L36" si="0">+D12-H12</f>
        <v>-56679.069999999949</v>
      </c>
      <c r="M12" s="4"/>
      <c r="N12" s="12">
        <f t="shared" ref="N12:N36" si="1">IF(H12=0,0,L12/H12)</f>
        <v>-0.17694204968500632</v>
      </c>
      <c r="O12" s="10"/>
      <c r="P12" s="4">
        <f>SUM(OSRRefP13x_0)</f>
        <v>963284.72999999986</v>
      </c>
      <c r="Q12" s="4"/>
      <c r="R12" s="12"/>
      <c r="S12" s="4"/>
      <c r="T12" s="4">
        <f>SUM(OSRRefT13x_0)</f>
        <v>1192178.0799999998</v>
      </c>
      <c r="U12" s="4"/>
      <c r="V12" s="12"/>
      <c r="W12" s="4"/>
      <c r="X12" s="4">
        <f t="shared" ref="X12:X36" si="2">+P12-T12</f>
        <v>-228893.34999999998</v>
      </c>
      <c r="Y12" s="4"/>
      <c r="Z12" s="12">
        <f t="shared" ref="Z12:Z36" si="3">IF(T12=0,0,X12/T12)</f>
        <v>-0.19199593906306348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-549.51</f>
        <v>-549.51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-549.51</v>
      </c>
      <c r="M13" s="2"/>
      <c r="N13" s="19">
        <f t="shared" si="1"/>
        <v>0</v>
      </c>
      <c r="O13" s="11"/>
      <c r="P13" s="2">
        <f>-1723.7</f>
        <v>-1723.7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-1723.7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--12167.65</f>
        <v>12167.65</v>
      </c>
      <c r="E14" s="2"/>
      <c r="F14" s="19"/>
      <c r="G14" s="2"/>
      <c r="H14" s="2">
        <f>--79257.39</f>
        <v>79257.39</v>
      </c>
      <c r="I14" s="2"/>
      <c r="J14" s="19"/>
      <c r="K14" s="2"/>
      <c r="L14" s="2">
        <f t="shared" si="0"/>
        <v>-67089.740000000005</v>
      </c>
      <c r="M14" s="2"/>
      <c r="N14" s="19">
        <f t="shared" si="1"/>
        <v>-0.84647929991133952</v>
      </c>
      <c r="O14" s="11"/>
      <c r="P14" s="2">
        <f>--50030.67</f>
        <v>50030.67</v>
      </c>
      <c r="Q14" s="2"/>
      <c r="R14" s="19"/>
      <c r="S14" s="2"/>
      <c r="T14" s="2">
        <f>--188677.32</f>
        <v>188677.32</v>
      </c>
      <c r="U14" s="2"/>
      <c r="V14" s="19"/>
      <c r="W14" s="2"/>
      <c r="X14" s="2">
        <f t="shared" si="2"/>
        <v>-138646.65000000002</v>
      </c>
      <c r="Y14" s="2"/>
      <c r="Z14" s="19">
        <f t="shared" si="3"/>
        <v>-0.73483474325372022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--198101.2</f>
        <v>198101.2</v>
      </c>
      <c r="E15" s="2"/>
      <c r="F15" s="19"/>
      <c r="G15" s="2"/>
      <c r="H15" s="2">
        <f>--225219.71</f>
        <v>225219.71</v>
      </c>
      <c r="I15" s="2"/>
      <c r="J15" s="19"/>
      <c r="K15" s="2"/>
      <c r="L15" s="2">
        <f t="shared" si="0"/>
        <v>-27118.50999999998</v>
      </c>
      <c r="M15" s="2"/>
      <c r="N15" s="19">
        <f t="shared" si="1"/>
        <v>-0.12040913293068348</v>
      </c>
      <c r="O15" s="11"/>
      <c r="P15" s="2">
        <f>--739313.21</f>
        <v>739313.21</v>
      </c>
      <c r="Q15" s="2"/>
      <c r="R15" s="19"/>
      <c r="S15" s="2"/>
      <c r="T15" s="2">
        <f>--1038754.49</f>
        <v>1038754.49</v>
      </c>
      <c r="U15" s="2"/>
      <c r="V15" s="19"/>
      <c r="W15" s="2"/>
      <c r="X15" s="2">
        <f t="shared" si="2"/>
        <v>-299441.28000000003</v>
      </c>
      <c r="Y15" s="2"/>
      <c r="Z15" s="19">
        <f t="shared" si="3"/>
        <v>-0.28826954095765212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--18937.34</f>
        <v>18937.34</v>
      </c>
      <c r="E16" s="2"/>
      <c r="F16" s="19"/>
      <c r="G16" s="2"/>
      <c r="H16" s="2">
        <f>--17378.42</f>
        <v>17378.419999999998</v>
      </c>
      <c r="I16" s="2"/>
      <c r="J16" s="19"/>
      <c r="K16" s="2"/>
      <c r="L16" s="2">
        <f t="shared" si="0"/>
        <v>1558.9200000000019</v>
      </c>
      <c r="M16" s="2"/>
      <c r="N16" s="19">
        <f t="shared" si="1"/>
        <v>8.9704357473234159E-2</v>
      </c>
      <c r="O16" s="11"/>
      <c r="P16" s="2">
        <f>--68652.7</f>
        <v>68652.7</v>
      </c>
      <c r="Q16" s="2"/>
      <c r="R16" s="19"/>
      <c r="S16" s="2"/>
      <c r="T16" s="2">
        <f>--40956.21</f>
        <v>40956.21</v>
      </c>
      <c r="U16" s="2"/>
      <c r="V16" s="19"/>
      <c r="W16" s="2"/>
      <c r="X16" s="2">
        <f t="shared" si="2"/>
        <v>27696.489999999998</v>
      </c>
      <c r="Y16" s="2"/>
      <c r="Z16" s="19">
        <f t="shared" si="3"/>
        <v>0.67624641049550238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--852.96</f>
        <v>852.96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852.96</v>
      </c>
      <c r="M18" s="2"/>
      <c r="N18" s="19">
        <f t="shared" si="1"/>
        <v>0</v>
      </c>
      <c r="O18" s="11"/>
      <c r="P18" s="2">
        <f>--981.96</f>
        <v>981.96</v>
      </c>
      <c r="Q18" s="2"/>
      <c r="R18" s="19"/>
      <c r="S18" s="2"/>
      <c r="T18" s="2">
        <f>--493.95</f>
        <v>493.95</v>
      </c>
      <c r="U18" s="2"/>
      <c r="V18" s="19"/>
      <c r="W18" s="2"/>
      <c r="X18" s="2">
        <f t="shared" si="2"/>
        <v>488.01000000000005</v>
      </c>
      <c r="Y18" s="2"/>
      <c r="Z18" s="19">
        <f t="shared" si="3"/>
        <v>0.98797449134527793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--713.93</f>
        <v>713.93</v>
      </c>
      <c r="E19" s="2"/>
      <c r="F19" s="19"/>
      <c r="G19" s="2"/>
      <c r="H19" s="2">
        <f>--10424.61</f>
        <v>10424.61</v>
      </c>
      <c r="I19" s="2"/>
      <c r="J19" s="19"/>
      <c r="K19" s="2"/>
      <c r="L19" s="2">
        <f t="shared" si="0"/>
        <v>-9710.68</v>
      </c>
      <c r="M19" s="2"/>
      <c r="N19" s="19">
        <f t="shared" si="1"/>
        <v>-0.93151494396433054</v>
      </c>
      <c r="O19" s="11"/>
      <c r="P19" s="2">
        <f>--27981.41</f>
        <v>27981.41</v>
      </c>
      <c r="Q19" s="2"/>
      <c r="R19" s="19"/>
      <c r="S19" s="2"/>
      <c r="T19" s="2">
        <f>--19983.21</f>
        <v>19983.21</v>
      </c>
      <c r="U19" s="2"/>
      <c r="V19" s="19"/>
      <c r="W19" s="2"/>
      <c r="X19" s="2">
        <f t="shared" si="2"/>
        <v>7998.2000000000007</v>
      </c>
      <c r="Y19" s="2"/>
      <c r="Z19" s="19">
        <f t="shared" si="3"/>
        <v>0.40024600652247566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--16.99</f>
        <v>16.989999999999998</v>
      </c>
      <c r="I20" s="2"/>
      <c r="J20" s="19"/>
      <c r="K20" s="2"/>
      <c r="L20" s="2">
        <f t="shared" si="0"/>
        <v>-16.989999999999998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--535.96</f>
        <v>535.96</v>
      </c>
      <c r="U20" s="2"/>
      <c r="V20" s="19"/>
      <c r="W20" s="2"/>
      <c r="X20" s="2">
        <f t="shared" si="2"/>
        <v>-535.96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--669.89</f>
        <v>669.89</v>
      </c>
      <c r="E21" s="2"/>
      <c r="F21" s="19"/>
      <c r="G21" s="2"/>
      <c r="H21" s="2">
        <f>--63.96</f>
        <v>63.96</v>
      </c>
      <c r="I21" s="2"/>
      <c r="J21" s="19"/>
      <c r="K21" s="2"/>
      <c r="L21" s="2">
        <f t="shared" si="0"/>
        <v>605.92999999999995</v>
      </c>
      <c r="M21" s="2"/>
      <c r="N21" s="19">
        <f t="shared" si="1"/>
        <v>9.4735772357723569</v>
      </c>
      <c r="O21" s="11"/>
      <c r="P21" s="2">
        <f>--3309.16</f>
        <v>3309.16</v>
      </c>
      <c r="Q21" s="2"/>
      <c r="R21" s="19"/>
      <c r="S21" s="2"/>
      <c r="T21" s="2">
        <f>--1454.52</f>
        <v>1454.52</v>
      </c>
      <c r="U21" s="2"/>
      <c r="V21" s="19"/>
      <c r="W21" s="2"/>
      <c r="X21" s="2">
        <f t="shared" si="2"/>
        <v>1854.6399999999999</v>
      </c>
      <c r="Y21" s="2"/>
      <c r="Z21" s="19">
        <f t="shared" si="3"/>
        <v>1.2750873140279955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--38657</f>
        <v>38657</v>
      </c>
      <c r="E22" s="2"/>
      <c r="F22" s="19"/>
      <c r="G22" s="2"/>
      <c r="H22" s="2">
        <f>--15231</f>
        <v>15231</v>
      </c>
      <c r="I22" s="2"/>
      <c r="J22" s="19"/>
      <c r="K22" s="2"/>
      <c r="L22" s="2">
        <f t="shared" si="0"/>
        <v>23426</v>
      </c>
      <c r="M22" s="2"/>
      <c r="N22" s="19">
        <f t="shared" si="1"/>
        <v>1.5380474033221718</v>
      </c>
      <c r="O22" s="11"/>
      <c r="P22" s="2">
        <f>--120724.38</f>
        <v>120724.38</v>
      </c>
      <c r="Q22" s="2"/>
      <c r="R22" s="19"/>
      <c r="S22" s="2"/>
      <c r="T22" s="2">
        <f>--45802</f>
        <v>45802</v>
      </c>
      <c r="U22" s="2"/>
      <c r="V22" s="19"/>
      <c r="W22" s="2"/>
      <c r="X22" s="2">
        <f t="shared" si="2"/>
        <v>74922.38</v>
      </c>
      <c r="Y22" s="2"/>
      <c r="Z22" s="19">
        <f t="shared" si="3"/>
        <v>1.6357883935199338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--1946.8</f>
        <v>1946.8</v>
      </c>
      <c r="E23" s="2"/>
      <c r="F23" s="19"/>
      <c r="G23" s="2"/>
      <c r="H23" s="2">
        <f>--864.82</f>
        <v>864.82</v>
      </c>
      <c r="I23" s="2"/>
      <c r="J23" s="19"/>
      <c r="K23" s="2"/>
      <c r="L23" s="2">
        <f t="shared" si="0"/>
        <v>1081.98</v>
      </c>
      <c r="M23" s="2"/>
      <c r="N23" s="19">
        <f t="shared" si="1"/>
        <v>1.2511042760343192</v>
      </c>
      <c r="O23" s="11"/>
      <c r="P23" s="2">
        <f>--5066.48</f>
        <v>5066.4799999999996</v>
      </c>
      <c r="Q23" s="2"/>
      <c r="R23" s="19"/>
      <c r="S23" s="2"/>
      <c r="T23" s="2">
        <f>--2021.11</f>
        <v>2021.11</v>
      </c>
      <c r="U23" s="2"/>
      <c r="V23" s="19"/>
      <c r="W23" s="2"/>
      <c r="X23" s="2">
        <f t="shared" si="2"/>
        <v>3045.37</v>
      </c>
      <c r="Y23" s="2"/>
      <c r="Z23" s="19">
        <f t="shared" si="3"/>
        <v>1.5067809273122195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>0</f>
        <v>0</v>
      </c>
      <c r="Q24" s="2"/>
      <c r="R24" s="19"/>
      <c r="S24" s="2"/>
      <c r="T24" s="2">
        <f>--1522</f>
        <v>1522</v>
      </c>
      <c r="U24" s="2"/>
      <c r="V24" s="19"/>
      <c r="W24" s="2"/>
      <c r="X24" s="2">
        <f t="shared" si="2"/>
        <v>-1522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--8427.6</f>
        <v>8427.6</v>
      </c>
      <c r="E25" s="2"/>
      <c r="F25" s="19"/>
      <c r="G25" s="2"/>
      <c r="H25" s="2">
        <f>--2555.94</f>
        <v>2555.94</v>
      </c>
      <c r="I25" s="2"/>
      <c r="J25" s="19"/>
      <c r="K25" s="2"/>
      <c r="L25" s="2">
        <f t="shared" si="0"/>
        <v>5871.66</v>
      </c>
      <c r="M25" s="2"/>
      <c r="N25" s="19">
        <f t="shared" si="1"/>
        <v>2.2972604990727481</v>
      </c>
      <c r="O25" s="11"/>
      <c r="P25" s="2">
        <f>--19226.09</f>
        <v>19226.09</v>
      </c>
      <c r="Q25" s="2"/>
      <c r="R25" s="19"/>
      <c r="S25" s="2"/>
      <c r="T25" s="2">
        <f>--7077.94</f>
        <v>7077.94</v>
      </c>
      <c r="U25" s="2"/>
      <c r="V25" s="19"/>
      <c r="W25" s="2"/>
      <c r="X25" s="2">
        <f t="shared" si="2"/>
        <v>12148.150000000001</v>
      </c>
      <c r="Y25" s="2"/>
      <c r="Z25" s="19">
        <f t="shared" si="3"/>
        <v>1.7163397824790831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--460.89</f>
        <v>460.89</v>
      </c>
      <c r="E26" s="2"/>
      <c r="F26" s="19"/>
      <c r="G26" s="2"/>
      <c r="H26" s="2">
        <f>--485.86</f>
        <v>485.86</v>
      </c>
      <c r="I26" s="2"/>
      <c r="J26" s="19"/>
      <c r="K26" s="2"/>
      <c r="L26" s="2">
        <f t="shared" si="0"/>
        <v>-24.970000000000027</v>
      </c>
      <c r="M26" s="2"/>
      <c r="N26" s="19">
        <f t="shared" si="1"/>
        <v>-5.139340550775949E-2</v>
      </c>
      <c r="O26" s="11"/>
      <c r="P26" s="2">
        <f>--873.79</f>
        <v>873.79</v>
      </c>
      <c r="Q26" s="2"/>
      <c r="R26" s="19"/>
      <c r="S26" s="2"/>
      <c r="T26" s="2">
        <f>--760.76</f>
        <v>760.76</v>
      </c>
      <c r="U26" s="2"/>
      <c r="V26" s="19"/>
      <c r="W26" s="2"/>
      <c r="X26" s="2">
        <f t="shared" si="2"/>
        <v>113.02999999999997</v>
      </c>
      <c r="Y26" s="2"/>
      <c r="Z26" s="19">
        <f t="shared" si="3"/>
        <v>0.14857510910142485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--119.98</f>
        <v>119.98</v>
      </c>
      <c r="I27" s="2"/>
      <c r="J27" s="19"/>
      <c r="K27" s="2"/>
      <c r="L27" s="2">
        <f t="shared" si="0"/>
        <v>-119.98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--219.96</f>
        <v>219.96</v>
      </c>
      <c r="U27" s="2"/>
      <c r="V27" s="19"/>
      <c r="W27" s="2"/>
      <c r="X27" s="2">
        <f t="shared" si="2"/>
        <v>-219.96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-557.94</f>
        <v>-557.94000000000005</v>
      </c>
      <c r="E28" s="2"/>
      <c r="F28" s="19"/>
      <c r="G28" s="2"/>
      <c r="H28" s="2">
        <f>-1039.72</f>
        <v>-1039.72</v>
      </c>
      <c r="I28" s="2"/>
      <c r="J28" s="19"/>
      <c r="K28" s="2"/>
      <c r="L28" s="2">
        <f t="shared" si="0"/>
        <v>481.78</v>
      </c>
      <c r="M28" s="2"/>
      <c r="N28" s="19">
        <f t="shared" si="1"/>
        <v>-0.46337475474166118</v>
      </c>
      <c r="O28" s="11"/>
      <c r="P28" s="2">
        <f>-14274.16</f>
        <v>-14274.16</v>
      </c>
      <c r="Q28" s="2"/>
      <c r="R28" s="19"/>
      <c r="S28" s="2"/>
      <c r="T28" s="2">
        <f>-3274.47</f>
        <v>-3274.47</v>
      </c>
      <c r="U28" s="2"/>
      <c r="V28" s="19"/>
      <c r="W28" s="2"/>
      <c r="X28" s="2">
        <f t="shared" si="2"/>
        <v>-10999.69</v>
      </c>
      <c r="Y28" s="2"/>
      <c r="Z28" s="19">
        <f t="shared" si="3"/>
        <v>3.3592276001917871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-14636</f>
        <v>-14636</v>
      </c>
      <c r="E29" s="2"/>
      <c r="F29" s="19"/>
      <c r="G29" s="2"/>
      <c r="H29" s="2">
        <f>-27457.13</f>
        <v>-27457.13</v>
      </c>
      <c r="I29" s="2"/>
      <c r="J29" s="19"/>
      <c r="K29" s="2"/>
      <c r="L29" s="2">
        <f t="shared" si="0"/>
        <v>12821.130000000001</v>
      </c>
      <c r="M29" s="2"/>
      <c r="N29" s="19">
        <f t="shared" si="1"/>
        <v>-0.46695084300507739</v>
      </c>
      <c r="O29" s="11"/>
      <c r="P29" s="2">
        <f>-48285</f>
        <v>-48285</v>
      </c>
      <c r="Q29" s="2"/>
      <c r="R29" s="19"/>
      <c r="S29" s="2"/>
      <c r="T29" s="2">
        <f>-147646.85</f>
        <v>-147646.85</v>
      </c>
      <c r="U29" s="2"/>
      <c r="V29" s="19"/>
      <c r="W29" s="2"/>
      <c r="X29" s="2">
        <f t="shared" si="2"/>
        <v>99361.85</v>
      </c>
      <c r="Y29" s="2"/>
      <c r="Z29" s="19">
        <f t="shared" si="3"/>
        <v>-0.67296965698895705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-483.9</f>
        <v>-483.9</v>
      </c>
      <c r="E30" s="2"/>
      <c r="F30" s="19"/>
      <c r="G30" s="2"/>
      <c r="H30" s="2">
        <f>-553.79</f>
        <v>-553.79</v>
      </c>
      <c r="I30" s="2"/>
      <c r="J30" s="19"/>
      <c r="K30" s="2"/>
      <c r="L30" s="2">
        <f t="shared" si="0"/>
        <v>69.889999999999986</v>
      </c>
      <c r="M30" s="2"/>
      <c r="N30" s="19">
        <f t="shared" si="1"/>
        <v>-0.12620307336716083</v>
      </c>
      <c r="O30" s="11"/>
      <c r="P30" s="2">
        <f>-2002.73</f>
        <v>-2002.73</v>
      </c>
      <c r="Q30" s="2"/>
      <c r="R30" s="19"/>
      <c r="S30" s="2"/>
      <c r="T30" s="2">
        <f>-1284.48</f>
        <v>-1284.48</v>
      </c>
      <c r="U30" s="2"/>
      <c r="V30" s="19"/>
      <c r="W30" s="2"/>
      <c r="X30" s="2">
        <f t="shared" si="2"/>
        <v>-718.25</v>
      </c>
      <c r="Y30" s="2"/>
      <c r="Z30" s="19">
        <f t="shared" si="3"/>
        <v>0.55917569755854513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>0</f>
        <v>0</v>
      </c>
      <c r="E31" s="2"/>
      <c r="F31" s="19"/>
      <c r="G31" s="2"/>
      <c r="H31" s="2">
        <f t="shared" ref="H31:H32" si="5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>-552.98</f>
        <v>-552.98</v>
      </c>
      <c r="E32" s="2"/>
      <c r="F32" s="19"/>
      <c r="G32" s="2"/>
      <c r="H32" s="2">
        <f t="shared" si="5"/>
        <v>0</v>
      </c>
      <c r="I32" s="2"/>
      <c r="J32" s="19"/>
      <c r="K32" s="2"/>
      <c r="L32" s="2">
        <f t="shared" si="0"/>
        <v>-552.98</v>
      </c>
      <c r="M32" s="2"/>
      <c r="N32" s="19">
        <f t="shared" si="1"/>
        <v>0</v>
      </c>
      <c r="O32" s="11"/>
      <c r="P32" s="2">
        <f>-552.98</f>
        <v>-552.98</v>
      </c>
      <c r="Q32" s="2"/>
      <c r="R32" s="19"/>
      <c r="S32" s="2"/>
      <c r="T32" s="2">
        <f>-406.99</f>
        <v>-406.99</v>
      </c>
      <c r="U32" s="2"/>
      <c r="V32" s="19"/>
      <c r="W32" s="2"/>
      <c r="X32" s="2">
        <f t="shared" si="2"/>
        <v>-145.99</v>
      </c>
      <c r="Y32" s="2"/>
      <c r="Z32" s="19">
        <f t="shared" si="3"/>
        <v>0.35870660212781641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-258.44</f>
        <v>-258.44</v>
      </c>
      <c r="E33" s="2"/>
      <c r="F33" s="19"/>
      <c r="G33" s="2"/>
      <c r="H33" s="2">
        <f>-962.59</f>
        <v>-962.59</v>
      </c>
      <c r="I33" s="2"/>
      <c r="J33" s="19"/>
      <c r="K33" s="2"/>
      <c r="L33" s="2">
        <f t="shared" si="0"/>
        <v>704.15000000000009</v>
      </c>
      <c r="M33" s="2"/>
      <c r="N33" s="19">
        <f t="shared" si="1"/>
        <v>-0.73151601408699451</v>
      </c>
      <c r="O33" s="11"/>
      <c r="P33" s="2">
        <f>-412.4</f>
        <v>-412.4</v>
      </c>
      <c r="Q33" s="2"/>
      <c r="R33" s="19"/>
      <c r="S33" s="2"/>
      <c r="T33" s="2">
        <f>-2143.74</f>
        <v>-2143.7399999999998</v>
      </c>
      <c r="U33" s="2"/>
      <c r="V33" s="19"/>
      <c r="W33" s="2"/>
      <c r="X33" s="2">
        <f t="shared" si="2"/>
        <v>1731.3399999999997</v>
      </c>
      <c r="Y33" s="2"/>
      <c r="Z33" s="19">
        <f t="shared" si="3"/>
        <v>-0.80762592478565487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>-249.95</f>
        <v>-249.95</v>
      </c>
      <c r="E34" s="2"/>
      <c r="F34" s="19"/>
      <c r="G34" s="2"/>
      <c r="H34" s="2">
        <f>-1279.84</f>
        <v>-1279.8399999999999</v>
      </c>
      <c r="I34" s="2"/>
      <c r="J34" s="19"/>
      <c r="K34" s="2"/>
      <c r="L34" s="2">
        <f t="shared" si="0"/>
        <v>1029.8899999999999</v>
      </c>
      <c r="M34" s="2"/>
      <c r="N34" s="19">
        <f t="shared" si="1"/>
        <v>-0.80470215026878356</v>
      </c>
      <c r="O34" s="11"/>
      <c r="P34" s="2">
        <f>-5624.15</f>
        <v>-5624.15</v>
      </c>
      <c r="Q34" s="2"/>
      <c r="R34" s="19"/>
      <c r="S34" s="2"/>
      <c r="T34" s="2">
        <f>-1279.84</f>
        <v>-1279.8399999999999</v>
      </c>
      <c r="U34" s="2"/>
      <c r="V34" s="19"/>
      <c r="W34" s="2"/>
      <c r="X34" s="2">
        <f t="shared" si="2"/>
        <v>-4344.3099999999995</v>
      </c>
      <c r="Y34" s="2"/>
      <c r="Z34" s="19">
        <f t="shared" si="3"/>
        <v>3.3944164895611948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ref="D35:D36" si="6">0</f>
        <v>0</v>
      </c>
      <c r="E35" s="2"/>
      <c r="F35" s="19"/>
      <c r="G35" s="2"/>
      <c r="H35" s="2">
        <f t="shared" ref="H35:H36" si="7">0</f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ref="P35:P36" si="8">0</f>
        <v>0</v>
      </c>
      <c r="Q35" s="2"/>
      <c r="R35" s="19"/>
      <c r="S35" s="2"/>
      <c r="T35" s="2">
        <f>-24.99</f>
        <v>-24.99</v>
      </c>
      <c r="U35" s="2"/>
      <c r="V35" s="19"/>
      <c r="W35" s="2"/>
      <c r="X35" s="2">
        <f t="shared" si="2"/>
        <v>24.99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6"/>
        <v>0</v>
      </c>
      <c r="E36" s="2"/>
      <c r="F36" s="19"/>
      <c r="G36" s="2"/>
      <c r="H36" s="2">
        <f t="shared" si="7"/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si="8"/>
        <v>0</v>
      </c>
      <c r="Q36" s="2"/>
      <c r="R36" s="19"/>
      <c r="S36" s="2"/>
      <c r="T36" s="2">
        <f>-19.99</f>
        <v>-19.989999999999998</v>
      </c>
      <c r="U36" s="2"/>
      <c r="V36" s="19"/>
      <c r="W36" s="2"/>
      <c r="X36" s="2">
        <f t="shared" si="2"/>
        <v>19.989999999999998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6" t="s">
        <v>8</v>
      </c>
      <c r="C38" s="10"/>
      <c r="D38" s="4">
        <f>SUM(OSRRefD16x_0)</f>
        <v>262131.99999999991</v>
      </c>
      <c r="E38" s="4"/>
      <c r="F38" s="12">
        <f t="shared" ref="F38:F51" si="9">IF(D$12=0,0,D38/D$12)</f>
        <v>0.99425541484443503</v>
      </c>
      <c r="G38" s="4"/>
      <c r="H38" s="4">
        <f>SUM(OSRRefH16x_0)</f>
        <v>278765.08</v>
      </c>
      <c r="I38" s="4"/>
      <c r="J38" s="12">
        <f t="shared" ref="J38:J51" si="10">IF(H$12=0,0,H38/H$12)</f>
        <v>0.87025536297269546</v>
      </c>
      <c r="K38" s="4"/>
      <c r="L38" s="4">
        <f t="shared" ref="L38:L51" si="11">+D38-H38</f>
        <v>-16633.080000000104</v>
      </c>
      <c r="M38" s="4"/>
      <c r="N38" s="12">
        <f t="shared" ref="N38:N51" si="12">IF(H38=0,0,L38/H38)</f>
        <v>-5.9667014247265483E-2</v>
      </c>
      <c r="O38" s="10"/>
      <c r="P38" s="4">
        <f>SUM(OSRRefP16x_0)</f>
        <v>924552</v>
      </c>
      <c r="Q38" s="4"/>
      <c r="R38" s="12">
        <f t="shared" ref="R38:R51" si="13">IF(P$12=0,0,P38/P$12)</f>
        <v>0.95979098516385719</v>
      </c>
      <c r="S38" s="4"/>
      <c r="T38" s="4">
        <f>SUM(OSRRefT16x_0)</f>
        <v>1076160.1500000001</v>
      </c>
      <c r="U38" s="4"/>
      <c r="V38" s="12">
        <f t="shared" ref="V38:V51" si="14">IF(T$12=0,0,T38/T$12)</f>
        <v>0.90268406042157756</v>
      </c>
      <c r="W38" s="4"/>
      <c r="X38" s="4">
        <f t="shared" ref="X38:X51" si="15">+P38-T38</f>
        <v>-151608.15000000014</v>
      </c>
      <c r="Y38" s="4"/>
      <c r="Z38" s="12">
        <f t="shared" ref="Z38:Z51" si="16">IF(T38=0,0,X38/T38)</f>
        <v>-0.14087879949838333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8274.98</v>
      </c>
      <c r="E39" s="2"/>
      <c r="F39" s="19">
        <f t="shared" si="9"/>
        <v>3.1386643647968983E-2</v>
      </c>
      <c r="G39" s="2"/>
      <c r="H39" s="2">
        <v>66227.41</v>
      </c>
      <c r="I39" s="2"/>
      <c r="J39" s="19">
        <f t="shared" si="10"/>
        <v>0.20675028137775189</v>
      </c>
      <c r="K39" s="2"/>
      <c r="L39" s="2">
        <f t="shared" si="11"/>
        <v>-57952.430000000008</v>
      </c>
      <c r="M39" s="2"/>
      <c r="N39" s="19">
        <f t="shared" si="12"/>
        <v>-0.87505203661142728</v>
      </c>
      <c r="O39" s="11"/>
      <c r="P39" s="2">
        <v>15697.449999999999</v>
      </c>
      <c r="Q39" s="2"/>
      <c r="R39" s="19">
        <f t="shared" si="13"/>
        <v>1.6295752970152452E-2</v>
      </c>
      <c r="S39" s="2"/>
      <c r="T39" s="2">
        <v>149686.09000000003</v>
      </c>
      <c r="U39" s="2"/>
      <c r="V39" s="19">
        <f t="shared" si="14"/>
        <v>0.12555682117557473</v>
      </c>
      <c r="W39" s="2"/>
      <c r="X39" s="2">
        <f t="shared" si="15"/>
        <v>-133988.64000000001</v>
      </c>
      <c r="Y39" s="2"/>
      <c r="Z39" s="19">
        <f t="shared" si="16"/>
        <v>-0.89513087020978366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470149.41</v>
      </c>
      <c r="E40" s="2"/>
      <c r="F40" s="19">
        <f t="shared" si="9"/>
        <v>1.7832565145743995</v>
      </c>
      <c r="G40" s="2"/>
      <c r="H40" s="2">
        <v>127420.07</v>
      </c>
      <c r="I40" s="2"/>
      <c r="J40" s="19">
        <f t="shared" si="10"/>
        <v>0.39778296215528952</v>
      </c>
      <c r="K40" s="2"/>
      <c r="L40" s="2">
        <f t="shared" si="11"/>
        <v>342729.33999999997</v>
      </c>
      <c r="M40" s="2"/>
      <c r="N40" s="19">
        <f t="shared" si="12"/>
        <v>2.6897594703879846</v>
      </c>
      <c r="O40" s="11"/>
      <c r="P40" s="2">
        <v>713373.21</v>
      </c>
      <c r="Q40" s="2"/>
      <c r="R40" s="19">
        <f t="shared" si="13"/>
        <v>0.74056318737659221</v>
      </c>
      <c r="S40" s="2"/>
      <c r="T40" s="2">
        <v>801042.97</v>
      </c>
      <c r="U40" s="2"/>
      <c r="V40" s="19">
        <f t="shared" si="14"/>
        <v>0.67191553295460693</v>
      </c>
      <c r="W40" s="2"/>
      <c r="X40" s="2">
        <f t="shared" si="15"/>
        <v>-87669.760000000009</v>
      </c>
      <c r="Y40" s="2"/>
      <c r="Z40" s="19">
        <f t="shared" si="16"/>
        <v>-0.10944451581667337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24155.15</v>
      </c>
      <c r="E41" s="2"/>
      <c r="F41" s="19">
        <f t="shared" si="9"/>
        <v>9.1619446247995534E-2</v>
      </c>
      <c r="G41" s="2"/>
      <c r="H41" s="2">
        <v>10519.97</v>
      </c>
      <c r="I41" s="2"/>
      <c r="J41" s="19">
        <f t="shared" si="10"/>
        <v>3.2841489008637183E-2</v>
      </c>
      <c r="K41" s="2"/>
      <c r="L41" s="2">
        <f t="shared" si="11"/>
        <v>13635.180000000002</v>
      </c>
      <c r="M41" s="2"/>
      <c r="N41" s="19">
        <f t="shared" si="12"/>
        <v>1.2961234680327038</v>
      </c>
      <c r="O41" s="11"/>
      <c r="P41" s="2">
        <v>61434</v>
      </c>
      <c r="Q41" s="2"/>
      <c r="R41" s="19">
        <f t="shared" si="13"/>
        <v>6.3775536024535562E-2</v>
      </c>
      <c r="S41" s="2"/>
      <c r="T41" s="2">
        <v>27712.41</v>
      </c>
      <c r="U41" s="2"/>
      <c r="V41" s="19">
        <f t="shared" si="14"/>
        <v>2.3245193369098017E-2</v>
      </c>
      <c r="W41" s="2"/>
      <c r="X41" s="2">
        <f t="shared" si="15"/>
        <v>33721.589999999997</v>
      </c>
      <c r="Y41" s="2"/>
      <c r="Z41" s="19">
        <f t="shared" si="16"/>
        <v>1.2168407583461704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/>
      <c r="I42" s="2"/>
      <c r="J42" s="19">
        <f t="shared" si="10"/>
        <v>0</v>
      </c>
      <c r="K42" s="2"/>
      <c r="L42" s="2">
        <f t="shared" si="11"/>
        <v>0</v>
      </c>
      <c r="M42" s="2"/>
      <c r="N42" s="19">
        <f t="shared" si="12"/>
        <v>0</v>
      </c>
      <c r="O42" s="11"/>
      <c r="P42" s="2"/>
      <c r="Q42" s="2"/>
      <c r="R42" s="19">
        <f t="shared" si="13"/>
        <v>0</v>
      </c>
      <c r="S42" s="2"/>
      <c r="T42" s="2">
        <v>1522</v>
      </c>
      <c r="U42" s="2"/>
      <c r="V42" s="19">
        <f t="shared" si="14"/>
        <v>1.2766549104811591E-3</v>
      </c>
      <c r="W42" s="2"/>
      <c r="X42" s="2">
        <f t="shared" si="15"/>
        <v>-1522</v>
      </c>
      <c r="Y42" s="2"/>
      <c r="Z42" s="19">
        <f t="shared" si="16"/>
        <v>-1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8609.1200000000008</v>
      </c>
      <c r="E43" s="2"/>
      <c r="F43" s="19">
        <f t="shared" si="9"/>
        <v>3.2654022313359399E-2</v>
      </c>
      <c r="G43" s="2"/>
      <c r="H43" s="2">
        <v>3058</v>
      </c>
      <c r="I43" s="2"/>
      <c r="J43" s="19">
        <f t="shared" si="10"/>
        <v>9.5465361011877903E-3</v>
      </c>
      <c r="K43" s="2"/>
      <c r="L43" s="2">
        <f t="shared" si="11"/>
        <v>5551.1200000000008</v>
      </c>
      <c r="M43" s="2"/>
      <c r="N43" s="19">
        <f t="shared" si="12"/>
        <v>1.8152779594506216</v>
      </c>
      <c r="O43" s="11"/>
      <c r="P43" s="2">
        <v>14837.68</v>
      </c>
      <c r="Q43" s="2"/>
      <c r="R43" s="19">
        <f t="shared" si="13"/>
        <v>1.5403213128894925E-2</v>
      </c>
      <c r="S43" s="2"/>
      <c r="T43" s="2">
        <v>6426</v>
      </c>
      <c r="U43" s="2"/>
      <c r="V43" s="19">
        <f t="shared" si="14"/>
        <v>5.3901343329513327E-3</v>
      </c>
      <c r="W43" s="2"/>
      <c r="X43" s="2">
        <f t="shared" si="15"/>
        <v>8411.68</v>
      </c>
      <c r="Y43" s="2"/>
      <c r="Z43" s="19">
        <f t="shared" si="16"/>
        <v>1.3090071584189231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18.760000000000002</v>
      </c>
      <c r="E44" s="2"/>
      <c r="F44" s="19">
        <f t="shared" si="9"/>
        <v>7.1155874072915967E-5</v>
      </c>
      <c r="G44" s="2"/>
      <c r="H44" s="2">
        <v>6272.87</v>
      </c>
      <c r="I44" s="2"/>
      <c r="J44" s="19">
        <f t="shared" si="10"/>
        <v>1.9582792646519898E-2</v>
      </c>
      <c r="K44" s="2"/>
      <c r="L44" s="2">
        <f t="shared" si="11"/>
        <v>-6254.11</v>
      </c>
      <c r="M44" s="2"/>
      <c r="N44" s="19">
        <f t="shared" si="12"/>
        <v>-0.99700934341059189</v>
      </c>
      <c r="O44" s="11"/>
      <c r="P44" s="2">
        <v>21755.969999999998</v>
      </c>
      <c r="Q44" s="2"/>
      <c r="R44" s="19">
        <f t="shared" si="13"/>
        <v>2.258519140026231E-2</v>
      </c>
      <c r="S44" s="2"/>
      <c r="T44" s="2">
        <v>12479.75</v>
      </c>
      <c r="U44" s="2"/>
      <c r="V44" s="19">
        <f t="shared" si="14"/>
        <v>1.0468025045385838E-2</v>
      </c>
      <c r="W44" s="2"/>
      <c r="X44" s="2">
        <f t="shared" si="15"/>
        <v>9276.2199999999975</v>
      </c>
      <c r="Y44" s="2"/>
      <c r="Z44" s="19">
        <f t="shared" si="16"/>
        <v>0.7433017488331094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>
        <v>6.75</v>
      </c>
      <c r="I45" s="2"/>
      <c r="J45" s="19">
        <f t="shared" si="10"/>
        <v>2.1072308267827857E-5</v>
      </c>
      <c r="K45" s="2"/>
      <c r="L45" s="2">
        <f t="shared" si="11"/>
        <v>-6.75</v>
      </c>
      <c r="M45" s="2"/>
      <c r="N45" s="19">
        <f t="shared" si="12"/>
        <v>-1</v>
      </c>
      <c r="O45" s="11"/>
      <c r="P45" s="2"/>
      <c r="Q45" s="2"/>
      <c r="R45" s="19">
        <f t="shared" si="13"/>
        <v>0</v>
      </c>
      <c r="S45" s="2"/>
      <c r="T45" s="2">
        <v>88.75</v>
      </c>
      <c r="U45" s="2"/>
      <c r="V45" s="19">
        <f t="shared" si="14"/>
        <v>7.4443576416033426E-5</v>
      </c>
      <c r="W45" s="2"/>
      <c r="X45" s="2">
        <f t="shared" si="15"/>
        <v>-88.75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-511387.42000000004</v>
      </c>
      <c r="E46" s="2"/>
      <c r="F46" s="19">
        <f t="shared" si="9"/>
        <v>-1.9396705149250208</v>
      </c>
      <c r="G46" s="2"/>
      <c r="H46" s="2">
        <v>-213676</v>
      </c>
      <c r="I46" s="2"/>
      <c r="J46" s="19">
        <f t="shared" si="10"/>
        <v>-0.66705874687946443</v>
      </c>
      <c r="K46" s="2"/>
      <c r="L46" s="2">
        <f t="shared" si="11"/>
        <v>-297711.42000000004</v>
      </c>
      <c r="M46" s="2"/>
      <c r="N46" s="19">
        <f t="shared" si="12"/>
        <v>1.3932843183137087</v>
      </c>
      <c r="O46" s="11"/>
      <c r="P46" s="2">
        <v>-827319.82</v>
      </c>
      <c r="Q46" s="2"/>
      <c r="R46" s="19">
        <f t="shared" si="13"/>
        <v>-0.85885283367878162</v>
      </c>
      <c r="S46" s="2"/>
      <c r="T46" s="2">
        <v>-999198</v>
      </c>
      <c r="U46" s="2"/>
      <c r="V46" s="19">
        <f t="shared" si="14"/>
        <v>-0.8381281427351861</v>
      </c>
      <c r="W46" s="2"/>
      <c r="X46" s="2">
        <f t="shared" si="15"/>
        <v>171878.18000000005</v>
      </c>
      <c r="Y46" s="2"/>
      <c r="Z46" s="19">
        <f t="shared" si="16"/>
        <v>-0.17201613694182741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262131.99999999997</v>
      </c>
      <c r="E47" s="2"/>
      <c r="F47" s="19">
        <f t="shared" si="9"/>
        <v>0.99425541484443525</v>
      </c>
      <c r="G47" s="2"/>
      <c r="H47" s="2">
        <v>278765</v>
      </c>
      <c r="I47" s="2"/>
      <c r="J47" s="19">
        <f t="shared" si="10"/>
        <v>0.87025511322681959</v>
      </c>
      <c r="K47" s="2"/>
      <c r="L47" s="2">
        <f t="shared" si="11"/>
        <v>-16633.000000000029</v>
      </c>
      <c r="M47" s="2"/>
      <c r="N47" s="19">
        <f t="shared" si="12"/>
        <v>-5.9666744390436496E-2</v>
      </c>
      <c r="O47" s="11"/>
      <c r="P47" s="2">
        <v>924552</v>
      </c>
      <c r="Q47" s="2"/>
      <c r="R47" s="19">
        <f t="shared" si="13"/>
        <v>0.95979098516385719</v>
      </c>
      <c r="S47" s="2"/>
      <c r="T47" s="2">
        <v>1076159</v>
      </c>
      <c r="U47" s="2"/>
      <c r="V47" s="19">
        <f t="shared" si="14"/>
        <v>0.90268309580058725</v>
      </c>
      <c r="W47" s="2"/>
      <c r="X47" s="2">
        <f t="shared" si="15"/>
        <v>-151607</v>
      </c>
      <c r="Y47" s="2"/>
      <c r="Z47" s="19">
        <f t="shared" si="16"/>
        <v>-0.14087788142830196</v>
      </c>
    </row>
    <row r="48" spans="1:26" s="24" customFormat="1" hidden="1" outlineLevel="1" x14ac:dyDescent="0.25">
      <c r="A48" s="44"/>
      <c r="B48" s="11" t="str">
        <f>CONCATENATE("          ", "5581", " - ", "FREIGHT-IN-ELECTRONICS")</f>
        <v xml:space="preserve">          5581 - FREIGHT-IN-ELECTRONICS</v>
      </c>
      <c r="C48" s="11"/>
      <c r="D48" s="2"/>
      <c r="E48" s="2"/>
      <c r="F48" s="19">
        <f t="shared" si="9"/>
        <v>0</v>
      </c>
      <c r="G48" s="2"/>
      <c r="H48" s="2">
        <v>92.95</v>
      </c>
      <c r="I48" s="2"/>
      <c r="J48" s="19">
        <f t="shared" si="10"/>
        <v>2.9017348940660732E-4</v>
      </c>
      <c r="K48" s="2"/>
      <c r="L48" s="2">
        <f t="shared" si="11"/>
        <v>-92.95</v>
      </c>
      <c r="M48" s="2"/>
      <c r="N48" s="19">
        <f t="shared" si="12"/>
        <v>-1</v>
      </c>
      <c r="O48" s="11"/>
      <c r="P48" s="2"/>
      <c r="Q48" s="2"/>
      <c r="R48" s="19">
        <f t="shared" si="13"/>
        <v>0</v>
      </c>
      <c r="S48" s="2"/>
      <c r="T48" s="2">
        <v>92.95</v>
      </c>
      <c r="U48" s="2"/>
      <c r="V48" s="19">
        <f t="shared" si="14"/>
        <v>7.7966540032341496E-5</v>
      </c>
      <c r="W48" s="2"/>
      <c r="X48" s="2">
        <f t="shared" si="15"/>
        <v>-92.95</v>
      </c>
      <c r="Y48" s="2"/>
      <c r="Z48" s="19">
        <f t="shared" si="16"/>
        <v>-1</v>
      </c>
    </row>
    <row r="49" spans="1:26" s="24" customFormat="1" hidden="1" outlineLevel="1" x14ac:dyDescent="0.25">
      <c r="A49" s="44"/>
      <c r="B49" s="11" t="str">
        <f>CONCATENATE("          ", "5582", " - ", "FREIGHT-IN-COMPUTER HARDWARE")</f>
        <v xml:space="preserve">          5582 - FREIGHT-IN-COMPUTER HARDWARE</v>
      </c>
      <c r="C49" s="11"/>
      <c r="D49" s="2">
        <v>24</v>
      </c>
      <c r="E49" s="2"/>
      <c r="F49" s="19">
        <f t="shared" si="9"/>
        <v>9.1030968963218717E-5</v>
      </c>
      <c r="G49" s="2"/>
      <c r="H49" s="2">
        <v>4.84</v>
      </c>
      <c r="I49" s="2"/>
      <c r="J49" s="19">
        <f t="shared" si="10"/>
        <v>1.5109625483894344E-5</v>
      </c>
      <c r="K49" s="2"/>
      <c r="L49" s="2">
        <f t="shared" si="11"/>
        <v>19.16</v>
      </c>
      <c r="M49" s="2"/>
      <c r="N49" s="19">
        <f t="shared" si="12"/>
        <v>3.9586776859504136</v>
      </c>
      <c r="O49" s="11"/>
      <c r="P49" s="2">
        <v>24</v>
      </c>
      <c r="Q49" s="2"/>
      <c r="R49" s="19">
        <f t="shared" si="13"/>
        <v>2.4914751840818656E-5</v>
      </c>
      <c r="S49" s="2"/>
      <c r="T49" s="2">
        <v>4.84</v>
      </c>
      <c r="U49" s="2"/>
      <c r="V49" s="19">
        <f t="shared" si="14"/>
        <v>4.0597961673645272E-6</v>
      </c>
      <c r="W49" s="2"/>
      <c r="X49" s="2">
        <f t="shared" si="15"/>
        <v>19.16</v>
      </c>
      <c r="Y49" s="2"/>
      <c r="Z49" s="19">
        <f t="shared" si="16"/>
        <v>3.9586776859504136</v>
      </c>
    </row>
    <row r="50" spans="1:26" s="24" customFormat="1" hidden="1" outlineLevel="1" x14ac:dyDescent="0.25">
      <c r="A50" s="44"/>
      <c r="B50" s="11" t="str">
        <f>CONCATENATE("          ", "5583", " - ", "FREIGHT-IN-COMPUTER EQUIPMENT")</f>
        <v xml:space="preserve">          5583 - FREIGHT-IN-COMPUTER EQUIPMENT</v>
      </c>
      <c r="C50" s="11"/>
      <c r="D50" s="2">
        <v>156</v>
      </c>
      <c r="E50" s="2"/>
      <c r="F50" s="19">
        <f t="shared" si="9"/>
        <v>5.9170129826092164E-4</v>
      </c>
      <c r="G50" s="2"/>
      <c r="H50" s="2">
        <v>7.86</v>
      </c>
      <c r="I50" s="2"/>
      <c r="J50" s="19">
        <f t="shared" si="10"/>
        <v>2.4537532294092883E-5</v>
      </c>
      <c r="K50" s="2"/>
      <c r="L50" s="2">
        <f t="shared" si="11"/>
        <v>148.13999999999999</v>
      </c>
      <c r="M50" s="2"/>
      <c r="N50" s="19">
        <f t="shared" si="12"/>
        <v>18.847328244274806</v>
      </c>
      <c r="O50" s="11"/>
      <c r="P50" s="2">
        <v>173.39</v>
      </c>
      <c r="Q50" s="2"/>
      <c r="R50" s="19">
        <f t="shared" si="13"/>
        <v>1.7999870090331445E-4</v>
      </c>
      <c r="S50" s="2"/>
      <c r="T50" s="2">
        <v>41</v>
      </c>
      <c r="U50" s="2"/>
      <c r="V50" s="19">
        <f t="shared" si="14"/>
        <v>3.4390835302054882E-5</v>
      </c>
      <c r="W50" s="2"/>
      <c r="X50" s="2">
        <f t="shared" si="15"/>
        <v>132.38999999999999</v>
      </c>
      <c r="Y50" s="2"/>
      <c r="Z50" s="19">
        <f t="shared" si="16"/>
        <v>3.229024390243902</v>
      </c>
    </row>
    <row r="51" spans="1:26" s="24" customFormat="1" hidden="1" outlineLevel="1" x14ac:dyDescent="0.25">
      <c r="A51" s="44"/>
      <c r="B51" s="11" t="str">
        <f>CONCATENATE("          ", "5586", " - ", "FREIGHT-IN-COMPUTER SUPPLIES")</f>
        <v xml:space="preserve">          5586 - FREIGHT-IN-COMPUTER SUPPLIES</v>
      </c>
      <c r="C51" s="11"/>
      <c r="D51" s="2"/>
      <c r="E51" s="2"/>
      <c r="F51" s="19">
        <f t="shared" si="9"/>
        <v>0</v>
      </c>
      <c r="G51" s="2"/>
      <c r="H51" s="2">
        <v>65.36</v>
      </c>
      <c r="I51" s="2"/>
      <c r="J51" s="19">
        <f t="shared" si="10"/>
        <v>2.0404238050151537E-4</v>
      </c>
      <c r="K51" s="2"/>
      <c r="L51" s="2">
        <f t="shared" si="11"/>
        <v>-65.36</v>
      </c>
      <c r="M51" s="2"/>
      <c r="N51" s="19">
        <f t="shared" si="12"/>
        <v>-1</v>
      </c>
      <c r="O51" s="11"/>
      <c r="P51" s="2">
        <v>24.12</v>
      </c>
      <c r="Q51" s="2"/>
      <c r="R51" s="19">
        <f t="shared" si="13"/>
        <v>2.5039325600022752E-5</v>
      </c>
      <c r="S51" s="2"/>
      <c r="T51" s="2">
        <v>102.39</v>
      </c>
      <c r="U51" s="2"/>
      <c r="V51" s="19">
        <f t="shared" si="14"/>
        <v>8.5884820160424364E-5</v>
      </c>
      <c r="W51" s="2"/>
      <c r="X51" s="2">
        <f t="shared" si="15"/>
        <v>-78.27</v>
      </c>
      <c r="Y51" s="2"/>
      <c r="Z51" s="19">
        <f t="shared" si="16"/>
        <v>-0.76443012012891876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5" t="s">
        <v>6</v>
      </c>
      <c r="C53" s="25"/>
      <c r="D53" s="22">
        <f>D12-D38</f>
        <v>1514.5400000000664</v>
      </c>
      <c r="E53" s="13"/>
      <c r="F53" s="21">
        <f>IF(D$12=0,0,D53/D$12)</f>
        <v>5.7445851555649715E-3</v>
      </c>
      <c r="G53" s="13"/>
      <c r="H53" s="22">
        <f>H12-H38</f>
        <v>41560.529999999912</v>
      </c>
      <c r="I53" s="13"/>
      <c r="J53" s="21">
        <f>IF(H$12=0,0,H53/H$12)</f>
        <v>0.12974463702730457</v>
      </c>
      <c r="K53" s="15"/>
      <c r="L53" s="22">
        <f>+D53-H53</f>
        <v>-40045.989999999845</v>
      </c>
      <c r="M53" s="15"/>
      <c r="N53" s="21">
        <f>IF(H53=0,0,L53/H53)</f>
        <v>-0.96355821256369756</v>
      </c>
      <c r="O53" s="26"/>
      <c r="P53" s="22">
        <f>P12-P38</f>
        <v>38732.729999999865</v>
      </c>
      <c r="Q53" s="13"/>
      <c r="R53" s="21">
        <f>IF(P$12=0,0,P53/P$12)</f>
        <v>4.0209014836142865E-2</v>
      </c>
      <c r="S53" s="13"/>
      <c r="T53" s="22">
        <f>T12-T38</f>
        <v>116017.9299999997</v>
      </c>
      <c r="U53" s="13"/>
      <c r="V53" s="21">
        <f>IF(T$12=0,0,T53/T$12)</f>
        <v>9.7315939578422481E-2</v>
      </c>
      <c r="W53" s="15"/>
      <c r="X53" s="22">
        <f>+P53-T53</f>
        <v>-77285.199999999837</v>
      </c>
      <c r="Y53" s="15"/>
      <c r="Z53" s="21">
        <f>IF(T53=0,0,X53/T53)</f>
        <v>-0.66614875821349373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6" t="s">
        <v>9</v>
      </c>
      <c r="C55" s="10"/>
      <c r="D55" s="20">
        <f>SUM(OSRRefD22x_0)</f>
        <v>12326.230000000001</v>
      </c>
      <c r="E55" s="20"/>
      <c r="F55" s="36">
        <f t="shared" ref="F55:F65" si="17">IF(D$12=0,0,D55/D$12)</f>
        <v>4.6752860856812316E-2</v>
      </c>
      <c r="G55" s="20"/>
      <c r="H55" s="20">
        <f>SUM(OSRRefH22x_0)</f>
        <v>12298.65</v>
      </c>
      <c r="I55" s="20"/>
      <c r="J55" s="36">
        <f t="shared" ref="J55:J65" si="18">IF(H$12=0,0,H55/H$12)</f>
        <v>3.8394213937499415E-2</v>
      </c>
      <c r="K55" s="4"/>
      <c r="L55" s="20">
        <f t="shared" ref="L55:L65" si="19">+D55-H55</f>
        <v>27.580000000001746</v>
      </c>
      <c r="M55" s="4"/>
      <c r="N55" s="36">
        <f t="shared" ref="N55:N65" si="20">IF(H55=0,0,L55/H55)</f>
        <v>2.2425225532885112E-3</v>
      </c>
      <c r="O55" s="10"/>
      <c r="P55" s="20">
        <f>SUM(OSRRefP22x_0)</f>
        <v>39241.700000000012</v>
      </c>
      <c r="Q55" s="20"/>
      <c r="R55" s="36">
        <f t="shared" ref="R55:R65" si="21">IF(P$12=0,0,P55/P$12)</f>
        <v>4.0737384054660576E-2</v>
      </c>
      <c r="S55" s="20"/>
      <c r="T55" s="20">
        <f>SUM(OSRRefT22x_0)</f>
        <v>102193.21999999999</v>
      </c>
      <c r="U55" s="20"/>
      <c r="V55" s="36">
        <f t="shared" ref="V55:V65" si="22">IF(T$12=0,0,T55/T$12)</f>
        <v>8.5719760926991712E-2</v>
      </c>
      <c r="W55" s="4"/>
      <c r="X55" s="20">
        <f t="shared" ref="X55:X65" si="23">+P55-T55</f>
        <v>-62951.519999999975</v>
      </c>
      <c r="Y55" s="4"/>
      <c r="Z55" s="36">
        <f t="shared" ref="Z55:Z65" si="24">IF(T55=0,0,X55/T55)</f>
        <v>-0.61600485824793449</v>
      </c>
    </row>
    <row r="56" spans="1:26" s="27" customFormat="1" outlineLevel="1" collapsed="1" x14ac:dyDescent="0.25">
      <c r="A56" s="29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2917.2400000000007</v>
      </c>
      <c r="E56" s="1"/>
      <c r="F56" s="5">
        <f t="shared" si="17"/>
        <v>1.1064965995760843E-2</v>
      </c>
      <c r="G56" s="1"/>
      <c r="H56" s="1">
        <f>SUM(OSRRefH22_0x_0)</f>
        <v>3779.41</v>
      </c>
      <c r="I56" s="1"/>
      <c r="J56" s="5">
        <f t="shared" si="18"/>
        <v>1.1798650754149818E-2</v>
      </c>
      <c r="K56" s="1"/>
      <c r="L56" s="1">
        <f t="shared" si="19"/>
        <v>-862.16999999999916</v>
      </c>
      <c r="M56" s="1"/>
      <c r="N56" s="5">
        <f t="shared" si="20"/>
        <v>-0.22812290807295296</v>
      </c>
      <c r="O56" s="14"/>
      <c r="P56" s="1">
        <f>SUM(OSRRefP22_0x_0)</f>
        <v>8488.76</v>
      </c>
      <c r="Q56" s="1"/>
      <c r="R56" s="5">
        <f t="shared" si="21"/>
        <v>8.8123062015111574E-3</v>
      </c>
      <c r="S56" s="1"/>
      <c r="T56" s="1">
        <f>SUM(OSRRefT22_0x_0)</f>
        <v>8908.9500000000007</v>
      </c>
      <c r="U56" s="1"/>
      <c r="V56" s="5">
        <f t="shared" si="22"/>
        <v>7.472834930835167E-3</v>
      </c>
      <c r="W56" s="1"/>
      <c r="X56" s="1">
        <f t="shared" si="23"/>
        <v>-420.19000000000051</v>
      </c>
      <c r="Y56" s="1"/>
      <c r="Z56" s="5">
        <f t="shared" si="24"/>
        <v>-4.7164929649397572E-2</v>
      </c>
    </row>
    <row r="57" spans="1:26" s="24" customFormat="1" hidden="1" outlineLevel="2" x14ac:dyDescent="0.25">
      <c r="A57" s="28"/>
      <c r="B57" s="11" t="str">
        <f>CONCATENATE("          ", "6111", " - ", "F.I.C.A.")</f>
        <v xml:space="preserve">          6111 - F.I.C.A.</v>
      </c>
      <c r="C57" s="11"/>
      <c r="D57" s="7">
        <v>530.98</v>
      </c>
      <c r="E57" s="2"/>
      <c r="F57" s="6">
        <f t="shared" si="17"/>
        <v>2.0139843291704113E-3</v>
      </c>
      <c r="G57" s="2"/>
      <c r="H57" s="7">
        <v>699.16</v>
      </c>
      <c r="I57" s="2"/>
      <c r="J57" s="6">
        <f t="shared" si="18"/>
        <v>2.1826540812643737E-3</v>
      </c>
      <c r="K57" s="2"/>
      <c r="L57" s="7">
        <f t="shared" si="19"/>
        <v>-168.17999999999995</v>
      </c>
      <c r="M57" s="2"/>
      <c r="N57" s="6">
        <f t="shared" si="20"/>
        <v>-0.24054579781452023</v>
      </c>
      <c r="O57" s="11"/>
      <c r="P57" s="7">
        <v>1569.36</v>
      </c>
      <c r="Q57" s="2"/>
      <c r="R57" s="6">
        <f t="shared" si="21"/>
        <v>1.6291756228711319E-3</v>
      </c>
      <c r="S57" s="2"/>
      <c r="T57" s="7">
        <v>1774.7</v>
      </c>
      <c r="U57" s="2"/>
      <c r="V57" s="6">
        <f t="shared" si="22"/>
        <v>1.4886198880623609E-3</v>
      </c>
      <c r="W57" s="2"/>
      <c r="X57" s="7">
        <f t="shared" si="23"/>
        <v>-205.34000000000015</v>
      </c>
      <c r="Y57" s="2"/>
      <c r="Z57" s="6">
        <f t="shared" si="24"/>
        <v>-0.11570406265847757</v>
      </c>
    </row>
    <row r="58" spans="1:26" s="24" customFormat="1" hidden="1" outlineLevel="2" x14ac:dyDescent="0.25">
      <c r="A58" s="28"/>
      <c r="B58" s="11" t="str">
        <f>CONCATENATE("          ", "6112", " - ", "COMPENSATION INSURANCE")</f>
        <v xml:space="preserve">          6112 - COMPENSATION INSURANCE</v>
      </c>
      <c r="C58" s="11"/>
      <c r="D58" s="7">
        <v>168.59</v>
      </c>
      <c r="E58" s="2"/>
      <c r="F58" s="6">
        <f t="shared" si="17"/>
        <v>6.394546273962102E-4</v>
      </c>
      <c r="G58" s="2"/>
      <c r="H58" s="7">
        <v>205.93</v>
      </c>
      <c r="I58" s="2"/>
      <c r="J58" s="6">
        <f t="shared" si="18"/>
        <v>6.4287710245833937E-4</v>
      </c>
      <c r="K58" s="2"/>
      <c r="L58" s="7">
        <f t="shared" si="19"/>
        <v>-37.340000000000003</v>
      </c>
      <c r="M58" s="2"/>
      <c r="N58" s="6">
        <f t="shared" si="20"/>
        <v>-0.18132375078910309</v>
      </c>
      <c r="O58" s="11"/>
      <c r="P58" s="7">
        <v>312.5</v>
      </c>
      <c r="Q58" s="2"/>
      <c r="R58" s="6">
        <f t="shared" si="21"/>
        <v>3.2441083126065961E-4</v>
      </c>
      <c r="S58" s="2"/>
      <c r="T58" s="7">
        <v>463.57</v>
      </c>
      <c r="U58" s="2"/>
      <c r="V58" s="6">
        <f t="shared" si="22"/>
        <v>3.888429151456971E-4</v>
      </c>
      <c r="W58" s="2"/>
      <c r="X58" s="7">
        <f t="shared" si="23"/>
        <v>-151.07</v>
      </c>
      <c r="Y58" s="2"/>
      <c r="Z58" s="6">
        <f t="shared" si="24"/>
        <v>-0.3258839010289708</v>
      </c>
    </row>
    <row r="59" spans="1:26" s="24" customFormat="1" hidden="1" outlineLevel="2" x14ac:dyDescent="0.25">
      <c r="A59" s="28"/>
      <c r="B59" s="11" t="str">
        <f>CONCATENATE("          ", "6113", " - ", "GROUP INSURANCE")</f>
        <v xml:space="preserve">          6113 - GROUP INSURANCE</v>
      </c>
      <c r="C59" s="11"/>
      <c r="D59" s="7">
        <v>1035.69</v>
      </c>
      <c r="E59" s="2"/>
      <c r="F59" s="6">
        <f t="shared" si="17"/>
        <v>3.9283276768964995E-3</v>
      </c>
      <c r="G59" s="2"/>
      <c r="H59" s="7">
        <v>964.88</v>
      </c>
      <c r="I59" s="2"/>
      <c r="J59" s="6">
        <f t="shared" si="18"/>
        <v>3.0121850076239619E-3</v>
      </c>
      <c r="K59" s="2"/>
      <c r="L59" s="7">
        <f t="shared" si="19"/>
        <v>70.810000000000059</v>
      </c>
      <c r="M59" s="2"/>
      <c r="N59" s="6">
        <f t="shared" si="20"/>
        <v>7.3387364231821642E-2</v>
      </c>
      <c r="O59" s="11"/>
      <c r="P59" s="7">
        <v>3107.07</v>
      </c>
      <c r="Q59" s="2"/>
      <c r="R59" s="6">
        <f t="shared" si="21"/>
        <v>3.2254949167521848E-3</v>
      </c>
      <c r="S59" s="2"/>
      <c r="T59" s="7">
        <v>2894.64</v>
      </c>
      <c r="U59" s="2"/>
      <c r="V59" s="6">
        <f t="shared" si="22"/>
        <v>2.4280265243595152E-3</v>
      </c>
      <c r="W59" s="2"/>
      <c r="X59" s="7">
        <f t="shared" si="23"/>
        <v>212.43000000000029</v>
      </c>
      <c r="Y59" s="2"/>
      <c r="Z59" s="6">
        <f t="shared" si="24"/>
        <v>7.3387364231821683E-2</v>
      </c>
    </row>
    <row r="60" spans="1:26" s="24" customFormat="1" hidden="1" outlineLevel="2" x14ac:dyDescent="0.25">
      <c r="A60" s="28"/>
      <c r="B60" s="11" t="str">
        <f>CONCATENATE("          ", "6114", " - ", "STATE UNEMPLOYMENT INSURANCE")</f>
        <v xml:space="preserve">          6114 - STATE UNEMPLOYMENT INSURANCE</v>
      </c>
      <c r="C60" s="11"/>
      <c r="D60" s="7">
        <v>23.69</v>
      </c>
      <c r="E60" s="2"/>
      <c r="F60" s="6">
        <f t="shared" si="17"/>
        <v>8.9855152280777153E-5</v>
      </c>
      <c r="G60" s="2"/>
      <c r="H60" s="7">
        <v>28.18</v>
      </c>
      <c r="I60" s="2"/>
      <c r="J60" s="6">
        <f t="shared" si="18"/>
        <v>8.797298473887244E-5</v>
      </c>
      <c r="K60" s="2"/>
      <c r="L60" s="7">
        <f t="shared" si="19"/>
        <v>-4.4899999999999984</v>
      </c>
      <c r="M60" s="2"/>
      <c r="N60" s="6">
        <f t="shared" si="20"/>
        <v>-0.15933286018452797</v>
      </c>
      <c r="O60" s="11"/>
      <c r="P60" s="7">
        <v>58.62</v>
      </c>
      <c r="Q60" s="2"/>
      <c r="R60" s="6">
        <f t="shared" si="21"/>
        <v>6.0854281371199571E-5</v>
      </c>
      <c r="S60" s="2"/>
      <c r="T60" s="7">
        <v>63.44</v>
      </c>
      <c r="U60" s="2"/>
      <c r="V60" s="6">
        <f t="shared" si="22"/>
        <v>5.3213526623472227E-5</v>
      </c>
      <c r="W60" s="2"/>
      <c r="X60" s="7">
        <f t="shared" si="23"/>
        <v>-4.82</v>
      </c>
      <c r="Y60" s="2"/>
      <c r="Z60" s="6">
        <f t="shared" si="24"/>
        <v>-7.5977301387137458E-2</v>
      </c>
    </row>
    <row r="61" spans="1:26" s="24" customFormat="1" hidden="1" outlineLevel="2" x14ac:dyDescent="0.25">
      <c r="A61" s="28"/>
      <c r="B61" s="11" t="str">
        <f>CONCATENATE("          ", "6115", " - ", "P.E.R.S.")</f>
        <v xml:space="preserve">          6115 - P.E.R.S.</v>
      </c>
      <c r="C61" s="11"/>
      <c r="D61" s="7">
        <v>176.42</v>
      </c>
      <c r="E61" s="2"/>
      <c r="F61" s="6">
        <f t="shared" si="17"/>
        <v>6.6915348102046025E-4</v>
      </c>
      <c r="G61" s="2"/>
      <c r="H61" s="7">
        <v>196.25</v>
      </c>
      <c r="I61" s="2"/>
      <c r="J61" s="6">
        <f t="shared" si="18"/>
        <v>6.1265785149055066E-4</v>
      </c>
      <c r="K61" s="2"/>
      <c r="L61" s="7">
        <f t="shared" si="19"/>
        <v>-19.830000000000013</v>
      </c>
      <c r="M61" s="2"/>
      <c r="N61" s="6">
        <f t="shared" si="20"/>
        <v>-0.10104458598726121</v>
      </c>
      <c r="O61" s="11"/>
      <c r="P61" s="7">
        <v>617.47</v>
      </c>
      <c r="Q61" s="2"/>
      <c r="R61" s="6">
        <f t="shared" si="21"/>
        <v>6.4100465913126241E-4</v>
      </c>
      <c r="S61" s="2"/>
      <c r="T61" s="7">
        <v>563.04999999999995</v>
      </c>
      <c r="U61" s="2"/>
      <c r="V61" s="6">
        <f t="shared" si="22"/>
        <v>4.7228682480053656E-4</v>
      </c>
      <c r="W61" s="2"/>
      <c r="X61" s="7">
        <f t="shared" si="23"/>
        <v>54.420000000000073</v>
      </c>
      <c r="Y61" s="2"/>
      <c r="Z61" s="6">
        <f t="shared" si="24"/>
        <v>9.66521623301662E-2</v>
      </c>
    </row>
    <row r="62" spans="1:26" s="24" customFormat="1" hidden="1" outlineLevel="2" x14ac:dyDescent="0.25">
      <c r="A62" s="28"/>
      <c r="B62" s="11" t="str">
        <f>CONCATENATE("          ", "6117", " - ", "RETIREMENT STAFF HOURLY")</f>
        <v xml:space="preserve">          6117 - RETIREMENT STAFF HOURLY</v>
      </c>
      <c r="C62" s="11"/>
      <c r="D62" s="7">
        <v>185.73</v>
      </c>
      <c r="E62" s="2"/>
      <c r="F62" s="6">
        <f t="shared" si="17"/>
        <v>7.0446591106410885E-4</v>
      </c>
      <c r="G62" s="2"/>
      <c r="H62" s="7">
        <v>301.07</v>
      </c>
      <c r="I62" s="2"/>
      <c r="J62" s="6">
        <f t="shared" si="18"/>
        <v>9.3988738521406413E-4</v>
      </c>
      <c r="K62" s="2"/>
      <c r="L62" s="7">
        <f t="shared" si="19"/>
        <v>-115.34</v>
      </c>
      <c r="M62" s="2"/>
      <c r="N62" s="6">
        <f t="shared" si="20"/>
        <v>-0.38310027568339589</v>
      </c>
      <c r="O62" s="11"/>
      <c r="P62" s="7">
        <v>623.80999999999995</v>
      </c>
      <c r="Q62" s="2"/>
      <c r="R62" s="6">
        <f t="shared" si="21"/>
        <v>6.4758630607587853E-4</v>
      </c>
      <c r="S62" s="2"/>
      <c r="T62" s="7">
        <v>552.04999999999995</v>
      </c>
      <c r="U62" s="2"/>
      <c r="V62" s="6">
        <f t="shared" si="22"/>
        <v>4.6306001532925349E-4</v>
      </c>
      <c r="W62" s="2"/>
      <c r="X62" s="7">
        <f t="shared" si="23"/>
        <v>71.759999999999991</v>
      </c>
      <c r="Y62" s="2"/>
      <c r="Z62" s="6">
        <f t="shared" si="24"/>
        <v>0.12998822570419347</v>
      </c>
    </row>
    <row r="63" spans="1:26" s="24" customFormat="1" hidden="1" outlineLevel="2" x14ac:dyDescent="0.25">
      <c r="A63" s="28"/>
      <c r="B63" s="11" t="str">
        <f>CONCATENATE("          ", "6118", " - ", "VACATION")</f>
        <v xml:space="preserve">          6118 - VACATION</v>
      </c>
      <c r="C63" s="11"/>
      <c r="D63" s="7">
        <v>257.8</v>
      </c>
      <c r="E63" s="2"/>
      <c r="F63" s="6">
        <f t="shared" si="17"/>
        <v>9.7782432494657439E-4</v>
      </c>
      <c r="G63" s="2"/>
      <c r="H63" s="7">
        <v>572.64</v>
      </c>
      <c r="I63" s="2"/>
      <c r="J63" s="6">
        <f t="shared" si="18"/>
        <v>1.7876809787391028E-3</v>
      </c>
      <c r="K63" s="2"/>
      <c r="L63" s="7">
        <f t="shared" si="19"/>
        <v>-314.83999999999997</v>
      </c>
      <c r="M63" s="2"/>
      <c r="N63" s="6">
        <f t="shared" si="20"/>
        <v>-0.54980441464096108</v>
      </c>
      <c r="O63" s="11"/>
      <c r="P63" s="7">
        <v>773.4</v>
      </c>
      <c r="Q63" s="2"/>
      <c r="R63" s="6">
        <f t="shared" si="21"/>
        <v>8.0287787807038118E-4</v>
      </c>
      <c r="S63" s="2"/>
      <c r="T63" s="7">
        <v>1037.27</v>
      </c>
      <c r="U63" s="2"/>
      <c r="V63" s="6">
        <f t="shared" si="22"/>
        <v>8.7006296911615766E-4</v>
      </c>
      <c r="W63" s="2"/>
      <c r="X63" s="7">
        <f t="shared" si="23"/>
        <v>-263.87</v>
      </c>
      <c r="Y63" s="2"/>
      <c r="Z63" s="6">
        <f t="shared" si="24"/>
        <v>-0.2543889247736848</v>
      </c>
    </row>
    <row r="64" spans="1:26" s="24" customFormat="1" hidden="1" outlineLevel="2" x14ac:dyDescent="0.25">
      <c r="A64" s="28"/>
      <c r="B64" s="11" t="str">
        <f>CONCATENATE("          ", "6119", " - ", "SICK LEAVE")</f>
        <v xml:space="preserve">          6119 - SICK LEAVE</v>
      </c>
      <c r="C64" s="11"/>
      <c r="D64" s="7">
        <v>256.57</v>
      </c>
      <c r="E64" s="2"/>
      <c r="F64" s="6">
        <f t="shared" si="17"/>
        <v>9.7315898778720935E-4</v>
      </c>
      <c r="G64" s="2"/>
      <c r="H64" s="7">
        <v>636.29999999999995</v>
      </c>
      <c r="I64" s="2"/>
      <c r="J64" s="6">
        <f t="shared" si="18"/>
        <v>1.9864162593805725E-3</v>
      </c>
      <c r="K64" s="2"/>
      <c r="L64" s="7">
        <f t="shared" si="19"/>
        <v>-379.72999999999996</v>
      </c>
      <c r="M64" s="2"/>
      <c r="N64" s="6">
        <f t="shared" si="20"/>
        <v>-0.59677824925349676</v>
      </c>
      <c r="O64" s="11"/>
      <c r="P64" s="7">
        <v>769.71</v>
      </c>
      <c r="Q64" s="2"/>
      <c r="R64" s="6">
        <f t="shared" si="21"/>
        <v>7.9904723497485543E-4</v>
      </c>
      <c r="S64" s="2"/>
      <c r="T64" s="7">
        <v>1086.03</v>
      </c>
      <c r="U64" s="2"/>
      <c r="V64" s="6">
        <f t="shared" si="22"/>
        <v>9.1096289909977214E-4</v>
      </c>
      <c r="W64" s="2"/>
      <c r="X64" s="7">
        <f t="shared" si="23"/>
        <v>-316.31999999999994</v>
      </c>
      <c r="Y64" s="2"/>
      <c r="Z64" s="6">
        <f t="shared" si="24"/>
        <v>-0.29126267230187008</v>
      </c>
    </row>
    <row r="65" spans="1:26" s="24" customFormat="1" hidden="1" outlineLevel="2" x14ac:dyDescent="0.25">
      <c r="A65" s="28"/>
      <c r="B65" s="11" t="str">
        <f>CONCATENATE("          ", "6156", " - ", "EMPLOYEE MEALS")</f>
        <v xml:space="preserve">          6156 - EMPLOYEE MEALS</v>
      </c>
      <c r="C65" s="11"/>
      <c r="D65" s="7">
        <v>281.77</v>
      </c>
      <c r="E65" s="2"/>
      <c r="F65" s="6">
        <f t="shared" si="17"/>
        <v>1.0687415051985889E-3</v>
      </c>
      <c r="G65" s="2"/>
      <c r="H65" s="7">
        <v>175</v>
      </c>
      <c r="I65" s="2"/>
      <c r="J65" s="6">
        <f t="shared" si="18"/>
        <v>5.4631910323998142E-4</v>
      </c>
      <c r="K65" s="2"/>
      <c r="L65" s="7">
        <f t="shared" si="19"/>
        <v>106.76999999999998</v>
      </c>
      <c r="M65" s="2"/>
      <c r="N65" s="6">
        <f t="shared" si="20"/>
        <v>0.61011428571428561</v>
      </c>
      <c r="O65" s="11"/>
      <c r="P65" s="7">
        <v>656.82</v>
      </c>
      <c r="Q65" s="2"/>
      <c r="R65" s="6">
        <f t="shared" si="21"/>
        <v>6.8185447100360468E-4</v>
      </c>
      <c r="S65" s="2"/>
      <c r="T65" s="7">
        <v>474.2</v>
      </c>
      <c r="U65" s="2"/>
      <c r="V65" s="6">
        <f t="shared" si="22"/>
        <v>3.9775936829840059E-4</v>
      </c>
      <c r="W65" s="2"/>
      <c r="X65" s="7">
        <f t="shared" si="23"/>
        <v>182.62000000000006</v>
      </c>
      <c r="Y65" s="2"/>
      <c r="Z65" s="6">
        <f t="shared" si="24"/>
        <v>0.38511176718684115</v>
      </c>
    </row>
    <row r="66" spans="1:26" s="27" customFormat="1" outlineLevel="1" collapsed="1" x14ac:dyDescent="0.25">
      <c r="A66" s="29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7451.68</v>
      </c>
      <c r="E66" s="1"/>
      <c r="F66" s="5">
        <f t="shared" ref="F66:F71" si="25">IF(D$12=0,0,D66/D$12)</f>
        <v>2.826390211682657E-2</v>
      </c>
      <c r="G66" s="1"/>
      <c r="H66" s="1">
        <f>SUM(OSRRefH22_1x_0)</f>
        <v>10223.98</v>
      </c>
      <c r="I66" s="1"/>
      <c r="J66" s="5">
        <f t="shared" ref="J66:J71" si="26">IF(H$12=0,0,H66/H$12)</f>
        <v>3.1917460486534315E-2</v>
      </c>
      <c r="K66" s="1"/>
      <c r="L66" s="1">
        <f t="shared" ref="L66:L71" si="27">+D66-H66</f>
        <v>-2772.2999999999993</v>
      </c>
      <c r="M66" s="1"/>
      <c r="N66" s="5">
        <f t="shared" ref="N66:N71" si="28">IF(H66=0,0,L66/H66)</f>
        <v>-0.27115663371798454</v>
      </c>
      <c r="O66" s="14"/>
      <c r="P66" s="1">
        <f>SUM(OSRRefP22_1x_0)</f>
        <v>23259.17</v>
      </c>
      <c r="Q66" s="1"/>
      <c r="R66" s="5">
        <f t="shared" ref="R66:R71" si="29">IF(P$12=0,0,P66/P$12)</f>
        <v>2.4145685357225586E-2</v>
      </c>
      <c r="S66" s="1"/>
      <c r="T66" s="1">
        <f>SUM(OSRRefT22_1x_0)</f>
        <v>27512.059999999998</v>
      </c>
      <c r="U66" s="1"/>
      <c r="V66" s="5">
        <f t="shared" ref="V66:V71" si="30">IF(T$12=0,0,T66/T$12)</f>
        <v>2.307713961659151E-2</v>
      </c>
      <c r="W66" s="1"/>
      <c r="X66" s="1">
        <f t="shared" ref="X66:X71" si="31">+P66-T66</f>
        <v>-4252.8899999999994</v>
      </c>
      <c r="Y66" s="1"/>
      <c r="Z66" s="5">
        <f t="shared" ref="Z66:Z71" si="32">IF(T66=0,0,X66/T66)</f>
        <v>-0.15458275389047565</v>
      </c>
    </row>
    <row r="67" spans="1:26" s="24" customFormat="1" hidden="1" outlineLevel="2" x14ac:dyDescent="0.25">
      <c r="A67" s="28"/>
      <c r="B67" s="11" t="str">
        <f>CONCATENATE("          ", "6002", " - ", "STAFF SALARIES")</f>
        <v xml:space="preserve">          6002 - STAFF SALARIES</v>
      </c>
      <c r="C67" s="11"/>
      <c r="D67" s="7">
        <v>2282.3000000000002</v>
      </c>
      <c r="E67" s="2"/>
      <c r="F67" s="6">
        <f t="shared" si="25"/>
        <v>8.6566658526980866E-3</v>
      </c>
      <c r="G67" s="2"/>
      <c r="H67" s="7">
        <v>2855.56</v>
      </c>
      <c r="I67" s="2"/>
      <c r="J67" s="6">
        <f t="shared" si="26"/>
        <v>8.9145541625597798E-3</v>
      </c>
      <c r="K67" s="2"/>
      <c r="L67" s="7">
        <f t="shared" si="27"/>
        <v>-573.25999999999976</v>
      </c>
      <c r="M67" s="2"/>
      <c r="N67" s="6">
        <f t="shared" si="28"/>
        <v>-0.20075221672806726</v>
      </c>
      <c r="O67" s="11"/>
      <c r="P67" s="7">
        <v>6961.44</v>
      </c>
      <c r="Q67" s="2"/>
      <c r="R67" s="6">
        <f t="shared" si="29"/>
        <v>7.226772918947859E-3</v>
      </c>
      <c r="S67" s="2"/>
      <c r="T67" s="7">
        <v>8631.64</v>
      </c>
      <c r="U67" s="2"/>
      <c r="V67" s="6">
        <f t="shared" si="30"/>
        <v>7.2402270640641204E-3</v>
      </c>
      <c r="W67" s="2"/>
      <c r="X67" s="7">
        <f t="shared" si="31"/>
        <v>-1670.1999999999998</v>
      </c>
      <c r="Y67" s="2"/>
      <c r="Z67" s="6">
        <f t="shared" si="32"/>
        <v>-0.19349741184757474</v>
      </c>
    </row>
    <row r="68" spans="1:26" s="24" customFormat="1" hidden="1" outlineLevel="2" x14ac:dyDescent="0.25">
      <c r="A68" s="28"/>
      <c r="B68" s="11" t="str">
        <f>CONCATENATE("          ", "6004", " - ", "STAFF HOURLY")</f>
        <v xml:space="preserve">          6004 - STAFF HOURLY</v>
      </c>
      <c r="C68" s="11"/>
      <c r="D68" s="7">
        <v>3714.5</v>
      </c>
      <c r="E68" s="2"/>
      <c r="F68" s="6">
        <f t="shared" si="25"/>
        <v>1.4088938925578163E-2</v>
      </c>
      <c r="G68" s="2"/>
      <c r="H68" s="7"/>
      <c r="I68" s="2"/>
      <c r="J68" s="6">
        <f t="shared" si="26"/>
        <v>0</v>
      </c>
      <c r="K68" s="2"/>
      <c r="L68" s="7">
        <f t="shared" si="27"/>
        <v>3714.5</v>
      </c>
      <c r="M68" s="2"/>
      <c r="N68" s="6">
        <f t="shared" si="28"/>
        <v>0</v>
      </c>
      <c r="O68" s="11"/>
      <c r="P68" s="7">
        <v>10549.21</v>
      </c>
      <c r="Q68" s="2"/>
      <c r="R68" s="6">
        <f t="shared" si="29"/>
        <v>1.0951289552778441E-2</v>
      </c>
      <c r="S68" s="2"/>
      <c r="T68" s="7"/>
      <c r="U68" s="2"/>
      <c r="V68" s="6">
        <f t="shared" si="30"/>
        <v>0</v>
      </c>
      <c r="W68" s="2"/>
      <c r="X68" s="7">
        <f t="shared" si="31"/>
        <v>10549.21</v>
      </c>
      <c r="Y68" s="2"/>
      <c r="Z68" s="6">
        <f t="shared" si="32"/>
        <v>0</v>
      </c>
    </row>
    <row r="69" spans="1:26" s="24" customFormat="1" hidden="1" outlineLevel="2" x14ac:dyDescent="0.25">
      <c r="A69" s="28"/>
      <c r="B69" s="11" t="str">
        <f>CONCATENATE("          ", "6005", " - ", "TEMPORARY WAGES-HOURLY")</f>
        <v xml:space="preserve">          6005 - TEMPORARY WAGES-HOURLY</v>
      </c>
      <c r="C69" s="11"/>
      <c r="D69" s="7"/>
      <c r="E69" s="2"/>
      <c r="F69" s="6">
        <f t="shared" si="25"/>
        <v>0</v>
      </c>
      <c r="G69" s="2"/>
      <c r="H69" s="7">
        <v>4227.2700000000004</v>
      </c>
      <c r="I69" s="2"/>
      <c r="J69" s="6">
        <f t="shared" si="26"/>
        <v>1.3196790603161581E-2</v>
      </c>
      <c r="K69" s="2"/>
      <c r="L69" s="7">
        <f t="shared" si="27"/>
        <v>-4227.2700000000004</v>
      </c>
      <c r="M69" s="2"/>
      <c r="N69" s="6">
        <f t="shared" si="28"/>
        <v>-1</v>
      </c>
      <c r="O69" s="11"/>
      <c r="P69" s="7"/>
      <c r="Q69" s="2"/>
      <c r="R69" s="6">
        <f t="shared" si="29"/>
        <v>0</v>
      </c>
      <c r="S69" s="2"/>
      <c r="T69" s="7">
        <v>9368.14</v>
      </c>
      <c r="U69" s="2"/>
      <c r="V69" s="6">
        <f t="shared" si="30"/>
        <v>7.8580038982095698E-3</v>
      </c>
      <c r="W69" s="2"/>
      <c r="X69" s="7">
        <f t="shared" si="31"/>
        <v>-9368.14</v>
      </c>
      <c r="Y69" s="2"/>
      <c r="Z69" s="6">
        <f t="shared" si="32"/>
        <v>-1</v>
      </c>
    </row>
    <row r="70" spans="1:26" s="24" customFormat="1" hidden="1" outlineLevel="2" x14ac:dyDescent="0.25">
      <c r="A70" s="28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5"/>
        <v>0</v>
      </c>
      <c r="G70" s="2"/>
      <c r="H70" s="7">
        <v>2102.34</v>
      </c>
      <c r="I70" s="2"/>
      <c r="J70" s="6">
        <f t="shared" si="26"/>
        <v>6.563134305745958E-3</v>
      </c>
      <c r="K70" s="2"/>
      <c r="L70" s="7">
        <f t="shared" si="27"/>
        <v>-2102.34</v>
      </c>
      <c r="M70" s="2"/>
      <c r="N70" s="6">
        <f t="shared" si="28"/>
        <v>-1</v>
      </c>
      <c r="O70" s="11"/>
      <c r="P70" s="7"/>
      <c r="Q70" s="2"/>
      <c r="R70" s="6">
        <f t="shared" si="29"/>
        <v>0</v>
      </c>
      <c r="S70" s="2"/>
      <c r="T70" s="7">
        <v>5054.16</v>
      </c>
      <c r="U70" s="2"/>
      <c r="V70" s="6">
        <f t="shared" si="30"/>
        <v>4.2394337597617968E-3</v>
      </c>
      <c r="W70" s="2"/>
      <c r="X70" s="7">
        <f t="shared" si="31"/>
        <v>-5054.16</v>
      </c>
      <c r="Y70" s="2"/>
      <c r="Z70" s="6">
        <f t="shared" si="32"/>
        <v>-1</v>
      </c>
    </row>
    <row r="71" spans="1:26" s="24" customFormat="1" hidden="1" outlineLevel="2" x14ac:dyDescent="0.25">
      <c r="A71" s="28"/>
      <c r="B71" s="11" t="str">
        <f>CONCATENATE("          ", "6007", " - ", "STUDENT HOURLY")</f>
        <v xml:space="preserve">          6007 - STUDENT HOURLY</v>
      </c>
      <c r="C71" s="11"/>
      <c r="D71" s="7">
        <v>1454.88</v>
      </c>
      <c r="E71" s="2"/>
      <c r="F71" s="6">
        <f t="shared" si="25"/>
        <v>5.518297338550319E-3</v>
      </c>
      <c r="G71" s="2"/>
      <c r="H71" s="7">
        <v>1038.81</v>
      </c>
      <c r="I71" s="2"/>
      <c r="J71" s="6">
        <f t="shared" si="26"/>
        <v>3.2429814150670006E-3</v>
      </c>
      <c r="K71" s="2"/>
      <c r="L71" s="7">
        <f t="shared" si="27"/>
        <v>416.07000000000016</v>
      </c>
      <c r="M71" s="2"/>
      <c r="N71" s="6">
        <f t="shared" si="28"/>
        <v>0.40052560140930504</v>
      </c>
      <c r="O71" s="11"/>
      <c r="P71" s="7">
        <v>5748.52</v>
      </c>
      <c r="Q71" s="2"/>
      <c r="R71" s="6">
        <f t="shared" si="29"/>
        <v>5.9676228854992864E-3</v>
      </c>
      <c r="S71" s="2"/>
      <c r="T71" s="7">
        <v>4458.12</v>
      </c>
      <c r="U71" s="2"/>
      <c r="V71" s="6">
        <f t="shared" si="30"/>
        <v>3.7394748945560217E-3</v>
      </c>
      <c r="W71" s="2"/>
      <c r="X71" s="7">
        <f t="shared" si="31"/>
        <v>1290.4000000000005</v>
      </c>
      <c r="Y71" s="2"/>
      <c r="Z71" s="6">
        <f t="shared" si="32"/>
        <v>0.28944936430603047</v>
      </c>
    </row>
    <row r="72" spans="1:26" s="27" customFormat="1" outlineLevel="1" collapsed="1" x14ac:dyDescent="0.25">
      <c r="A72" s="29"/>
      <c r="B72" s="14" t="str">
        <f>CONCATENATE("     ","Advertising/Promo                                 ")</f>
        <v xml:space="preserve">     Advertising/Promo                                 </v>
      </c>
      <c r="C72" s="14"/>
      <c r="D72" s="1">
        <f>SUM(OSRRefD22_2x_0)</f>
        <v>0</v>
      </c>
      <c r="E72" s="1"/>
      <c r="F72" s="5">
        <f t="shared" ref="F72:F80" si="33">IF(D$12=0,0,D72/D$12)</f>
        <v>0</v>
      </c>
      <c r="G72" s="1"/>
      <c r="H72" s="1">
        <f>SUM(OSRRefH22_2x_0)</f>
        <v>98.24</v>
      </c>
      <c r="I72" s="1"/>
      <c r="J72" s="5">
        <f t="shared" ref="J72:J80" si="34">IF(H$12=0,0,H72/H$12)</f>
        <v>3.0668793544169013E-4</v>
      </c>
      <c r="K72" s="1"/>
      <c r="L72" s="1">
        <f t="shared" ref="L72:L80" si="35">+D72-H72</f>
        <v>-98.24</v>
      </c>
      <c r="M72" s="1"/>
      <c r="N72" s="5">
        <f t="shared" ref="N72:N80" si="36">IF(H72=0,0,L72/H72)</f>
        <v>-1</v>
      </c>
      <c r="O72" s="14"/>
      <c r="P72" s="1">
        <f>SUM(OSRRefP22_2x_0)</f>
        <v>248.88</v>
      </c>
      <c r="Q72" s="1"/>
      <c r="R72" s="5">
        <f t="shared" ref="R72:R80" si="37">IF(P$12=0,0,P72/P$12)</f>
        <v>2.5836597658928945E-4</v>
      </c>
      <c r="S72" s="1"/>
      <c r="T72" s="1">
        <f>SUM(OSRRefT22_2x_0)</f>
        <v>800.4</v>
      </c>
      <c r="U72" s="1"/>
      <c r="V72" s="5">
        <f t="shared" ref="V72:V80" si="38">IF(T$12=0,0,T72/T$12)</f>
        <v>6.7137620916499327E-4</v>
      </c>
      <c r="W72" s="1"/>
      <c r="X72" s="1">
        <f t="shared" ref="X72:X80" si="39">+P72-T72</f>
        <v>-551.52</v>
      </c>
      <c r="Y72" s="1"/>
      <c r="Z72" s="5">
        <f t="shared" ref="Z72:Z80" si="40">IF(T72=0,0,X72/T72)</f>
        <v>-0.6890554722638681</v>
      </c>
    </row>
    <row r="73" spans="1:26" s="24" customFormat="1" hidden="1" outlineLevel="2" x14ac:dyDescent="0.25">
      <c r="A73" s="28"/>
      <c r="B73" s="11" t="str">
        <f>CONCATENATE("          ", "6362", " - ", "ADVERTISING EXPENSE")</f>
        <v xml:space="preserve">          6362 - ADVERTISING EXPENSE</v>
      </c>
      <c r="C73" s="11"/>
      <c r="D73" s="7"/>
      <c r="E73" s="2"/>
      <c r="F73" s="6">
        <f t="shared" si="33"/>
        <v>0</v>
      </c>
      <c r="G73" s="2"/>
      <c r="H73" s="7">
        <v>98.24</v>
      </c>
      <c r="I73" s="2"/>
      <c r="J73" s="6">
        <f t="shared" si="34"/>
        <v>3.0668793544169013E-4</v>
      </c>
      <c r="K73" s="2"/>
      <c r="L73" s="7">
        <f t="shared" si="35"/>
        <v>-98.24</v>
      </c>
      <c r="M73" s="2"/>
      <c r="N73" s="6">
        <f t="shared" si="36"/>
        <v>-1</v>
      </c>
      <c r="O73" s="11"/>
      <c r="P73" s="7">
        <v>248.88</v>
      </c>
      <c r="Q73" s="2"/>
      <c r="R73" s="6">
        <f t="shared" si="37"/>
        <v>2.5836597658928945E-4</v>
      </c>
      <c r="S73" s="2"/>
      <c r="T73" s="7">
        <v>800.4</v>
      </c>
      <c r="U73" s="2"/>
      <c r="V73" s="6">
        <f t="shared" si="38"/>
        <v>6.7137620916499327E-4</v>
      </c>
      <c r="W73" s="2"/>
      <c r="X73" s="7">
        <f t="shared" si="39"/>
        <v>-551.52</v>
      </c>
      <c r="Y73" s="2"/>
      <c r="Z73" s="6">
        <f t="shared" si="40"/>
        <v>-0.6890554722638681</v>
      </c>
    </row>
    <row r="74" spans="1:26" s="27" customFormat="1" outlineLevel="1" collapsed="1" x14ac:dyDescent="0.25">
      <c r="A74" s="29"/>
      <c r="B74" s="14" t="str">
        <f>CONCATENATE("     ","Depreciation                                      ")</f>
        <v xml:space="preserve">     Depreciation                                      </v>
      </c>
      <c r="C74" s="14"/>
      <c r="D74" s="1">
        <f>SUM(OSRRefD22_3x_0)</f>
        <v>280.44</v>
      </c>
      <c r="E74" s="1"/>
      <c r="F74" s="5">
        <f t="shared" si="33"/>
        <v>1.0636968723352106E-3</v>
      </c>
      <c r="G74" s="1"/>
      <c r="H74" s="1">
        <f>SUM(OSRRefH22_3x_0)</f>
        <v>280.44</v>
      </c>
      <c r="I74" s="1"/>
      <c r="J74" s="5">
        <f t="shared" si="34"/>
        <v>8.7548416750068796E-4</v>
      </c>
      <c r="K74" s="1"/>
      <c r="L74" s="1">
        <f t="shared" si="35"/>
        <v>0</v>
      </c>
      <c r="M74" s="1"/>
      <c r="N74" s="5">
        <f t="shared" si="36"/>
        <v>0</v>
      </c>
      <c r="O74" s="14"/>
      <c r="P74" s="1">
        <f>SUM(OSRRefP22_3x_0)</f>
        <v>841.32</v>
      </c>
      <c r="Q74" s="1"/>
      <c r="R74" s="5">
        <f t="shared" si="37"/>
        <v>8.7338662577989804E-4</v>
      </c>
      <c r="S74" s="1"/>
      <c r="T74" s="1">
        <f>SUM(OSRRefT22_3x_0)</f>
        <v>841.32</v>
      </c>
      <c r="U74" s="1"/>
      <c r="V74" s="5">
        <f t="shared" si="38"/>
        <v>7.0569994039816619E-4</v>
      </c>
      <c r="W74" s="1"/>
      <c r="X74" s="1">
        <f t="shared" si="39"/>
        <v>0</v>
      </c>
      <c r="Y74" s="1"/>
      <c r="Z74" s="5">
        <f t="shared" si="40"/>
        <v>0</v>
      </c>
    </row>
    <row r="75" spans="1:26" s="24" customFormat="1" hidden="1" outlineLevel="2" x14ac:dyDescent="0.25">
      <c r="A75" s="28"/>
      <c r="B75" s="11" t="str">
        <f>CONCATENATE("          ", "6322", " - ", "EQUIPMENT DEPRECIATION EXPENSE")</f>
        <v xml:space="preserve">          6322 - EQUIPMENT DEPRECIATION EXPENSE</v>
      </c>
      <c r="C75" s="11"/>
      <c r="D75" s="7">
        <v>280.44</v>
      </c>
      <c r="E75" s="2"/>
      <c r="F75" s="6">
        <f t="shared" si="33"/>
        <v>1.0636968723352106E-3</v>
      </c>
      <c r="G75" s="2"/>
      <c r="H75" s="7">
        <v>280.44</v>
      </c>
      <c r="I75" s="2"/>
      <c r="J75" s="6">
        <f t="shared" si="34"/>
        <v>8.7548416750068796E-4</v>
      </c>
      <c r="K75" s="2"/>
      <c r="L75" s="7">
        <f t="shared" si="35"/>
        <v>0</v>
      </c>
      <c r="M75" s="2"/>
      <c r="N75" s="6">
        <f t="shared" si="36"/>
        <v>0</v>
      </c>
      <c r="O75" s="11"/>
      <c r="P75" s="7">
        <v>841.32</v>
      </c>
      <c r="Q75" s="2"/>
      <c r="R75" s="6">
        <f t="shared" si="37"/>
        <v>8.7338662577989804E-4</v>
      </c>
      <c r="S75" s="2"/>
      <c r="T75" s="7">
        <v>841.32</v>
      </c>
      <c r="U75" s="2"/>
      <c r="V75" s="6">
        <f t="shared" si="38"/>
        <v>7.0569994039816619E-4</v>
      </c>
      <c r="W75" s="2"/>
      <c r="X75" s="7">
        <f t="shared" si="39"/>
        <v>0</v>
      </c>
      <c r="Y75" s="2"/>
      <c r="Z75" s="6">
        <f t="shared" si="40"/>
        <v>0</v>
      </c>
    </row>
    <row r="76" spans="1:26" s="27" customFormat="1" outlineLevel="1" collapsed="1" x14ac:dyDescent="0.25">
      <c r="A76" s="29"/>
      <c r="B76" s="14" t="str">
        <f>CONCATENATE("     ","Discounts and Markdowns                           ")</f>
        <v xml:space="preserve">     Discounts and Markdowns                           </v>
      </c>
      <c r="C76" s="14"/>
      <c r="D76" s="1">
        <f>SUM(OSRRefD22_4x_0)</f>
        <v>0</v>
      </c>
      <c r="E76" s="1"/>
      <c r="F76" s="5">
        <f t="shared" si="33"/>
        <v>0</v>
      </c>
      <c r="G76" s="1"/>
      <c r="H76" s="1">
        <f>SUM(OSRRefH22_4x_0)</f>
        <v>-3019.66</v>
      </c>
      <c r="I76" s="1"/>
      <c r="J76" s="5">
        <f t="shared" si="34"/>
        <v>-9.4268453902265278E-3</v>
      </c>
      <c r="K76" s="1"/>
      <c r="L76" s="1">
        <f t="shared" si="35"/>
        <v>3019.66</v>
      </c>
      <c r="M76" s="1"/>
      <c r="N76" s="5">
        <f t="shared" si="36"/>
        <v>-1</v>
      </c>
      <c r="O76" s="14"/>
      <c r="P76" s="1">
        <f>SUM(OSRRefP22_4x_0)</f>
        <v>0</v>
      </c>
      <c r="Q76" s="1"/>
      <c r="R76" s="5">
        <f t="shared" si="37"/>
        <v>0</v>
      </c>
      <c r="S76" s="1"/>
      <c r="T76" s="1">
        <f>SUM(OSRRefT22_4x_0)</f>
        <v>66999.509999999995</v>
      </c>
      <c r="U76" s="1"/>
      <c r="V76" s="5">
        <f t="shared" si="38"/>
        <v>5.6199246676301919E-2</v>
      </c>
      <c r="W76" s="1"/>
      <c r="X76" s="1">
        <f t="shared" si="39"/>
        <v>-66999.509999999995</v>
      </c>
      <c r="Y76" s="1"/>
      <c r="Z76" s="5">
        <f t="shared" si="40"/>
        <v>-1</v>
      </c>
    </row>
    <row r="77" spans="1:26" s="24" customFormat="1" hidden="1" outlineLevel="2" x14ac:dyDescent="0.25">
      <c r="A77" s="28"/>
      <c r="B77" s="11" t="str">
        <f>CONCATENATE("          ", "6382", " - ", "DISCOUNTS/MARK DOWNS")</f>
        <v xml:space="preserve">          6382 - DISCOUNTS/MARK DOWNS</v>
      </c>
      <c r="C77" s="11"/>
      <c r="D77" s="7"/>
      <c r="E77" s="2"/>
      <c r="F77" s="6">
        <f t="shared" si="33"/>
        <v>0</v>
      </c>
      <c r="G77" s="2"/>
      <c r="H77" s="7">
        <v>-3019.66</v>
      </c>
      <c r="I77" s="2"/>
      <c r="J77" s="6">
        <f t="shared" si="34"/>
        <v>-9.4268453902265278E-3</v>
      </c>
      <c r="K77" s="2"/>
      <c r="L77" s="7">
        <f t="shared" si="35"/>
        <v>3019.66</v>
      </c>
      <c r="M77" s="2"/>
      <c r="N77" s="6">
        <f t="shared" si="36"/>
        <v>-1</v>
      </c>
      <c r="O77" s="11"/>
      <c r="P77" s="7"/>
      <c r="Q77" s="2"/>
      <c r="R77" s="6">
        <f t="shared" si="37"/>
        <v>0</v>
      </c>
      <c r="S77" s="2"/>
      <c r="T77" s="7">
        <v>66999.509999999995</v>
      </c>
      <c r="U77" s="2"/>
      <c r="V77" s="6">
        <f t="shared" si="38"/>
        <v>5.6199246676301919E-2</v>
      </c>
      <c r="W77" s="2"/>
      <c r="X77" s="7">
        <f t="shared" si="39"/>
        <v>-66999.509999999995</v>
      </c>
      <c r="Y77" s="2"/>
      <c r="Z77" s="6">
        <f t="shared" si="40"/>
        <v>-1</v>
      </c>
    </row>
    <row r="78" spans="1:26" s="27" customFormat="1" outlineLevel="1" collapsed="1" x14ac:dyDescent="0.25">
      <c r="A78" s="29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SUM(OSRRefD22_5x_0)</f>
        <v>87.509999999999991</v>
      </c>
      <c r="E78" s="1"/>
      <c r="F78" s="5">
        <f t="shared" si="33"/>
        <v>3.319216705821362E-4</v>
      </c>
      <c r="G78" s="1"/>
      <c r="H78" s="1">
        <f>SUM(OSRRefH22_5x_0)</f>
        <v>5.49</v>
      </c>
      <c r="I78" s="1"/>
      <c r="J78" s="5">
        <f t="shared" si="34"/>
        <v>1.7138810724499992E-5</v>
      </c>
      <c r="K78" s="1"/>
      <c r="L78" s="1">
        <f t="shared" si="35"/>
        <v>82.02</v>
      </c>
      <c r="M78" s="1"/>
      <c r="N78" s="5">
        <f t="shared" si="36"/>
        <v>14.939890710382512</v>
      </c>
      <c r="O78" s="14"/>
      <c r="P78" s="1">
        <f>SUM(OSRRefP22_5x_0)</f>
        <v>277.26000000000005</v>
      </c>
      <c r="Q78" s="1"/>
      <c r="R78" s="5">
        <f t="shared" si="37"/>
        <v>2.878276706410576E-4</v>
      </c>
      <c r="S78" s="1"/>
      <c r="T78" s="1">
        <f>SUM(OSRRefT22_5x_0)</f>
        <v>5.49</v>
      </c>
      <c r="U78" s="1"/>
      <c r="V78" s="5">
        <f t="shared" si="38"/>
        <v>4.6050167270312506E-6</v>
      </c>
      <c r="W78" s="1"/>
      <c r="X78" s="1">
        <f t="shared" si="39"/>
        <v>271.77000000000004</v>
      </c>
      <c r="Y78" s="1"/>
      <c r="Z78" s="5">
        <f t="shared" si="40"/>
        <v>49.502732240437162</v>
      </c>
    </row>
    <row r="79" spans="1:26" s="24" customFormat="1" hidden="1" outlineLevel="2" x14ac:dyDescent="0.25">
      <c r="A79" s="28"/>
      <c r="B79" s="11" t="str">
        <f>CONCATENATE("          ", "6305", " - ", "FREIGHT OUT")</f>
        <v xml:space="preserve">          6305 - FREIGHT OUT</v>
      </c>
      <c r="C79" s="11"/>
      <c r="D79" s="7">
        <v>83.71</v>
      </c>
      <c r="E79" s="2"/>
      <c r="F79" s="6">
        <f t="shared" si="33"/>
        <v>3.1750843382962661E-4</v>
      </c>
      <c r="G79" s="2"/>
      <c r="H79" s="7">
        <v>5.49</v>
      </c>
      <c r="I79" s="2"/>
      <c r="J79" s="6">
        <f t="shared" si="34"/>
        <v>1.7138810724499992E-5</v>
      </c>
      <c r="K79" s="2"/>
      <c r="L79" s="7">
        <f t="shared" si="35"/>
        <v>78.22</v>
      </c>
      <c r="M79" s="2"/>
      <c r="N79" s="6">
        <f t="shared" si="36"/>
        <v>14.247723132969034</v>
      </c>
      <c r="O79" s="11"/>
      <c r="P79" s="7">
        <v>264.66000000000003</v>
      </c>
      <c r="Q79" s="2"/>
      <c r="R79" s="6">
        <f t="shared" si="37"/>
        <v>2.7474742592462775E-4</v>
      </c>
      <c r="S79" s="2"/>
      <c r="T79" s="7">
        <v>5.49</v>
      </c>
      <c r="U79" s="2"/>
      <c r="V79" s="6">
        <f t="shared" si="38"/>
        <v>4.6050167270312506E-6</v>
      </c>
      <c r="W79" s="2"/>
      <c r="X79" s="7">
        <f t="shared" si="39"/>
        <v>259.17</v>
      </c>
      <c r="Y79" s="2"/>
      <c r="Z79" s="6">
        <f t="shared" si="40"/>
        <v>47.207650273224047</v>
      </c>
    </row>
    <row r="80" spans="1:26" s="24" customFormat="1" hidden="1" outlineLevel="2" x14ac:dyDescent="0.25">
      <c r="A80" s="28"/>
      <c r="B80" s="11" t="str">
        <f>CONCATENATE("          ", "6307", " - ", "POSTAGE")</f>
        <v xml:space="preserve">          6307 - POSTAGE</v>
      </c>
      <c r="C80" s="11"/>
      <c r="D80" s="7">
        <v>3.8</v>
      </c>
      <c r="E80" s="2"/>
      <c r="F80" s="6">
        <f t="shared" si="33"/>
        <v>1.441323675250963E-5</v>
      </c>
      <c r="G80" s="2"/>
      <c r="H80" s="7"/>
      <c r="I80" s="2"/>
      <c r="J80" s="6">
        <f t="shared" si="34"/>
        <v>0</v>
      </c>
      <c r="K80" s="2"/>
      <c r="L80" s="7">
        <f t="shared" si="35"/>
        <v>3.8</v>
      </c>
      <c r="M80" s="2"/>
      <c r="N80" s="6">
        <f t="shared" si="36"/>
        <v>0</v>
      </c>
      <c r="O80" s="11"/>
      <c r="P80" s="7">
        <v>12.6</v>
      </c>
      <c r="Q80" s="2"/>
      <c r="R80" s="6">
        <f t="shared" si="37"/>
        <v>1.3080244716429795E-5</v>
      </c>
      <c r="S80" s="2"/>
      <c r="T80" s="7"/>
      <c r="U80" s="2"/>
      <c r="V80" s="6">
        <f t="shared" si="38"/>
        <v>0</v>
      </c>
      <c r="W80" s="2"/>
      <c r="X80" s="7">
        <f t="shared" si="39"/>
        <v>12.6</v>
      </c>
      <c r="Y80" s="2"/>
      <c r="Z80" s="6">
        <f t="shared" si="40"/>
        <v>0</v>
      </c>
    </row>
    <row r="81" spans="1:26" s="27" customFormat="1" outlineLevel="1" collapsed="1" x14ac:dyDescent="0.25">
      <c r="A81" s="29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SUM(OSRRefD22_6x_0)</f>
        <v>0</v>
      </c>
      <c r="E81" s="1"/>
      <c r="F81" s="5">
        <f t="shared" ref="F81:F90" si="41">IF(D$12=0,0,D81/D$12)</f>
        <v>0</v>
      </c>
      <c r="G81" s="1"/>
      <c r="H81" s="1">
        <f>SUM(OSRRefH22_6x_0)</f>
        <v>0</v>
      </c>
      <c r="I81" s="1"/>
      <c r="J81" s="5">
        <f t="shared" ref="J81:J90" si="42">IF(H$12=0,0,H81/H$12)</f>
        <v>0</v>
      </c>
      <c r="K81" s="1"/>
      <c r="L81" s="1">
        <f t="shared" ref="L81:L90" si="43">+D81-H81</f>
        <v>0</v>
      </c>
      <c r="M81" s="1"/>
      <c r="N81" s="5">
        <f t="shared" ref="N81:N90" si="44">IF(H81=0,0,L81/H81)</f>
        <v>0</v>
      </c>
      <c r="O81" s="14"/>
      <c r="P81" s="1">
        <f>SUM(OSRRefP22_6x_0)</f>
        <v>-30.15</v>
      </c>
      <c r="Q81" s="1"/>
      <c r="R81" s="5">
        <f t="shared" ref="R81:R90" si="45">IF(P$12=0,0,P81/P$12)</f>
        <v>-3.1299157000028436E-5</v>
      </c>
      <c r="S81" s="1"/>
      <c r="T81" s="1">
        <f>SUM(OSRRefT22_6x_0)</f>
        <v>0</v>
      </c>
      <c r="U81" s="1"/>
      <c r="V81" s="5">
        <f t="shared" ref="V81:V90" si="46">IF(T$12=0,0,T81/T$12)</f>
        <v>0</v>
      </c>
      <c r="W81" s="1"/>
      <c r="X81" s="1">
        <f t="shared" ref="X81:X90" si="47">+P81-T81</f>
        <v>-30.15</v>
      </c>
      <c r="Y81" s="1"/>
      <c r="Z81" s="5">
        <f t="shared" ref="Z81:Z90" si="48">IF(T81=0,0,X81/T81)</f>
        <v>0</v>
      </c>
    </row>
    <row r="82" spans="1:26" s="24" customFormat="1" hidden="1" outlineLevel="2" x14ac:dyDescent="0.25">
      <c r="A82" s="28"/>
      <c r="B82" s="11" t="str">
        <f>CONCATENATE("          ", "6279", " - ", "GENERAL EXPENSE")</f>
        <v xml:space="preserve">          6279 - GENERAL EXPENSE</v>
      </c>
      <c r="C82" s="11"/>
      <c r="D82" s="7"/>
      <c r="E82" s="2"/>
      <c r="F82" s="6">
        <f t="shared" si="41"/>
        <v>0</v>
      </c>
      <c r="G82" s="2"/>
      <c r="H82" s="7"/>
      <c r="I82" s="2"/>
      <c r="J82" s="6">
        <f t="shared" si="42"/>
        <v>0</v>
      </c>
      <c r="K82" s="2"/>
      <c r="L82" s="7">
        <f t="shared" si="43"/>
        <v>0</v>
      </c>
      <c r="M82" s="2"/>
      <c r="N82" s="6">
        <f t="shared" si="44"/>
        <v>0</v>
      </c>
      <c r="O82" s="11"/>
      <c r="P82" s="7">
        <v>-30.15</v>
      </c>
      <c r="Q82" s="2"/>
      <c r="R82" s="6">
        <f t="shared" si="45"/>
        <v>-3.1299157000028436E-5</v>
      </c>
      <c r="S82" s="2"/>
      <c r="T82" s="7"/>
      <c r="U82" s="2"/>
      <c r="V82" s="6">
        <f t="shared" si="46"/>
        <v>0</v>
      </c>
      <c r="W82" s="2"/>
      <c r="X82" s="7">
        <f t="shared" si="47"/>
        <v>-30.15</v>
      </c>
      <c r="Y82" s="2"/>
      <c r="Z82" s="6">
        <f t="shared" si="48"/>
        <v>0</v>
      </c>
    </row>
    <row r="83" spans="1:26" s="27" customFormat="1" outlineLevel="1" collapsed="1" x14ac:dyDescent="0.25">
      <c r="A83" s="29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SUM(OSRRefD22_7x_0)</f>
        <v>1250</v>
      </c>
      <c r="E83" s="1"/>
      <c r="F83" s="5">
        <f t="shared" si="41"/>
        <v>4.7411963001676412E-3</v>
      </c>
      <c r="G83" s="1"/>
      <c r="H83" s="1">
        <f>SUM(OSRRefH22_7x_0)</f>
        <v>0</v>
      </c>
      <c r="I83" s="1"/>
      <c r="J83" s="5">
        <f t="shared" si="42"/>
        <v>0</v>
      </c>
      <c r="K83" s="1"/>
      <c r="L83" s="1">
        <f t="shared" si="43"/>
        <v>1250</v>
      </c>
      <c r="M83" s="1"/>
      <c r="N83" s="5">
        <f t="shared" si="44"/>
        <v>0</v>
      </c>
      <c r="O83" s="14"/>
      <c r="P83" s="1">
        <f>SUM(OSRRefP22_7x_0)</f>
        <v>3750</v>
      </c>
      <c r="Q83" s="1"/>
      <c r="R83" s="5">
        <f t="shared" si="45"/>
        <v>3.8929299751279153E-3</v>
      </c>
      <c r="S83" s="1"/>
      <c r="T83" s="1">
        <f>SUM(OSRRefT22_7x_0)</f>
        <v>0</v>
      </c>
      <c r="U83" s="1"/>
      <c r="V83" s="5">
        <f t="shared" si="46"/>
        <v>0</v>
      </c>
      <c r="W83" s="1"/>
      <c r="X83" s="1">
        <f t="shared" si="47"/>
        <v>3750</v>
      </c>
      <c r="Y83" s="1"/>
      <c r="Z83" s="5">
        <f t="shared" si="48"/>
        <v>0</v>
      </c>
    </row>
    <row r="84" spans="1:26" s="24" customFormat="1" hidden="1" outlineLevel="2" x14ac:dyDescent="0.25">
      <c r="A84" s="28"/>
      <c r="B84" s="11" t="str">
        <f>CONCATENATE("          ", "6408", " - ", "INVENTORY ADJUSTMENT")</f>
        <v xml:space="preserve">          6408 - INVENTORY ADJUSTMENT</v>
      </c>
      <c r="C84" s="11"/>
      <c r="D84" s="7">
        <v>1250</v>
      </c>
      <c r="E84" s="2"/>
      <c r="F84" s="6">
        <f t="shared" si="41"/>
        <v>4.7411963001676412E-3</v>
      </c>
      <c r="G84" s="2"/>
      <c r="H84" s="7"/>
      <c r="I84" s="2"/>
      <c r="J84" s="6">
        <f t="shared" si="42"/>
        <v>0</v>
      </c>
      <c r="K84" s="2"/>
      <c r="L84" s="7">
        <f t="shared" si="43"/>
        <v>1250</v>
      </c>
      <c r="M84" s="2"/>
      <c r="N84" s="6">
        <f t="shared" si="44"/>
        <v>0</v>
      </c>
      <c r="O84" s="11"/>
      <c r="P84" s="7">
        <v>3750</v>
      </c>
      <c r="Q84" s="2"/>
      <c r="R84" s="6">
        <f t="shared" si="45"/>
        <v>3.8929299751279153E-3</v>
      </c>
      <c r="S84" s="2"/>
      <c r="T84" s="7"/>
      <c r="U84" s="2"/>
      <c r="V84" s="6">
        <f t="shared" si="46"/>
        <v>0</v>
      </c>
      <c r="W84" s="2"/>
      <c r="X84" s="7">
        <f t="shared" si="47"/>
        <v>3750</v>
      </c>
      <c r="Y84" s="2"/>
      <c r="Z84" s="6">
        <f t="shared" si="48"/>
        <v>0</v>
      </c>
    </row>
    <row r="85" spans="1:26" s="27" customFormat="1" outlineLevel="1" collapsed="1" x14ac:dyDescent="0.25">
      <c r="A85" s="29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SUM(OSRRefD22_8x_0)</f>
        <v>0</v>
      </c>
      <c r="E85" s="1"/>
      <c r="F85" s="5">
        <f t="shared" si="41"/>
        <v>0</v>
      </c>
      <c r="G85" s="1"/>
      <c r="H85" s="1">
        <f>SUM(OSRRefH22_8x_0)</f>
        <v>0</v>
      </c>
      <c r="I85" s="1"/>
      <c r="J85" s="5">
        <f t="shared" si="42"/>
        <v>0</v>
      </c>
      <c r="K85" s="1"/>
      <c r="L85" s="1">
        <f t="shared" si="43"/>
        <v>0</v>
      </c>
      <c r="M85" s="1"/>
      <c r="N85" s="5">
        <f t="shared" si="44"/>
        <v>0</v>
      </c>
      <c r="O85" s="14"/>
      <c r="P85" s="1">
        <f>SUM(OSRRefP22_8x_0)</f>
        <v>0</v>
      </c>
      <c r="Q85" s="1"/>
      <c r="R85" s="5">
        <f t="shared" si="45"/>
        <v>0</v>
      </c>
      <c r="S85" s="1"/>
      <c r="T85" s="1">
        <f>SUM(OSRRefT22_8x_0)</f>
        <v>-5000</v>
      </c>
      <c r="U85" s="1"/>
      <c r="V85" s="5">
        <f t="shared" si="46"/>
        <v>-4.194004305128644E-3</v>
      </c>
      <c r="W85" s="1"/>
      <c r="X85" s="1">
        <f t="shared" si="47"/>
        <v>5000</v>
      </c>
      <c r="Y85" s="1"/>
      <c r="Z85" s="5">
        <f t="shared" si="48"/>
        <v>-1</v>
      </c>
    </row>
    <row r="86" spans="1:26" s="24" customFormat="1" hidden="1" outlineLevel="2" x14ac:dyDescent="0.25">
      <c r="A86" s="28"/>
      <c r="B86" s="11" t="str">
        <f>CONCATENATE("          ", "6258", " - ", "MEMBERSHIP DUES")</f>
        <v xml:space="preserve">          6258 - MEMBERSHIP DUES</v>
      </c>
      <c r="C86" s="11"/>
      <c r="D86" s="7"/>
      <c r="E86" s="2"/>
      <c r="F86" s="6">
        <f t="shared" si="41"/>
        <v>0</v>
      </c>
      <c r="G86" s="2"/>
      <c r="H86" s="7"/>
      <c r="I86" s="2"/>
      <c r="J86" s="6">
        <f t="shared" si="42"/>
        <v>0</v>
      </c>
      <c r="K86" s="2"/>
      <c r="L86" s="7">
        <f t="shared" si="43"/>
        <v>0</v>
      </c>
      <c r="M86" s="2"/>
      <c r="N86" s="6">
        <f t="shared" si="44"/>
        <v>0</v>
      </c>
      <c r="O86" s="11"/>
      <c r="P86" s="7"/>
      <c r="Q86" s="2"/>
      <c r="R86" s="6">
        <f t="shared" si="45"/>
        <v>0</v>
      </c>
      <c r="S86" s="2"/>
      <c r="T86" s="7">
        <v>-5000</v>
      </c>
      <c r="U86" s="2"/>
      <c r="V86" s="6">
        <f t="shared" si="46"/>
        <v>-4.194004305128644E-3</v>
      </c>
      <c r="W86" s="2"/>
      <c r="X86" s="7">
        <f t="shared" si="47"/>
        <v>5000</v>
      </c>
      <c r="Y86" s="2"/>
      <c r="Z86" s="6">
        <f t="shared" si="48"/>
        <v>-1</v>
      </c>
    </row>
    <row r="87" spans="1:26" s="27" customFormat="1" outlineLevel="1" collapsed="1" x14ac:dyDescent="0.25">
      <c r="A87" s="29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SUM(OSRRefD22_9x_0)</f>
        <v>39.36</v>
      </c>
      <c r="E87" s="1"/>
      <c r="F87" s="5">
        <f t="shared" si="41"/>
        <v>1.492907890996787E-4</v>
      </c>
      <c r="G87" s="1"/>
      <c r="H87" s="1">
        <f>SUM(OSRRefH22_9x_0)</f>
        <v>600.75</v>
      </c>
      <c r="I87" s="1"/>
      <c r="J87" s="5">
        <f t="shared" si="42"/>
        <v>1.8754354358366792E-3</v>
      </c>
      <c r="K87" s="1"/>
      <c r="L87" s="1">
        <f t="shared" si="43"/>
        <v>-561.39</v>
      </c>
      <c r="M87" s="1"/>
      <c r="N87" s="5">
        <f t="shared" si="44"/>
        <v>-0.93448189762796507</v>
      </c>
      <c r="O87" s="14"/>
      <c r="P87" s="1">
        <f>SUM(OSRRefP22_9x_0)</f>
        <v>1494.9099999999999</v>
      </c>
      <c r="Q87" s="1"/>
      <c r="R87" s="5">
        <f t="shared" si="45"/>
        <v>1.5518879864315923E-3</v>
      </c>
      <c r="S87" s="1"/>
      <c r="T87" s="1">
        <f>SUM(OSRRefT22_9x_0)</f>
        <v>1364.19</v>
      </c>
      <c r="U87" s="1"/>
      <c r="V87" s="5">
        <f t="shared" si="46"/>
        <v>1.144283746602689E-3</v>
      </c>
      <c r="W87" s="1"/>
      <c r="X87" s="1">
        <f t="shared" si="47"/>
        <v>130.7199999999998</v>
      </c>
      <c r="Y87" s="1"/>
      <c r="Z87" s="5">
        <f t="shared" si="48"/>
        <v>9.5822429426985822E-2</v>
      </c>
    </row>
    <row r="88" spans="1:26" s="24" customFormat="1" hidden="1" outlineLevel="2" x14ac:dyDescent="0.25">
      <c r="A88" s="28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>
        <v>668.12</v>
      </c>
      <c r="Q88" s="2"/>
      <c r="R88" s="6">
        <f t="shared" si="45"/>
        <v>6.9358516666199002E-4</v>
      </c>
      <c r="S88" s="2"/>
      <c r="T88" s="7"/>
      <c r="U88" s="2"/>
      <c r="V88" s="6">
        <f t="shared" si="46"/>
        <v>0</v>
      </c>
      <c r="W88" s="2"/>
      <c r="X88" s="7">
        <f t="shared" si="47"/>
        <v>668.12</v>
      </c>
      <c r="Y88" s="2"/>
      <c r="Z88" s="6">
        <f t="shared" si="48"/>
        <v>0</v>
      </c>
    </row>
    <row r="89" spans="1:26" s="24" customFormat="1" hidden="1" outlineLevel="2" x14ac:dyDescent="0.25">
      <c r="A89" s="28"/>
      <c r="B89" s="11" t="str">
        <f>CONCATENATE("          ", "6241", " - ", "OFFICE EXPENSE")</f>
        <v xml:space="preserve">          6241 - OFFICE EXPENSE</v>
      </c>
      <c r="C89" s="11"/>
      <c r="D89" s="7">
        <v>39.36</v>
      </c>
      <c r="E89" s="2"/>
      <c r="F89" s="6">
        <f t="shared" si="41"/>
        <v>1.492907890996787E-4</v>
      </c>
      <c r="G89" s="2"/>
      <c r="H89" s="7">
        <v>242.54</v>
      </c>
      <c r="I89" s="2"/>
      <c r="J89" s="6">
        <f t="shared" si="42"/>
        <v>7.5716705885614348E-4</v>
      </c>
      <c r="K89" s="2"/>
      <c r="L89" s="7">
        <f t="shared" si="43"/>
        <v>-203.18</v>
      </c>
      <c r="M89" s="2"/>
      <c r="N89" s="6">
        <f t="shared" si="44"/>
        <v>-0.83771748989857353</v>
      </c>
      <c r="O89" s="11"/>
      <c r="P89" s="7">
        <v>826.79</v>
      </c>
      <c r="Q89" s="2"/>
      <c r="R89" s="6">
        <f t="shared" si="45"/>
        <v>8.5830281976960238E-4</v>
      </c>
      <c r="S89" s="2"/>
      <c r="T89" s="7">
        <v>423.54</v>
      </c>
      <c r="U89" s="2"/>
      <c r="V89" s="6">
        <f t="shared" si="46"/>
        <v>3.5526571667883716E-4</v>
      </c>
      <c r="W89" s="2"/>
      <c r="X89" s="7">
        <f t="shared" si="47"/>
        <v>403.24999999999994</v>
      </c>
      <c r="Y89" s="2"/>
      <c r="Z89" s="6">
        <f t="shared" si="48"/>
        <v>0.95209425319922536</v>
      </c>
    </row>
    <row r="90" spans="1:26" s="24" customFormat="1" hidden="1" outlineLevel="2" x14ac:dyDescent="0.25">
      <c r="A90" s="28"/>
      <c r="B90" s="11" t="str">
        <f>CONCATENATE("          ", "6247", " - ", "STORE SUPPLIES")</f>
        <v xml:space="preserve">          6247 - STORE SUPPLIES</v>
      </c>
      <c r="C90" s="11"/>
      <c r="D90" s="7"/>
      <c r="E90" s="2"/>
      <c r="F90" s="6">
        <f t="shared" si="41"/>
        <v>0</v>
      </c>
      <c r="G90" s="2"/>
      <c r="H90" s="7">
        <v>358.21</v>
      </c>
      <c r="I90" s="2"/>
      <c r="J90" s="6">
        <f t="shared" si="42"/>
        <v>1.1182683769805357E-3</v>
      </c>
      <c r="K90" s="2"/>
      <c r="L90" s="7">
        <f t="shared" si="43"/>
        <v>-358.21</v>
      </c>
      <c r="M90" s="2"/>
      <c r="N90" s="6">
        <f t="shared" si="44"/>
        <v>-1</v>
      </c>
      <c r="O90" s="11"/>
      <c r="P90" s="7"/>
      <c r="Q90" s="2"/>
      <c r="R90" s="6">
        <f t="shared" si="45"/>
        <v>0</v>
      </c>
      <c r="S90" s="2"/>
      <c r="T90" s="7">
        <v>940.65</v>
      </c>
      <c r="U90" s="2"/>
      <c r="V90" s="6">
        <f t="shared" si="46"/>
        <v>7.8901802992385175E-4</v>
      </c>
      <c r="W90" s="2"/>
      <c r="X90" s="7">
        <f t="shared" si="47"/>
        <v>-940.65</v>
      </c>
      <c r="Y90" s="2"/>
      <c r="Z90" s="6">
        <f t="shared" si="48"/>
        <v>-1</v>
      </c>
    </row>
    <row r="91" spans="1:26" s="27" customFormat="1" outlineLevel="1" collapsed="1" x14ac:dyDescent="0.25">
      <c r="A91" s="29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SUM(OSRRefD22_10x_0)</f>
        <v>300</v>
      </c>
      <c r="E91" s="1"/>
      <c r="F91" s="5">
        <f t="shared" ref="F91:F92" si="49">IF(D$12=0,0,D91/D$12)</f>
        <v>1.137887112040234E-3</v>
      </c>
      <c r="G91" s="1"/>
      <c r="H91" s="1">
        <f>SUM(OSRRefH22_10x_0)</f>
        <v>330</v>
      </c>
      <c r="I91" s="1"/>
      <c r="J91" s="5">
        <f t="shared" ref="J91:J92" si="50">IF(H$12=0,0,H91/H$12)</f>
        <v>1.0302017375382509E-3</v>
      </c>
      <c r="K91" s="1"/>
      <c r="L91" s="1">
        <f t="shared" ref="L91:L92" si="51">+D91-H91</f>
        <v>-30</v>
      </c>
      <c r="M91" s="1"/>
      <c r="N91" s="5">
        <f t="shared" ref="N91:N92" si="52">IF(H91=0,0,L91/H91)</f>
        <v>-9.0909090909090912E-2</v>
      </c>
      <c r="O91" s="14"/>
      <c r="P91" s="1">
        <f>SUM(OSRRefP22_10x_0)</f>
        <v>911.55</v>
      </c>
      <c r="Q91" s="1"/>
      <c r="R91" s="5">
        <f t="shared" ref="R91:R92" si="53">IF(P$12=0,0,P91/P$12)</f>
        <v>9.4629341835409362E-4</v>
      </c>
      <c r="S91" s="1"/>
      <c r="T91" s="1">
        <f>SUM(OSRRefT22_10x_0)</f>
        <v>761.3</v>
      </c>
      <c r="U91" s="1"/>
      <c r="V91" s="5">
        <f t="shared" ref="V91:V92" si="54">IF(T$12=0,0,T91/T$12)</f>
        <v>6.3857909549888724E-4</v>
      </c>
      <c r="W91" s="1"/>
      <c r="X91" s="1">
        <f t="shared" ref="X91:X92" si="55">+P91-T91</f>
        <v>150.25</v>
      </c>
      <c r="Y91" s="1"/>
      <c r="Z91" s="5">
        <f t="shared" ref="Z91:Z92" si="56">IF(T91=0,0,X91/T91)</f>
        <v>0.19735977932483911</v>
      </c>
    </row>
    <row r="92" spans="1:26" s="24" customFormat="1" hidden="1" outlineLevel="2" x14ac:dyDescent="0.25">
      <c r="A92" s="28"/>
      <c r="B92" s="11" t="str">
        <f>CONCATENATE("          ", "6309", " - ", "TELEPHONE")</f>
        <v xml:space="preserve">          6309 - TELEPHONE</v>
      </c>
      <c r="C92" s="11"/>
      <c r="D92" s="7">
        <v>300</v>
      </c>
      <c r="E92" s="2"/>
      <c r="F92" s="6">
        <f t="shared" si="49"/>
        <v>1.137887112040234E-3</v>
      </c>
      <c r="G92" s="2"/>
      <c r="H92" s="7">
        <v>330</v>
      </c>
      <c r="I92" s="2"/>
      <c r="J92" s="6">
        <f t="shared" si="50"/>
        <v>1.0302017375382509E-3</v>
      </c>
      <c r="K92" s="2"/>
      <c r="L92" s="7">
        <f t="shared" si="51"/>
        <v>-30</v>
      </c>
      <c r="M92" s="2"/>
      <c r="N92" s="6">
        <f t="shared" si="52"/>
        <v>-9.0909090909090912E-2</v>
      </c>
      <c r="O92" s="11"/>
      <c r="P92" s="7">
        <v>911.55</v>
      </c>
      <c r="Q92" s="2"/>
      <c r="R92" s="6">
        <f t="shared" si="53"/>
        <v>9.4629341835409362E-4</v>
      </c>
      <c r="S92" s="2"/>
      <c r="T92" s="7">
        <v>761.3</v>
      </c>
      <c r="U92" s="2"/>
      <c r="V92" s="6">
        <f t="shared" si="54"/>
        <v>6.3857909549888724E-4</v>
      </c>
      <c r="W92" s="2"/>
      <c r="X92" s="7">
        <f t="shared" si="55"/>
        <v>150.25</v>
      </c>
      <c r="Y92" s="2"/>
      <c r="Z92" s="6">
        <f t="shared" si="56"/>
        <v>0.19735977932483911</v>
      </c>
    </row>
    <row r="93" spans="1:26" s="60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6" t="s">
        <v>0</v>
      </c>
      <c r="C94" s="10"/>
      <c r="D94" s="4">
        <f>SUM(OSRRefD25x_0)</f>
        <v>281.44</v>
      </c>
      <c r="E94" s="4"/>
      <c r="F94" s="12">
        <f t="shared" ref="F94:F97" si="57">IF(D$12=0,0,D94/D$12)</f>
        <v>1.0674898293753449E-3</v>
      </c>
      <c r="G94" s="4"/>
      <c r="H94" s="4">
        <f>SUM(OSRRefH25x_0)</f>
        <v>5155.6499999999996</v>
      </c>
      <c r="I94" s="4"/>
      <c r="J94" s="12">
        <f t="shared" ref="J94:J97" si="58">IF(H$12=0,0,H94/H$12)</f>
        <v>1.6095029054966917E-2</v>
      </c>
      <c r="K94" s="4"/>
      <c r="L94" s="4">
        <f t="shared" ref="L94:L97" si="59">+D94-H94</f>
        <v>-4874.21</v>
      </c>
      <c r="M94" s="4"/>
      <c r="N94" s="12">
        <f t="shared" ref="N94:N97" si="60">IF(H94=0,0,L94/H94)</f>
        <v>-0.94541134483527789</v>
      </c>
      <c r="O94" s="10"/>
      <c r="P94" s="4">
        <f>SUM(OSRRefP25x_0)</f>
        <v>-232.72000000000003</v>
      </c>
      <c r="Q94" s="4"/>
      <c r="R94" s="12">
        <f t="shared" ref="R94:R97" si="61">IF(P$12=0,0,P94/P$12)</f>
        <v>-2.4159004368313827E-4</v>
      </c>
      <c r="S94" s="4"/>
      <c r="T94" s="4">
        <f>SUM(OSRRefT25x_0)</f>
        <v>2146.1100000000006</v>
      </c>
      <c r="U94" s="4"/>
      <c r="V94" s="12">
        <f t="shared" ref="V94:V97" si="62">IF(T$12=0,0,T94/T$12)</f>
        <v>1.8001589158559272E-3</v>
      </c>
      <c r="W94" s="4"/>
      <c r="X94" s="4">
        <f t="shared" ref="X94:X97" si="63">+P94-T94</f>
        <v>-2378.8300000000008</v>
      </c>
      <c r="Y94" s="4"/>
      <c r="Z94" s="12">
        <f t="shared" ref="Z94:Z97" si="64">IF(T94=0,0,X94/T94)</f>
        <v>-1.1084380576950856</v>
      </c>
    </row>
    <row r="95" spans="1:26" s="24" customFormat="1" hidden="1" outlineLevel="1" x14ac:dyDescent="0.25">
      <c r="A95" s="44"/>
      <c r="B95" s="11" t="str">
        <f>CONCATENATE("          ", "4187", " - ", "NON-TAXABLE SALES-COMPUTER REP")</f>
        <v xml:space="preserve">          4187 - NON-TAXABLE SALES-COMPUTER REP</v>
      </c>
      <c r="C95" s="11"/>
      <c r="D95" s="2">
        <f>--125.14</f>
        <v>125.14</v>
      </c>
      <c r="E95" s="2"/>
      <c r="F95" s="19">
        <f t="shared" si="57"/>
        <v>4.7465064400238291E-4</v>
      </c>
      <c r="G95" s="2"/>
      <c r="H95" s="2">
        <f>--4892.54</f>
        <v>4892.54</v>
      </c>
      <c r="I95" s="2"/>
      <c r="J95" s="19">
        <f t="shared" si="58"/>
        <v>1.5273646087804222E-2</v>
      </c>
      <c r="K95" s="2"/>
      <c r="L95" s="2">
        <f t="shared" si="59"/>
        <v>-4767.3999999999996</v>
      </c>
      <c r="M95" s="2"/>
      <c r="N95" s="19">
        <f t="shared" si="60"/>
        <v>-0.97442228372174777</v>
      </c>
      <c r="O95" s="11"/>
      <c r="P95" s="2">
        <f>--145.13</f>
        <v>145.13</v>
      </c>
      <c r="Q95" s="2"/>
      <c r="R95" s="19">
        <f t="shared" si="61"/>
        <v>1.5066158061075049E-4</v>
      </c>
      <c r="S95" s="2"/>
      <c r="T95" s="2">
        <f>--7374.8</f>
        <v>7374.8</v>
      </c>
      <c r="U95" s="2"/>
      <c r="V95" s="19">
        <f t="shared" si="62"/>
        <v>6.1859885898925444E-3</v>
      </c>
      <c r="W95" s="2"/>
      <c r="X95" s="2">
        <f t="shared" si="63"/>
        <v>-7229.67</v>
      </c>
      <c r="Y95" s="2"/>
      <c r="Z95" s="19">
        <f t="shared" si="64"/>
        <v>-0.98032082225958672</v>
      </c>
    </row>
    <row r="96" spans="1:26" s="24" customFormat="1" hidden="1" outlineLevel="1" x14ac:dyDescent="0.25">
      <c r="A96" s="44"/>
      <c r="B96" s="11" t="str">
        <f>CONCATENATE("          ", "4387", " - ", "SALES RETURN NON TAXABLE-COMPU")</f>
        <v xml:space="preserve">          4387 - SALES RETURN NON TAXABLE-COMPU</v>
      </c>
      <c r="C96" s="11"/>
      <c r="D96" s="2">
        <f>0</f>
        <v>0</v>
      </c>
      <c r="E96" s="2"/>
      <c r="F96" s="19">
        <f t="shared" si="57"/>
        <v>0</v>
      </c>
      <c r="G96" s="2"/>
      <c r="H96" s="2">
        <f>-2989.2</f>
        <v>-2989.2</v>
      </c>
      <c r="I96" s="2"/>
      <c r="J96" s="19">
        <f t="shared" si="58"/>
        <v>-9.3317546480283006E-3</v>
      </c>
      <c r="K96" s="2"/>
      <c r="L96" s="2">
        <f t="shared" si="59"/>
        <v>2989.2</v>
      </c>
      <c r="M96" s="2"/>
      <c r="N96" s="19">
        <f t="shared" si="60"/>
        <v>-1</v>
      </c>
      <c r="O96" s="11"/>
      <c r="P96" s="2">
        <f>0</f>
        <v>0</v>
      </c>
      <c r="Q96" s="2"/>
      <c r="R96" s="19">
        <f t="shared" si="61"/>
        <v>0</v>
      </c>
      <c r="S96" s="2"/>
      <c r="T96" s="2">
        <f>-6440.7</f>
        <v>-6440.7</v>
      </c>
      <c r="U96" s="2"/>
      <c r="V96" s="19">
        <f t="shared" si="62"/>
        <v>-5.4024647056084112E-3</v>
      </c>
      <c r="W96" s="2"/>
      <c r="X96" s="2">
        <f t="shared" si="63"/>
        <v>6440.7</v>
      </c>
      <c r="Y96" s="2"/>
      <c r="Z96" s="19">
        <f t="shared" si="64"/>
        <v>-1</v>
      </c>
    </row>
    <row r="97" spans="1:26" s="24" customFormat="1" hidden="1" outlineLevel="1" x14ac:dyDescent="0.25">
      <c r="A97" s="44"/>
      <c r="B97" s="11" t="str">
        <f>CONCATENATE("          ", "9150", " - ", "MISC. INCOME")</f>
        <v xml:space="preserve">          9150 - MISC. INCOME</v>
      </c>
      <c r="C97" s="11"/>
      <c r="D97" s="2">
        <f>--156.3</f>
        <v>156.30000000000001</v>
      </c>
      <c r="E97" s="2"/>
      <c r="F97" s="19">
        <f t="shared" si="57"/>
        <v>5.9283918537296194E-4</v>
      </c>
      <c r="G97" s="2"/>
      <c r="H97" s="2">
        <f>--3252.31</f>
        <v>3252.31</v>
      </c>
      <c r="I97" s="2"/>
      <c r="J97" s="19">
        <f t="shared" si="58"/>
        <v>1.0153137615190995E-2</v>
      </c>
      <c r="K97" s="2"/>
      <c r="L97" s="2">
        <f t="shared" si="59"/>
        <v>-3096.0099999999998</v>
      </c>
      <c r="M97" s="2"/>
      <c r="N97" s="19">
        <f t="shared" si="60"/>
        <v>-0.95194185056160074</v>
      </c>
      <c r="O97" s="11"/>
      <c r="P97" s="2">
        <f>-377.85</f>
        <v>-377.85</v>
      </c>
      <c r="Q97" s="2"/>
      <c r="R97" s="19">
        <f t="shared" si="61"/>
        <v>-3.9225162429388876E-4</v>
      </c>
      <c r="S97" s="2"/>
      <c r="T97" s="2">
        <f>--1212.01</f>
        <v>1212.01</v>
      </c>
      <c r="U97" s="2"/>
      <c r="V97" s="19">
        <f t="shared" si="62"/>
        <v>1.0166350315717935E-3</v>
      </c>
      <c r="W97" s="2"/>
      <c r="X97" s="2">
        <f t="shared" si="63"/>
        <v>-1589.8600000000001</v>
      </c>
      <c r="Y97" s="2"/>
      <c r="Z97" s="19">
        <f t="shared" si="64"/>
        <v>-1.3117548535078094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5" t="s">
        <v>3</v>
      </c>
      <c r="C99" s="25"/>
      <c r="D99" s="22">
        <f>+D53-D55+D94</f>
        <v>-10530.249999999935</v>
      </c>
      <c r="E99" s="13"/>
      <c r="F99" s="21">
        <f>IF(D$12=0,0,D99/D$12)</f>
        <v>-3.9940785871871998E-2</v>
      </c>
      <c r="G99" s="13"/>
      <c r="H99" s="22">
        <f>+H53-H55+H94</f>
        <v>34417.529999999912</v>
      </c>
      <c r="I99" s="13"/>
      <c r="J99" s="21">
        <f>IF(H$12=0,0,H99/H$12)</f>
        <v>0.10744545214477207</v>
      </c>
      <c r="K99" s="15"/>
      <c r="L99" s="22">
        <f>+D99-H99</f>
        <v>-44947.779999999846</v>
      </c>
      <c r="M99" s="15"/>
      <c r="N99" s="21">
        <f>IF(H99=0,0,L99/H99)</f>
        <v>-1.305956005558794</v>
      </c>
      <c r="O99" s="26"/>
      <c r="P99" s="22">
        <f>+P53-P55+P94</f>
        <v>-741.69000000014671</v>
      </c>
      <c r="Q99" s="13"/>
      <c r="R99" s="21">
        <f>IF(P$12=0,0,P99/P$12)</f>
        <v>-7.6995926220085192E-4</v>
      </c>
      <c r="S99" s="13"/>
      <c r="T99" s="22">
        <f>+T53-T55+T94</f>
        <v>15970.819999999716</v>
      </c>
      <c r="U99" s="13"/>
      <c r="V99" s="21">
        <f>IF(T$12=0,0,T99/T$12)</f>
        <v>1.3396337567286691E-2</v>
      </c>
      <c r="W99" s="15"/>
      <c r="X99" s="22">
        <f>+P99-T99</f>
        <v>-16712.509999999864</v>
      </c>
      <c r="Y99" s="15"/>
      <c r="Z99" s="21">
        <f>IF(T99=0,0,X99/T99)</f>
        <v>-1.0464403205345849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1"/>
      <c r="B101" s="10" t="s">
        <v>13</v>
      </c>
      <c r="C101" s="10"/>
      <c r="D101" s="4">
        <v>60328.69</v>
      </c>
      <c r="E101" s="4"/>
      <c r="F101" s="12">
        <f>IF(D$12=0,0,D101/D$12)</f>
        <v>0.22882412945756847</v>
      </c>
      <c r="G101" s="4"/>
      <c r="H101" s="4">
        <v>19351.62</v>
      </c>
      <c r="I101" s="4"/>
      <c r="J101" s="12">
        <f>IF(H$12=0,0,H101/H$12)</f>
        <v>6.0412341055090794E-2</v>
      </c>
      <c r="K101" s="4"/>
      <c r="L101" s="4">
        <f>+D101-H101</f>
        <v>40977.070000000007</v>
      </c>
      <c r="M101" s="4"/>
      <c r="N101" s="12">
        <f>IF(H101=0,0,L101/H101)</f>
        <v>2.1175007570425635</v>
      </c>
      <c r="O101" s="10"/>
      <c r="P101" s="4">
        <v>178453.3</v>
      </c>
      <c r="Q101" s="4"/>
      <c r="R101" s="12">
        <f>IF(P$12=0,0,P101/P$12)</f>
        <v>0.18525498686146516</v>
      </c>
      <c r="S101" s="4"/>
      <c r="T101" s="4">
        <v>128055.71999999999</v>
      </c>
      <c r="U101" s="4"/>
      <c r="V101" s="12">
        <f>IF(T$12=0,0,T101/T$12)</f>
        <v>0.10741324819526962</v>
      </c>
      <c r="W101" s="4"/>
      <c r="X101" s="4">
        <f>+P101-T101</f>
        <v>50397.58</v>
      </c>
      <c r="Y101" s="4"/>
      <c r="Z101" s="12">
        <f>IF(T101=0,0,X101/T101)</f>
        <v>0.39355977226163741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5" t="s">
        <v>4</v>
      </c>
      <c r="C103" s="25"/>
      <c r="D103" s="33">
        <f>+D99-D101</f>
        <v>-70858.939999999944</v>
      </c>
      <c r="E103" s="13"/>
      <c r="F103" s="32">
        <f>IF(D$12=0,0,D103/D$12)</f>
        <v>-0.26876491532944052</v>
      </c>
      <c r="G103" s="13"/>
      <c r="H103" s="33">
        <f>+H99-H101</f>
        <v>15065.909999999913</v>
      </c>
      <c r="I103" s="13"/>
      <c r="J103" s="32">
        <f>IF(H$12=0,0,H103/H$12)</f>
        <v>4.7033111089681265E-2</v>
      </c>
      <c r="K103" s="15"/>
      <c r="L103" s="33">
        <f>D103-H103</f>
        <v>-85924.84999999986</v>
      </c>
      <c r="M103" s="15"/>
      <c r="N103" s="32">
        <f>IF(H103=0,0,L103/H103)</f>
        <v>-5.7032631948551638</v>
      </c>
      <c r="O103" s="26"/>
      <c r="P103" s="33">
        <f>+P99-P101</f>
        <v>-179194.99000000014</v>
      </c>
      <c r="Q103" s="13"/>
      <c r="R103" s="32">
        <f>IF(P$12=0,0,P103/P$12)</f>
        <v>-0.18602494612366602</v>
      </c>
      <c r="S103" s="13"/>
      <c r="T103" s="33">
        <f>+T99-T101</f>
        <v>-112084.90000000027</v>
      </c>
      <c r="U103" s="13"/>
      <c r="V103" s="32">
        <f>IF(T$12=0,0,T103/T$12)</f>
        <v>-9.4016910627982925E-2</v>
      </c>
      <c r="W103" s="15"/>
      <c r="X103" s="33">
        <f>P103-T103</f>
        <v>-67110.089999999866</v>
      </c>
      <c r="Y103" s="15"/>
      <c r="Z103" s="32">
        <f>IF(T103=0,0,X103/T103)</f>
        <v>0.59874336328978928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5" t="s">
        <v>5</v>
      </c>
      <c r="C106" s="25"/>
      <c r="D106" s="34">
        <f>SUM(D103:D105)</f>
        <v>-70858.939999999944</v>
      </c>
      <c r="E106" s="13"/>
      <c r="F106" s="31">
        <f>IF(D$12=0,0,D106/D$12)</f>
        <v>-0.26876491532944052</v>
      </c>
      <c r="G106" s="13"/>
      <c r="H106" s="34">
        <f>SUM(H103:H105)</f>
        <v>15065.909999999913</v>
      </c>
      <c r="I106" s="13"/>
      <c r="J106" s="31">
        <f>IF(H$12=0,0,H106/H$12)</f>
        <v>4.7033111089681265E-2</v>
      </c>
      <c r="K106" s="15"/>
      <c r="L106" s="34">
        <f>+D106-H106</f>
        <v>-85924.84999999986</v>
      </c>
      <c r="M106" s="15"/>
      <c r="N106" s="31">
        <f>IF(H106=0,0,L106/H106)</f>
        <v>-5.7032631948551638</v>
      </c>
      <c r="O106" s="26"/>
      <c r="P106" s="34">
        <f>SUM(P103:P105)</f>
        <v>-179194.99000000014</v>
      </c>
      <c r="Q106" s="13"/>
      <c r="R106" s="31">
        <f>IF(P$12=0,0,P106/P$12)</f>
        <v>-0.18602494612366602</v>
      </c>
      <c r="S106" s="13"/>
      <c r="T106" s="34">
        <f>SUM(T103:T105)</f>
        <v>-112084.90000000027</v>
      </c>
      <c r="U106" s="13"/>
      <c r="V106" s="31">
        <f>IF(T$12=0,0,T106/T$12)</f>
        <v>-9.4016910627982925E-2</v>
      </c>
      <c r="W106" s="15"/>
      <c r="X106" s="34">
        <f>+P106-T106</f>
        <v>-67110.089999999866</v>
      </c>
      <c r="Y106" s="15"/>
      <c r="Z106" s="31">
        <f>IF(T106=0,0,X106/T106)</f>
        <v>0.59874336328978928</v>
      </c>
    </row>
    <row r="107" spans="1:26" ht="15.75" thickTop="1" x14ac:dyDescent="0.25">
      <c r="A107" s="9"/>
      <c r="C107" s="9"/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4">
        <v>44123.565330243058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9" t="s">
        <v>313</v>
      </c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A110" s="9"/>
      <c r="B110" s="58"/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  <row r="111" spans="1:26" x14ac:dyDescent="0.25">
      <c r="D111" s="18"/>
      <c r="E111" s="18"/>
      <c r="G111" s="18"/>
      <c r="H111" s="18"/>
      <c r="I111" s="18"/>
      <c r="J111" s="42"/>
      <c r="K111" s="18"/>
      <c r="L111" s="18"/>
      <c r="M111" s="18"/>
      <c r="P111" s="18"/>
      <c r="Q111" s="18"/>
      <c r="R111" s="42"/>
      <c r="S111" s="18"/>
      <c r="T111" s="18"/>
      <c r="U111" s="18"/>
      <c r="V111" s="42"/>
      <c r="W111" s="18"/>
      <c r="X111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305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1762.4699999999998</v>
      </c>
      <c r="E12" s="4"/>
      <c r="F12" s="12"/>
      <c r="G12" s="4"/>
      <c r="H12" s="4">
        <f>SUM(OSRRefH13x_0)</f>
        <v>400942.54000000004</v>
      </c>
      <c r="I12" s="4"/>
      <c r="J12" s="12"/>
      <c r="K12" s="4"/>
      <c r="L12" s="4">
        <f t="shared" ref="L12:L20" si="0">+D12-H12</f>
        <v>-399180.07000000007</v>
      </c>
      <c r="M12" s="4"/>
      <c r="N12" s="12">
        <f t="shared" ref="N12:N20" si="1">IF(H12=0,0,L12/H12)</f>
        <v>-0.99560418308319198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588485.84000000008</v>
      </c>
      <c r="U12" s="4"/>
      <c r="V12" s="12"/>
      <c r="W12" s="4"/>
      <c r="X12" s="4">
        <f t="shared" ref="X12:X20" si="2">+P12-T12</f>
        <v>-585899.37000000011</v>
      </c>
      <c r="Y12" s="4"/>
      <c r="Z12" s="12">
        <f t="shared" ref="Z12:Z20" si="3">IF(T12=0,0,X12/T12)</f>
        <v>-0.99560487300764966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--356.39</f>
        <v>356.39</v>
      </c>
      <c r="E13" s="2"/>
      <c r="F13" s="19"/>
      <c r="G13" s="2"/>
      <c r="H13" s="2">
        <f>--47906.96</f>
        <v>47906.96</v>
      </c>
      <c r="I13" s="2"/>
      <c r="J13" s="19"/>
      <c r="K13" s="2"/>
      <c r="L13" s="2">
        <f t="shared" si="0"/>
        <v>-47550.57</v>
      </c>
      <c r="M13" s="2"/>
      <c r="N13" s="19">
        <f t="shared" si="1"/>
        <v>-0.99256078866202324</v>
      </c>
      <c r="O13" s="11"/>
      <c r="P13" s="2">
        <f>--444.59</f>
        <v>444.59</v>
      </c>
      <c r="Q13" s="2"/>
      <c r="R13" s="19"/>
      <c r="S13" s="2"/>
      <c r="T13" s="2">
        <f>--72656.34</f>
        <v>72656.34</v>
      </c>
      <c r="U13" s="2"/>
      <c r="V13" s="19"/>
      <c r="W13" s="2"/>
      <c r="X13" s="2">
        <f t="shared" si="2"/>
        <v>-72211.75</v>
      </c>
      <c r="Y13" s="2"/>
      <c r="Z13" s="19">
        <f t="shared" si="3"/>
        <v>-0.99388091940772139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ref="D14:D15" si="4">0</f>
        <v>0</v>
      </c>
      <c r="E14" s="2"/>
      <c r="F14" s="19"/>
      <c r="G14" s="2"/>
      <c r="H14" s="2">
        <f>--503.93</f>
        <v>503.93</v>
      </c>
      <c r="I14" s="2"/>
      <c r="J14" s="19"/>
      <c r="K14" s="2"/>
      <c r="L14" s="2">
        <f t="shared" si="0"/>
        <v>-503.93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--1150.33</f>
        <v>1150.33</v>
      </c>
      <c r="U14" s="2"/>
      <c r="V14" s="19"/>
      <c r="W14" s="2"/>
      <c r="X14" s="2">
        <f t="shared" si="2"/>
        <v>-1150.33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--27751.99</f>
        <v>27751.99</v>
      </c>
      <c r="I15" s="2"/>
      <c r="J15" s="19"/>
      <c r="K15" s="2"/>
      <c r="L15" s="2">
        <f t="shared" si="0"/>
        <v>-27751.99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--38918.87</f>
        <v>38918.870000000003</v>
      </c>
      <c r="U15" s="2"/>
      <c r="V15" s="19"/>
      <c r="W15" s="2"/>
      <c r="X15" s="2">
        <f t="shared" si="2"/>
        <v>-38918.870000000003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--1406.08</f>
        <v>1406.08</v>
      </c>
      <c r="E16" s="2"/>
      <c r="F16" s="19"/>
      <c r="G16" s="2"/>
      <c r="H16" s="2">
        <f>--181943.15</f>
        <v>181943.15</v>
      </c>
      <c r="I16" s="2"/>
      <c r="J16" s="19"/>
      <c r="K16" s="2"/>
      <c r="L16" s="2">
        <f t="shared" si="0"/>
        <v>-180537.07</v>
      </c>
      <c r="M16" s="2"/>
      <c r="N16" s="19">
        <f t="shared" si="1"/>
        <v>-0.99227187173575926</v>
      </c>
      <c r="O16" s="11"/>
      <c r="P16" s="2">
        <f>--2031.88</f>
        <v>2031.88</v>
      </c>
      <c r="Q16" s="2"/>
      <c r="R16" s="19"/>
      <c r="S16" s="2"/>
      <c r="T16" s="2">
        <f>--275941.99</f>
        <v>275941.99</v>
      </c>
      <c r="U16" s="2"/>
      <c r="V16" s="19"/>
      <c r="W16" s="2"/>
      <c r="X16" s="2">
        <f t="shared" si="2"/>
        <v>-273910.11</v>
      </c>
      <c r="Y16" s="2"/>
      <c r="Z16" s="19">
        <f t="shared" si="3"/>
        <v>-0.99263656828741431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ref="D17:D20" si="6">0</f>
        <v>0</v>
      </c>
      <c r="E17" s="2"/>
      <c r="F17" s="19"/>
      <c r="G17" s="2"/>
      <c r="H17" s="2">
        <f>--3.78</f>
        <v>3.78</v>
      </c>
      <c r="I17" s="2"/>
      <c r="J17" s="19"/>
      <c r="K17" s="2"/>
      <c r="L17" s="2">
        <f t="shared" si="0"/>
        <v>-3.78</v>
      </c>
      <c r="M17" s="2"/>
      <c r="N17" s="19">
        <f t="shared" si="1"/>
        <v>-1</v>
      </c>
      <c r="O17" s="11"/>
      <c r="P17" s="2">
        <f t="shared" ref="P17:P19" si="7">0</f>
        <v>0</v>
      </c>
      <c r="Q17" s="2"/>
      <c r="R17" s="19"/>
      <c r="S17" s="2"/>
      <c r="T17" s="2">
        <f>--0.39</f>
        <v>0.39</v>
      </c>
      <c r="U17" s="2"/>
      <c r="V17" s="19"/>
      <c r="W17" s="2"/>
      <c r="X17" s="2">
        <f t="shared" si="2"/>
        <v>-0.39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6"/>
        <v>0</v>
      </c>
      <c r="E18" s="2"/>
      <c r="F18" s="19"/>
      <c r="G18" s="2"/>
      <c r="H18" s="2">
        <f>--237.57</f>
        <v>237.57</v>
      </c>
      <c r="I18" s="2"/>
      <c r="J18" s="19"/>
      <c r="K18" s="2"/>
      <c r="L18" s="2">
        <f t="shared" si="0"/>
        <v>-237.57</v>
      </c>
      <c r="M18" s="2"/>
      <c r="N18" s="19">
        <f t="shared" si="1"/>
        <v>-1</v>
      </c>
      <c r="O18" s="11"/>
      <c r="P18" s="2">
        <f t="shared" si="7"/>
        <v>0</v>
      </c>
      <c r="Q18" s="2"/>
      <c r="R18" s="19"/>
      <c r="S18" s="2"/>
      <c r="T18" s="2">
        <f>--621.09</f>
        <v>621.09</v>
      </c>
      <c r="U18" s="2"/>
      <c r="V18" s="19"/>
      <c r="W18" s="2"/>
      <c r="X18" s="2">
        <f t="shared" si="2"/>
        <v>-621.09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6"/>
        <v>0</v>
      </c>
      <c r="E19" s="2"/>
      <c r="F19" s="19"/>
      <c r="G19" s="2"/>
      <c r="H19" s="2">
        <f>--140653.16</f>
        <v>140653.16</v>
      </c>
      <c r="I19" s="2"/>
      <c r="J19" s="19"/>
      <c r="K19" s="2"/>
      <c r="L19" s="2">
        <f t="shared" si="0"/>
        <v>-140653.16</v>
      </c>
      <c r="M19" s="2"/>
      <c r="N19" s="19">
        <f t="shared" si="1"/>
        <v>-1</v>
      </c>
      <c r="O19" s="11"/>
      <c r="P19" s="2">
        <f t="shared" si="7"/>
        <v>0</v>
      </c>
      <c r="Q19" s="2"/>
      <c r="R19" s="19"/>
      <c r="S19" s="2"/>
      <c r="T19" s="2">
        <f>--196790.33</f>
        <v>196790.33</v>
      </c>
      <c r="U19" s="2"/>
      <c r="V19" s="19"/>
      <c r="W19" s="2"/>
      <c r="X19" s="2">
        <f t="shared" si="2"/>
        <v>-196790.33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 t="shared" si="6"/>
        <v>0</v>
      </c>
      <c r="E20" s="2"/>
      <c r="F20" s="19"/>
      <c r="G20" s="2"/>
      <c r="H20" s="2">
        <f>--1942</f>
        <v>1942</v>
      </c>
      <c r="I20" s="2"/>
      <c r="J20" s="19"/>
      <c r="K20" s="2"/>
      <c r="L20" s="2">
        <f t="shared" si="0"/>
        <v>-1942</v>
      </c>
      <c r="M20" s="2"/>
      <c r="N20" s="19">
        <f t="shared" si="1"/>
        <v>-1</v>
      </c>
      <c r="O20" s="11"/>
      <c r="P20" s="2">
        <f>--110</f>
        <v>110</v>
      </c>
      <c r="Q20" s="2"/>
      <c r="R20" s="19"/>
      <c r="S20" s="2"/>
      <c r="T20" s="2">
        <f>--2406.5</f>
        <v>2406.5</v>
      </c>
      <c r="U20" s="2"/>
      <c r="V20" s="19"/>
      <c r="W20" s="2"/>
      <c r="X20" s="2">
        <f t="shared" si="2"/>
        <v>-2296.5</v>
      </c>
      <c r="Y20" s="2"/>
      <c r="Z20" s="19">
        <f t="shared" si="3"/>
        <v>-0.95429046332848533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6" t="s">
        <v>8</v>
      </c>
      <c r="C22" s="10"/>
      <c r="D22" s="4">
        <f>SUM(OSRRefD16x_0)</f>
        <v>53.15</v>
      </c>
      <c r="E22" s="4"/>
      <c r="F22" s="12">
        <f t="shared" ref="F22:F24" si="8">IF(D$12=0,0,D22/D$12)</f>
        <v>3.0156541671631294E-2</v>
      </c>
      <c r="G22" s="4"/>
      <c r="H22" s="4">
        <f>SUM(OSRRefH16x_0)</f>
        <v>182572.67</v>
      </c>
      <c r="I22" s="4"/>
      <c r="J22" s="12">
        <f t="shared" ref="J22:J24" si="9">IF(H$12=0,0,H22/H$12)</f>
        <v>0.4553586905495236</v>
      </c>
      <c r="K22" s="4"/>
      <c r="L22" s="4">
        <f t="shared" ref="L22:L24" si="10">+D22-H22</f>
        <v>-182519.52000000002</v>
      </c>
      <c r="M22" s="4"/>
      <c r="N22" s="12">
        <f t="shared" ref="N22:N24" si="11">IF(H22=0,0,L22/H22)</f>
        <v>-0.99970888304366701</v>
      </c>
      <c r="O22" s="10"/>
      <c r="P22" s="4">
        <f>SUM(OSRRefP16x_0)</f>
        <v>-2216.4900000000002</v>
      </c>
      <c r="Q22" s="4"/>
      <c r="R22" s="12">
        <f t="shared" ref="R22:R24" si="12">IF(P$12=0,0,P22/P$12)</f>
        <v>-0.85695561904835549</v>
      </c>
      <c r="S22" s="4"/>
      <c r="T22" s="4">
        <f>SUM(OSRRefT16x_0)</f>
        <v>274037.49</v>
      </c>
      <c r="U22" s="4"/>
      <c r="V22" s="12">
        <f t="shared" ref="V22:V24" si="13">IF(T$12=0,0,T22/T$12)</f>
        <v>0.46566539307046018</v>
      </c>
      <c r="W22" s="4"/>
      <c r="X22" s="4">
        <f t="shared" ref="X22:X24" si="14">+P22-T22</f>
        <v>-276253.98</v>
      </c>
      <c r="Y22" s="4"/>
      <c r="Z22" s="12">
        <f t="shared" ref="Z22:Z24" si="15">IF(T22=0,0,X22/T22)</f>
        <v>-1.0080882728855822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53.15</v>
      </c>
      <c r="E23" s="2"/>
      <c r="F23" s="19">
        <f t="shared" si="8"/>
        <v>3.0156541671631294E-2</v>
      </c>
      <c r="G23" s="2"/>
      <c r="H23" s="2">
        <v>195283.21000000002</v>
      </c>
      <c r="I23" s="2"/>
      <c r="J23" s="19">
        <f t="shared" si="9"/>
        <v>0.48706034036697626</v>
      </c>
      <c r="K23" s="2"/>
      <c r="L23" s="2">
        <f t="shared" si="10"/>
        <v>-195230.06000000003</v>
      </c>
      <c r="M23" s="2"/>
      <c r="N23" s="19">
        <f t="shared" si="11"/>
        <v>-0.99972783118425801</v>
      </c>
      <c r="O23" s="11"/>
      <c r="P23" s="2">
        <v>-2285.4</v>
      </c>
      <c r="Q23" s="2"/>
      <c r="R23" s="19">
        <f t="shared" si="12"/>
        <v>-0.88359810861908306</v>
      </c>
      <c r="S23" s="2"/>
      <c r="T23" s="2">
        <v>332788.87</v>
      </c>
      <c r="U23" s="2"/>
      <c r="V23" s="19">
        <f t="shared" si="13"/>
        <v>0.56550021662373384</v>
      </c>
      <c r="W23" s="2"/>
      <c r="X23" s="2">
        <f t="shared" si="14"/>
        <v>-335074.27</v>
      </c>
      <c r="Y23" s="2"/>
      <c r="Z23" s="19">
        <f t="shared" si="15"/>
        <v>-1.0068674171705323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/>
      <c r="E24" s="2"/>
      <c r="F24" s="19">
        <f t="shared" si="8"/>
        <v>0</v>
      </c>
      <c r="G24" s="2"/>
      <c r="H24" s="2">
        <v>-12710.54</v>
      </c>
      <c r="I24" s="2"/>
      <c r="J24" s="19">
        <f t="shared" si="9"/>
        <v>-3.1701649817452646E-2</v>
      </c>
      <c r="K24" s="2"/>
      <c r="L24" s="2">
        <f t="shared" si="10"/>
        <v>12710.54</v>
      </c>
      <c r="M24" s="2"/>
      <c r="N24" s="19">
        <f t="shared" si="11"/>
        <v>-1</v>
      </c>
      <c r="O24" s="11"/>
      <c r="P24" s="2">
        <v>68.91</v>
      </c>
      <c r="Q24" s="2"/>
      <c r="R24" s="19">
        <f t="shared" si="12"/>
        <v>2.6642489570727668E-2</v>
      </c>
      <c r="S24" s="2"/>
      <c r="T24" s="2">
        <v>-58751.38</v>
      </c>
      <c r="U24" s="2"/>
      <c r="V24" s="19">
        <f t="shared" si="13"/>
        <v>-9.9834823553273583E-2</v>
      </c>
      <c r="W24" s="2"/>
      <c r="X24" s="2">
        <f t="shared" si="14"/>
        <v>58820.29</v>
      </c>
      <c r="Y24" s="2"/>
      <c r="Z24" s="19">
        <f t="shared" si="15"/>
        <v>-1.0011729086193379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6</v>
      </c>
      <c r="C26" s="25"/>
      <c r="D26" s="22">
        <f>D12-D22</f>
        <v>1709.3199999999997</v>
      </c>
      <c r="E26" s="13"/>
      <c r="F26" s="21">
        <f>IF(D$12=0,0,D26/D$12)</f>
        <v>0.9698434583283686</v>
      </c>
      <c r="G26" s="13"/>
      <c r="H26" s="22">
        <f>H12-H22</f>
        <v>218369.87000000002</v>
      </c>
      <c r="I26" s="13"/>
      <c r="J26" s="21">
        <f>IF(H$12=0,0,H26/H$12)</f>
        <v>0.5446413094504764</v>
      </c>
      <c r="K26" s="15"/>
      <c r="L26" s="22">
        <f>+D26-H26</f>
        <v>-216660.55000000002</v>
      </c>
      <c r="M26" s="15"/>
      <c r="N26" s="21">
        <f>IF(H26=0,0,L26/H26)</f>
        <v>-0.99217236333931957</v>
      </c>
      <c r="O26" s="26"/>
      <c r="P26" s="22">
        <f>P12-P22</f>
        <v>4802.9600000000009</v>
      </c>
      <c r="Q26" s="13"/>
      <c r="R26" s="21">
        <f>IF(P$12=0,0,P26/P$12)</f>
        <v>1.8569556190483556</v>
      </c>
      <c r="S26" s="13"/>
      <c r="T26" s="22">
        <f>T12-T22</f>
        <v>314448.35000000009</v>
      </c>
      <c r="U26" s="13"/>
      <c r="V26" s="21">
        <f>IF(T$12=0,0,T26/T$12)</f>
        <v>0.53433460692953982</v>
      </c>
      <c r="W26" s="15"/>
      <c r="X26" s="22">
        <f>+P26-T26</f>
        <v>-309645.39000000007</v>
      </c>
      <c r="Y26" s="15"/>
      <c r="Z26" s="21">
        <f>IF(T26=0,0,X26/T26)</f>
        <v>-0.98472575861822775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6" t="s">
        <v>9</v>
      </c>
      <c r="C28" s="10"/>
      <c r="D28" s="20">
        <f>SUM(OSRRefD22x_0)</f>
        <v>32187.000000000004</v>
      </c>
      <c r="E28" s="20"/>
      <c r="F28" s="36">
        <f t="shared" ref="F28:F37" si="16">IF(D$12=0,0,D28/D$12)</f>
        <v>18.262438509591657</v>
      </c>
      <c r="G28" s="20"/>
      <c r="H28" s="20">
        <f>SUM(OSRRefH22x_0)</f>
        <v>125154.67999999995</v>
      </c>
      <c r="I28" s="20"/>
      <c r="J28" s="36">
        <f t="shared" ref="J28:J37" si="17">IF(H$12=0,0,H28/H$12)</f>
        <v>0.31215116260798853</v>
      </c>
      <c r="K28" s="4"/>
      <c r="L28" s="20">
        <f t="shared" ref="L28:L37" si="18">+D28-H28</f>
        <v>-92967.679999999949</v>
      </c>
      <c r="M28" s="4"/>
      <c r="N28" s="36">
        <f t="shared" ref="N28:N37" si="19">IF(H28=0,0,L28/H28)</f>
        <v>-0.74282224204480396</v>
      </c>
      <c r="O28" s="10"/>
      <c r="P28" s="20">
        <f>SUM(OSRRefP22x_0)</f>
        <v>97440.74</v>
      </c>
      <c r="Q28" s="20"/>
      <c r="R28" s="36">
        <f t="shared" ref="R28:R37" si="20">IF(P$12=0,0,P28/P$12)</f>
        <v>37.673253507676485</v>
      </c>
      <c r="S28" s="20"/>
      <c r="T28" s="20">
        <f>SUM(OSRRefT22x_0)</f>
        <v>297624.13</v>
      </c>
      <c r="U28" s="20"/>
      <c r="V28" s="36">
        <f t="shared" ref="V28:V37" si="21">IF(T$12=0,0,T28/T$12)</f>
        <v>0.50574560978391592</v>
      </c>
      <c r="W28" s="4"/>
      <c r="X28" s="20">
        <f t="shared" ref="X28:X37" si="22">+P28-T28</f>
        <v>-200183.39</v>
      </c>
      <c r="Y28" s="4"/>
      <c r="Z28" s="36">
        <f t="shared" ref="Z28:Z37" si="23">IF(T28=0,0,X28/T28)</f>
        <v>-0.67260470446398279</v>
      </c>
    </row>
    <row r="29" spans="1:26" s="27" customFormat="1" outlineLevel="1" collapsed="1" x14ac:dyDescent="0.25">
      <c r="A29" s="29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6025.29</v>
      </c>
      <c r="E29" s="1"/>
      <c r="F29" s="5">
        <f t="shared" si="16"/>
        <v>3.4186624453182186</v>
      </c>
      <c r="G29" s="1"/>
      <c r="H29" s="1">
        <f>SUM(OSRRefH22_0x_0)</f>
        <v>13747.109999999999</v>
      </c>
      <c r="I29" s="1"/>
      <c r="J29" s="5">
        <f t="shared" si="17"/>
        <v>3.4286982867919175E-2</v>
      </c>
      <c r="K29" s="1"/>
      <c r="L29" s="1">
        <f t="shared" si="18"/>
        <v>-7721.8199999999988</v>
      </c>
      <c r="M29" s="1"/>
      <c r="N29" s="5">
        <f t="shared" si="19"/>
        <v>-0.56170496926263047</v>
      </c>
      <c r="O29" s="14"/>
      <c r="P29" s="1">
        <f>SUM(OSRRefP22_0x_0)</f>
        <v>20963.57</v>
      </c>
      <c r="Q29" s="1"/>
      <c r="R29" s="5">
        <f t="shared" si="20"/>
        <v>8.1050891755945358</v>
      </c>
      <c r="S29" s="1"/>
      <c r="T29" s="1">
        <f>SUM(OSRRefT22_0x_0)</f>
        <v>41935.19</v>
      </c>
      <c r="U29" s="1"/>
      <c r="V29" s="5">
        <f t="shared" si="21"/>
        <v>7.1259471595782151E-2</v>
      </c>
      <c r="W29" s="1"/>
      <c r="X29" s="1">
        <f t="shared" si="22"/>
        <v>-20971.620000000003</v>
      </c>
      <c r="Y29" s="1"/>
      <c r="Z29" s="5">
        <f t="shared" si="23"/>
        <v>-0.5000959814418392</v>
      </c>
    </row>
    <row r="30" spans="1:26" s="24" customFormat="1" hidden="1" outlineLevel="2" x14ac:dyDescent="0.25">
      <c r="A30" s="28"/>
      <c r="B30" s="11" t="str">
        <f>CONCATENATE("          ", "6111", " - ", "F.I.C.A.")</f>
        <v xml:space="preserve">          6111 - F.I.C.A.</v>
      </c>
      <c r="C30" s="11"/>
      <c r="D30" s="7">
        <v>812.39</v>
      </c>
      <c r="E30" s="2"/>
      <c r="F30" s="6">
        <f t="shared" si="16"/>
        <v>0.46093834221291713</v>
      </c>
      <c r="G30" s="2"/>
      <c r="H30" s="7">
        <v>2002.48</v>
      </c>
      <c r="I30" s="2"/>
      <c r="J30" s="6">
        <f t="shared" si="17"/>
        <v>4.9944313716374419E-3</v>
      </c>
      <c r="K30" s="2"/>
      <c r="L30" s="7">
        <f t="shared" si="18"/>
        <v>-1190.0900000000001</v>
      </c>
      <c r="M30" s="2"/>
      <c r="N30" s="6">
        <f t="shared" si="19"/>
        <v>-0.59430805800807007</v>
      </c>
      <c r="O30" s="11"/>
      <c r="P30" s="7">
        <v>2349.4899999999998</v>
      </c>
      <c r="Q30" s="2"/>
      <c r="R30" s="6">
        <f t="shared" si="20"/>
        <v>0.9083770544409947</v>
      </c>
      <c r="S30" s="2"/>
      <c r="T30" s="7">
        <v>6747.54</v>
      </c>
      <c r="U30" s="2"/>
      <c r="V30" s="6">
        <f t="shared" si="21"/>
        <v>1.1465934337519487E-2</v>
      </c>
      <c r="W30" s="2"/>
      <c r="X30" s="7">
        <f t="shared" si="22"/>
        <v>-4398.05</v>
      </c>
      <c r="Y30" s="2"/>
      <c r="Z30" s="6">
        <f t="shared" si="23"/>
        <v>-0.65180050803700318</v>
      </c>
    </row>
    <row r="31" spans="1:26" s="24" customFormat="1" hidden="1" outlineLevel="2" x14ac:dyDescent="0.25">
      <c r="A31" s="28"/>
      <c r="B31" s="11" t="str">
        <f>CONCATENATE("          ", "6112", " - ", "COMPENSATION INSURANCE")</f>
        <v xml:space="preserve">          6112 - COMPENSATION INSURANCE</v>
      </c>
      <c r="C31" s="11"/>
      <c r="D31" s="7">
        <v>163.46</v>
      </c>
      <c r="E31" s="2"/>
      <c r="F31" s="6">
        <f t="shared" si="16"/>
        <v>9.2744841046939822E-2</v>
      </c>
      <c r="G31" s="2"/>
      <c r="H31" s="7">
        <v>1171.1500000000001</v>
      </c>
      <c r="I31" s="2"/>
      <c r="J31" s="6">
        <f t="shared" si="17"/>
        <v>2.9209921202175255E-3</v>
      </c>
      <c r="K31" s="2"/>
      <c r="L31" s="7">
        <f t="shared" si="18"/>
        <v>-1007.69</v>
      </c>
      <c r="M31" s="2"/>
      <c r="N31" s="6">
        <f t="shared" si="19"/>
        <v>-0.86042778465610725</v>
      </c>
      <c r="O31" s="11"/>
      <c r="P31" s="7">
        <v>496.7</v>
      </c>
      <c r="Q31" s="2"/>
      <c r="R31" s="6">
        <f t="shared" si="20"/>
        <v>0.19203779668815024</v>
      </c>
      <c r="S31" s="2"/>
      <c r="T31" s="7">
        <v>2660.27</v>
      </c>
      <c r="U31" s="2"/>
      <c r="V31" s="6">
        <f t="shared" si="21"/>
        <v>4.5205335781741147E-3</v>
      </c>
      <c r="W31" s="2"/>
      <c r="X31" s="7">
        <f t="shared" si="22"/>
        <v>-2163.5700000000002</v>
      </c>
      <c r="Y31" s="2"/>
      <c r="Z31" s="6">
        <f t="shared" si="23"/>
        <v>-0.81328962849635567</v>
      </c>
    </row>
    <row r="32" spans="1:26" s="24" customFormat="1" hidden="1" outlineLevel="2" x14ac:dyDescent="0.25">
      <c r="A32" s="28"/>
      <c r="B32" s="11" t="str">
        <f>CONCATENATE("          ", "6113", " - ", "GROUP INSURANCE")</f>
        <v xml:space="preserve">          6113 - GROUP INSURANCE</v>
      </c>
      <c r="C32" s="11"/>
      <c r="D32" s="7">
        <v>2704.94</v>
      </c>
      <c r="E32" s="2"/>
      <c r="F32" s="6">
        <f t="shared" si="16"/>
        <v>1.5347438537960931</v>
      </c>
      <c r="G32" s="2"/>
      <c r="H32" s="7">
        <v>6378.17</v>
      </c>
      <c r="I32" s="2"/>
      <c r="J32" s="6">
        <f t="shared" si="17"/>
        <v>1.5907940324815618E-2</v>
      </c>
      <c r="K32" s="2"/>
      <c r="L32" s="7">
        <f t="shared" si="18"/>
        <v>-3673.23</v>
      </c>
      <c r="M32" s="2"/>
      <c r="N32" s="6">
        <f t="shared" si="19"/>
        <v>-0.57590656881205737</v>
      </c>
      <c r="O32" s="11"/>
      <c r="P32" s="7">
        <v>10030.450000000001</v>
      </c>
      <c r="Q32" s="2"/>
      <c r="R32" s="6">
        <f t="shared" si="20"/>
        <v>3.8780461401060129</v>
      </c>
      <c r="S32" s="2"/>
      <c r="T32" s="7">
        <v>19602.16</v>
      </c>
      <c r="U32" s="2"/>
      <c r="V32" s="6">
        <f t="shared" si="21"/>
        <v>3.3309484557861237E-2</v>
      </c>
      <c r="W32" s="2"/>
      <c r="X32" s="7">
        <f t="shared" si="22"/>
        <v>-9571.7099999999991</v>
      </c>
      <c r="Y32" s="2"/>
      <c r="Z32" s="6">
        <f t="shared" si="23"/>
        <v>-0.48829873850636862</v>
      </c>
    </row>
    <row r="33" spans="1:26" s="24" customFormat="1" hidden="1" outlineLevel="2" x14ac:dyDescent="0.25">
      <c r="A33" s="28"/>
      <c r="B33" s="11" t="str">
        <f>CONCATENATE("          ", "6114", " - ", "STATE UNEMPLOYMENT INSURANCE")</f>
        <v xml:space="preserve">          6114 - STATE UNEMPLOYMENT INSURANCE</v>
      </c>
      <c r="C33" s="11"/>
      <c r="D33" s="7">
        <v>22.98</v>
      </c>
      <c r="E33" s="2"/>
      <c r="F33" s="6">
        <f t="shared" si="16"/>
        <v>1.3038519804592421E-2</v>
      </c>
      <c r="G33" s="2"/>
      <c r="H33" s="7">
        <v>160.25</v>
      </c>
      <c r="I33" s="2"/>
      <c r="J33" s="6">
        <f t="shared" si="17"/>
        <v>3.9968320647641926E-4</v>
      </c>
      <c r="K33" s="2"/>
      <c r="L33" s="7">
        <f t="shared" si="18"/>
        <v>-137.27000000000001</v>
      </c>
      <c r="M33" s="2"/>
      <c r="N33" s="6">
        <f t="shared" si="19"/>
        <v>-0.85659906396255858</v>
      </c>
      <c r="O33" s="11"/>
      <c r="P33" s="7">
        <v>69.819999999999993</v>
      </c>
      <c r="Q33" s="2"/>
      <c r="R33" s="6">
        <f t="shared" si="20"/>
        <v>2.6994320444466778E-2</v>
      </c>
      <c r="S33" s="2"/>
      <c r="T33" s="7">
        <v>326.64999999999998</v>
      </c>
      <c r="U33" s="2"/>
      <c r="V33" s="6">
        <f t="shared" si="21"/>
        <v>5.5506858074953844E-4</v>
      </c>
      <c r="W33" s="2"/>
      <c r="X33" s="7">
        <f t="shared" si="22"/>
        <v>-256.83</v>
      </c>
      <c r="Y33" s="2"/>
      <c r="Z33" s="6">
        <f t="shared" si="23"/>
        <v>-0.78625440073473141</v>
      </c>
    </row>
    <row r="34" spans="1:26" s="24" customFormat="1" hidden="1" outlineLevel="2" x14ac:dyDescent="0.25">
      <c r="A34" s="28"/>
      <c r="B34" s="11" t="str">
        <f>CONCATENATE("          ", "6115", " - ", "P.E.R.S.")</f>
        <v xml:space="preserve">          6115 - P.E.R.S.</v>
      </c>
      <c r="C34" s="11"/>
      <c r="D34" s="7">
        <v>935.63</v>
      </c>
      <c r="E34" s="2"/>
      <c r="F34" s="6">
        <f t="shared" si="16"/>
        <v>0.53086293667409945</v>
      </c>
      <c r="G34" s="2"/>
      <c r="H34" s="7">
        <v>1497.9</v>
      </c>
      <c r="I34" s="2"/>
      <c r="J34" s="6">
        <f t="shared" si="17"/>
        <v>3.7359468017536877E-3</v>
      </c>
      <c r="K34" s="2"/>
      <c r="L34" s="7">
        <f t="shared" si="18"/>
        <v>-562.2700000000001</v>
      </c>
      <c r="M34" s="2"/>
      <c r="N34" s="6">
        <f t="shared" si="19"/>
        <v>-0.37537218772948799</v>
      </c>
      <c r="O34" s="11"/>
      <c r="P34" s="7">
        <v>3733.59</v>
      </c>
      <c r="Q34" s="2"/>
      <c r="R34" s="6">
        <f t="shared" si="20"/>
        <v>1.4435079471248458</v>
      </c>
      <c r="S34" s="2"/>
      <c r="T34" s="7">
        <v>4493.7</v>
      </c>
      <c r="U34" s="2"/>
      <c r="V34" s="6">
        <f t="shared" si="21"/>
        <v>7.6360375977780519E-3</v>
      </c>
      <c r="W34" s="2"/>
      <c r="X34" s="7">
        <f t="shared" si="22"/>
        <v>-760.10999999999967</v>
      </c>
      <c r="Y34" s="2"/>
      <c r="Z34" s="6">
        <f t="shared" si="23"/>
        <v>-0.16915014353428126</v>
      </c>
    </row>
    <row r="35" spans="1:26" s="24" customFormat="1" hidden="1" outlineLevel="2" x14ac:dyDescent="0.25">
      <c r="A35" s="28"/>
      <c r="B35" s="11" t="str">
        <f>CONCATENATE("          ", "6118", " - ", "VACATION")</f>
        <v xml:space="preserve">          6118 - VACATION</v>
      </c>
      <c r="C35" s="11"/>
      <c r="D35" s="7">
        <v>646.78</v>
      </c>
      <c r="E35" s="2"/>
      <c r="F35" s="6">
        <f t="shared" si="16"/>
        <v>0.36697362224605246</v>
      </c>
      <c r="G35" s="2"/>
      <c r="H35" s="7">
        <v>1056.98</v>
      </c>
      <c r="I35" s="2"/>
      <c r="J35" s="6">
        <f t="shared" si="17"/>
        <v>2.6362381003522347E-3</v>
      </c>
      <c r="K35" s="2"/>
      <c r="L35" s="7">
        <f t="shared" si="18"/>
        <v>-410.20000000000005</v>
      </c>
      <c r="M35" s="2"/>
      <c r="N35" s="6">
        <f t="shared" si="19"/>
        <v>-0.38808681337395223</v>
      </c>
      <c r="O35" s="11"/>
      <c r="P35" s="7">
        <v>2092.44</v>
      </c>
      <c r="Q35" s="2"/>
      <c r="R35" s="6">
        <f t="shared" si="20"/>
        <v>0.80899449829304027</v>
      </c>
      <c r="S35" s="2"/>
      <c r="T35" s="7">
        <v>3479.83</v>
      </c>
      <c r="U35" s="2"/>
      <c r="V35" s="6">
        <f t="shared" si="21"/>
        <v>5.9131924057849875E-3</v>
      </c>
      <c r="W35" s="2"/>
      <c r="X35" s="7">
        <f t="shared" si="22"/>
        <v>-1387.3899999999999</v>
      </c>
      <c r="Y35" s="2"/>
      <c r="Z35" s="6">
        <f t="shared" si="23"/>
        <v>-0.39869476382466956</v>
      </c>
    </row>
    <row r="36" spans="1:26" s="24" customFormat="1" hidden="1" outlineLevel="2" x14ac:dyDescent="0.25">
      <c r="A36" s="28"/>
      <c r="B36" s="11" t="str">
        <f>CONCATENATE("          ", "6119", " - ", "SICK LEAVE")</f>
        <v xml:space="preserve">          6119 - SICK LEAVE</v>
      </c>
      <c r="C36" s="11"/>
      <c r="D36" s="7">
        <v>448.64</v>
      </c>
      <c r="E36" s="2"/>
      <c r="F36" s="6">
        <f t="shared" si="16"/>
        <v>0.25455185052795226</v>
      </c>
      <c r="G36" s="2"/>
      <c r="H36" s="7">
        <v>788.12</v>
      </c>
      <c r="I36" s="2"/>
      <c r="J36" s="6">
        <f t="shared" si="17"/>
        <v>1.9656681977422499E-3</v>
      </c>
      <c r="K36" s="2"/>
      <c r="L36" s="7">
        <f t="shared" si="18"/>
        <v>-339.48</v>
      </c>
      <c r="M36" s="2"/>
      <c r="N36" s="6">
        <f t="shared" si="19"/>
        <v>-0.43074658681419076</v>
      </c>
      <c r="O36" s="11"/>
      <c r="P36" s="7">
        <v>1549.9</v>
      </c>
      <c r="Q36" s="2"/>
      <c r="R36" s="6">
        <f t="shared" si="20"/>
        <v>0.59923370462444947</v>
      </c>
      <c r="S36" s="2"/>
      <c r="T36" s="7">
        <v>2768.78</v>
      </c>
      <c r="U36" s="2"/>
      <c r="V36" s="6">
        <f t="shared" si="21"/>
        <v>4.7049220419645094E-3</v>
      </c>
      <c r="W36" s="2"/>
      <c r="X36" s="7">
        <f t="shared" si="22"/>
        <v>-1218.8800000000001</v>
      </c>
      <c r="Y36" s="2"/>
      <c r="Z36" s="6">
        <f t="shared" si="23"/>
        <v>-0.44022276959527301</v>
      </c>
    </row>
    <row r="37" spans="1:26" s="24" customFormat="1" hidden="1" outlineLevel="2" x14ac:dyDescent="0.25">
      <c r="A37" s="28"/>
      <c r="B37" s="11" t="str">
        <f>CONCATENATE("          ", "6156", " - ", "EMPLOYEE MEALS")</f>
        <v xml:space="preserve">          6156 - EMPLOYEE MEALS</v>
      </c>
      <c r="C37" s="11"/>
      <c r="D37" s="7">
        <v>290.47000000000003</v>
      </c>
      <c r="E37" s="2"/>
      <c r="F37" s="6">
        <f t="shared" si="16"/>
        <v>0.16480847900957182</v>
      </c>
      <c r="G37" s="2"/>
      <c r="H37" s="7">
        <v>692.06</v>
      </c>
      <c r="I37" s="2"/>
      <c r="J37" s="6">
        <f t="shared" si="17"/>
        <v>1.726082744923998E-3</v>
      </c>
      <c r="K37" s="2"/>
      <c r="L37" s="7">
        <f t="shared" si="18"/>
        <v>-401.58999999999992</v>
      </c>
      <c r="M37" s="2"/>
      <c r="N37" s="6">
        <f t="shared" si="19"/>
        <v>-0.58028205646909226</v>
      </c>
      <c r="O37" s="11"/>
      <c r="P37" s="7">
        <v>641.17999999999995</v>
      </c>
      <c r="Q37" s="2"/>
      <c r="R37" s="6">
        <f t="shared" si="20"/>
        <v>0.24789771387257531</v>
      </c>
      <c r="S37" s="2"/>
      <c r="T37" s="7">
        <v>1856.26</v>
      </c>
      <c r="U37" s="2"/>
      <c r="V37" s="6">
        <f t="shared" si="21"/>
        <v>3.1542984959502165E-3</v>
      </c>
      <c r="W37" s="2"/>
      <c r="X37" s="7">
        <f t="shared" si="22"/>
        <v>-1215.08</v>
      </c>
      <c r="Y37" s="2"/>
      <c r="Z37" s="6">
        <f t="shared" si="23"/>
        <v>-0.65458502580457478</v>
      </c>
    </row>
    <row r="38" spans="1:26" s="27" customFormat="1" outlineLevel="1" collapsed="1" x14ac:dyDescent="0.25">
      <c r="A38" s="29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10821.800000000001</v>
      </c>
      <c r="E38" s="1"/>
      <c r="F38" s="5">
        <f t="shared" ref="F38:F44" si="24">IF(D$12=0,0,D38/D$12)</f>
        <v>6.1401328816944414</v>
      </c>
      <c r="G38" s="1"/>
      <c r="H38" s="1">
        <f>SUM(OSRRefH22_1x_0)</f>
        <v>61301.69</v>
      </c>
      <c r="I38" s="1"/>
      <c r="J38" s="5">
        <f t="shared" ref="J38:J44" si="25">IF(H$12=0,0,H38/H$12)</f>
        <v>0.15289395333306363</v>
      </c>
      <c r="K38" s="1"/>
      <c r="L38" s="1">
        <f t="shared" ref="L38:L44" si="26">+D38-H38</f>
        <v>-50479.89</v>
      </c>
      <c r="M38" s="1"/>
      <c r="N38" s="5">
        <f t="shared" ref="N38:N44" si="27">IF(H38=0,0,L38/H38)</f>
        <v>-0.82346653085746901</v>
      </c>
      <c r="O38" s="14"/>
      <c r="P38" s="1">
        <f>SUM(OSRRefP22_1x_0)</f>
        <v>32472.49</v>
      </c>
      <c r="Q38" s="1"/>
      <c r="R38" s="5">
        <f t="shared" ref="R38:R44" si="28">IF(P$12=0,0,P38/P$12)</f>
        <v>12.554752229873147</v>
      </c>
      <c r="S38" s="1"/>
      <c r="T38" s="1">
        <f>SUM(OSRRefT22_1x_0)</f>
        <v>141245.05000000002</v>
      </c>
      <c r="U38" s="1"/>
      <c r="V38" s="5">
        <f t="shared" ref="V38:V44" si="29">IF(T$12=0,0,T38/T$12)</f>
        <v>0.24001435616530722</v>
      </c>
      <c r="W38" s="1"/>
      <c r="X38" s="1">
        <f t="shared" ref="X38:X44" si="30">+P38-T38</f>
        <v>-108772.56000000001</v>
      </c>
      <c r="Y38" s="1"/>
      <c r="Z38" s="5">
        <f t="shared" ref="Z38:Z44" si="31">IF(T38=0,0,X38/T38)</f>
        <v>-0.77009820875138635</v>
      </c>
    </row>
    <row r="39" spans="1:26" s="24" customFormat="1" hidden="1" outlineLevel="2" x14ac:dyDescent="0.25">
      <c r="A39" s="28"/>
      <c r="B39" s="11" t="str">
        <f>CONCATENATE("          ", "6002", " - ", "STAFF SALARIES")</f>
        <v xml:space="preserve">          6002 - STAFF SALARIES</v>
      </c>
      <c r="C39" s="11"/>
      <c r="D39" s="7">
        <v>9344.7000000000007</v>
      </c>
      <c r="E39" s="2"/>
      <c r="F39" s="6">
        <f t="shared" si="24"/>
        <v>5.3020476944288424</v>
      </c>
      <c r="G39" s="2"/>
      <c r="H39" s="7">
        <v>16145.990000000002</v>
      </c>
      <c r="I39" s="2"/>
      <c r="J39" s="6">
        <f t="shared" si="25"/>
        <v>4.0270084586185341E-2</v>
      </c>
      <c r="K39" s="2"/>
      <c r="L39" s="7">
        <f t="shared" si="26"/>
        <v>-6801.2900000000009</v>
      </c>
      <c r="M39" s="2"/>
      <c r="N39" s="6">
        <f t="shared" si="27"/>
        <v>-0.42123709973807738</v>
      </c>
      <c r="O39" s="11"/>
      <c r="P39" s="7">
        <v>30340.390000000003</v>
      </c>
      <c r="Q39" s="2"/>
      <c r="R39" s="6">
        <f t="shared" si="28"/>
        <v>11.730424091522423</v>
      </c>
      <c r="S39" s="2"/>
      <c r="T39" s="7">
        <v>51172.689999999995</v>
      </c>
      <c r="U39" s="2"/>
      <c r="V39" s="6">
        <f t="shared" si="29"/>
        <v>8.6956535776629706E-2</v>
      </c>
      <c r="W39" s="2"/>
      <c r="X39" s="7">
        <f t="shared" si="30"/>
        <v>-20832.299999999992</v>
      </c>
      <c r="Y39" s="2"/>
      <c r="Z39" s="6">
        <f t="shared" si="31"/>
        <v>-0.40709800481467739</v>
      </c>
    </row>
    <row r="40" spans="1:26" s="24" customFormat="1" hidden="1" outlineLevel="2" x14ac:dyDescent="0.25">
      <c r="A40" s="28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4"/>
        <v>0</v>
      </c>
      <c r="G40" s="2"/>
      <c r="H40" s="7"/>
      <c r="I40" s="2"/>
      <c r="J40" s="6">
        <f t="shared" si="25"/>
        <v>0</v>
      </c>
      <c r="K40" s="2"/>
      <c r="L40" s="7">
        <f t="shared" si="26"/>
        <v>0</v>
      </c>
      <c r="M40" s="2"/>
      <c r="N40" s="6">
        <f t="shared" si="27"/>
        <v>0</v>
      </c>
      <c r="O40" s="11"/>
      <c r="P40" s="7"/>
      <c r="Q40" s="2"/>
      <c r="R40" s="6">
        <f t="shared" si="28"/>
        <v>0</v>
      </c>
      <c r="S40" s="2"/>
      <c r="T40" s="7">
        <v>254.64</v>
      </c>
      <c r="U40" s="2"/>
      <c r="V40" s="6">
        <f t="shared" si="29"/>
        <v>4.3270369937873092E-4</v>
      </c>
      <c r="W40" s="2"/>
      <c r="X40" s="7">
        <f t="shared" si="30"/>
        <v>-254.64</v>
      </c>
      <c r="Y40" s="2"/>
      <c r="Z40" s="6">
        <f t="shared" si="31"/>
        <v>-1</v>
      </c>
    </row>
    <row r="41" spans="1:26" s="24" customFormat="1" hidden="1" outlineLevel="2" x14ac:dyDescent="0.25">
      <c r="A41" s="28"/>
      <c r="B41" s="11" t="str">
        <f>CONCATENATE("          ", "6005", " - ", "TEMPORARY WAGES-HOURLY")</f>
        <v xml:space="preserve">          6005 - TEMPORARY WAGES-HOURLY</v>
      </c>
      <c r="C41" s="11"/>
      <c r="D41" s="7">
        <v>1784.1</v>
      </c>
      <c r="E41" s="2"/>
      <c r="F41" s="6">
        <f t="shared" si="24"/>
        <v>1.0122725493199884</v>
      </c>
      <c r="G41" s="2"/>
      <c r="H41" s="7">
        <v>7700.47</v>
      </c>
      <c r="I41" s="2"/>
      <c r="J41" s="6">
        <f t="shared" si="25"/>
        <v>1.9205919132452245E-2</v>
      </c>
      <c r="K41" s="2"/>
      <c r="L41" s="7">
        <f t="shared" si="26"/>
        <v>-5916.3700000000008</v>
      </c>
      <c r="M41" s="2"/>
      <c r="N41" s="6">
        <f t="shared" si="27"/>
        <v>-0.76831284324203597</v>
      </c>
      <c r="O41" s="11"/>
      <c r="P41" s="7">
        <v>1784.1</v>
      </c>
      <c r="Q41" s="2"/>
      <c r="R41" s="6">
        <f t="shared" si="28"/>
        <v>0.68978182619554829</v>
      </c>
      <c r="S41" s="2"/>
      <c r="T41" s="7">
        <v>16391.310000000001</v>
      </c>
      <c r="U41" s="2"/>
      <c r="V41" s="6">
        <f t="shared" si="29"/>
        <v>2.7853363472602838E-2</v>
      </c>
      <c r="W41" s="2"/>
      <c r="X41" s="7">
        <f t="shared" si="30"/>
        <v>-14607.210000000001</v>
      </c>
      <c r="Y41" s="2"/>
      <c r="Z41" s="6">
        <f t="shared" si="31"/>
        <v>-0.89115574045027512</v>
      </c>
    </row>
    <row r="42" spans="1:26" s="24" customFormat="1" hidden="1" outlineLevel="2" x14ac:dyDescent="0.25">
      <c r="A42" s="28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4"/>
        <v>0</v>
      </c>
      <c r="G42" s="2"/>
      <c r="H42" s="7">
        <v>2162.35</v>
      </c>
      <c r="I42" s="2"/>
      <c r="J42" s="6">
        <f t="shared" si="25"/>
        <v>5.3931668113839943E-3</v>
      </c>
      <c r="K42" s="2"/>
      <c r="L42" s="7">
        <f t="shared" si="26"/>
        <v>-2162.35</v>
      </c>
      <c r="M42" s="2"/>
      <c r="N42" s="6">
        <f t="shared" si="27"/>
        <v>-1</v>
      </c>
      <c r="O42" s="11"/>
      <c r="P42" s="7"/>
      <c r="Q42" s="2"/>
      <c r="R42" s="6">
        <f t="shared" si="28"/>
        <v>0</v>
      </c>
      <c r="S42" s="2"/>
      <c r="T42" s="7">
        <v>3343.6</v>
      </c>
      <c r="U42" s="2"/>
      <c r="V42" s="6">
        <f t="shared" si="29"/>
        <v>5.6817000048803206E-3</v>
      </c>
      <c r="W42" s="2"/>
      <c r="X42" s="7">
        <f t="shared" si="30"/>
        <v>-3343.6</v>
      </c>
      <c r="Y42" s="2"/>
      <c r="Z42" s="6">
        <f t="shared" si="31"/>
        <v>-1</v>
      </c>
    </row>
    <row r="43" spans="1:26" s="24" customFormat="1" hidden="1" outlineLevel="2" x14ac:dyDescent="0.25">
      <c r="A43" s="28"/>
      <c r="B43" s="11" t="str">
        <f>CONCATENATE("          ", "6007", " - ", "STUDENT HOURLY")</f>
        <v xml:space="preserve">          6007 - STUDENT HOURLY</v>
      </c>
      <c r="C43" s="11"/>
      <c r="D43" s="7">
        <v>-307</v>
      </c>
      <c r="E43" s="2"/>
      <c r="F43" s="6">
        <f t="shared" si="24"/>
        <v>-0.17418736205438959</v>
      </c>
      <c r="G43" s="2"/>
      <c r="H43" s="7">
        <v>33496.630000000005</v>
      </c>
      <c r="I43" s="2"/>
      <c r="J43" s="6">
        <f t="shared" si="25"/>
        <v>8.3544714412194826E-2</v>
      </c>
      <c r="K43" s="2"/>
      <c r="L43" s="7">
        <f t="shared" si="26"/>
        <v>-33803.630000000005</v>
      </c>
      <c r="M43" s="2"/>
      <c r="N43" s="6">
        <f t="shared" si="27"/>
        <v>-1.0091651010862883</v>
      </c>
      <c r="O43" s="11"/>
      <c r="P43" s="7">
        <v>348</v>
      </c>
      <c r="Q43" s="2"/>
      <c r="R43" s="6">
        <f t="shared" si="28"/>
        <v>0.13454631215517673</v>
      </c>
      <c r="S43" s="2"/>
      <c r="T43" s="7">
        <v>64795.020000000004</v>
      </c>
      <c r="U43" s="2"/>
      <c r="V43" s="6">
        <f t="shared" si="29"/>
        <v>0.11010463735202192</v>
      </c>
      <c r="W43" s="2"/>
      <c r="X43" s="7">
        <f t="shared" si="30"/>
        <v>-64447.020000000004</v>
      </c>
      <c r="Y43" s="2"/>
      <c r="Z43" s="6">
        <f t="shared" si="31"/>
        <v>-0.99462921687500061</v>
      </c>
    </row>
    <row r="44" spans="1:26" s="24" customFormat="1" hidden="1" outlineLevel="2" x14ac:dyDescent="0.25">
      <c r="A44" s="28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4"/>
        <v>0</v>
      </c>
      <c r="G44" s="2"/>
      <c r="H44" s="7">
        <v>1796.25</v>
      </c>
      <c r="I44" s="2"/>
      <c r="J44" s="6">
        <f t="shared" si="25"/>
        <v>4.4800683908472264E-3</v>
      </c>
      <c r="K44" s="2"/>
      <c r="L44" s="7">
        <f t="shared" si="26"/>
        <v>-1796.25</v>
      </c>
      <c r="M44" s="2"/>
      <c r="N44" s="6">
        <f t="shared" si="27"/>
        <v>-1</v>
      </c>
      <c r="O44" s="11"/>
      <c r="P44" s="7"/>
      <c r="Q44" s="2"/>
      <c r="R44" s="6">
        <f t="shared" si="28"/>
        <v>0</v>
      </c>
      <c r="S44" s="2"/>
      <c r="T44" s="7">
        <v>5287.79</v>
      </c>
      <c r="U44" s="2"/>
      <c r="V44" s="6">
        <f t="shared" si="29"/>
        <v>8.9854158597936686E-3</v>
      </c>
      <c r="W44" s="2"/>
      <c r="X44" s="7">
        <f t="shared" si="30"/>
        <v>-5287.79</v>
      </c>
      <c r="Y44" s="2"/>
      <c r="Z44" s="6">
        <f t="shared" si="31"/>
        <v>-1</v>
      </c>
    </row>
    <row r="45" spans="1:26" s="27" customFormat="1" outlineLevel="1" collapsed="1" x14ac:dyDescent="0.25">
      <c r="A45" s="29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32">IF(D$12=0,0,D45/D$12)</f>
        <v>0</v>
      </c>
      <c r="G45" s="1"/>
      <c r="H45" s="1">
        <f>SUM(OSRRefH22_2x_0)</f>
        <v>26.51</v>
      </c>
      <c r="I45" s="1"/>
      <c r="J45" s="5">
        <f t="shared" ref="J45:J53" si="33">IF(H$12=0,0,H45/H$12)</f>
        <v>6.6119200023025739E-5</v>
      </c>
      <c r="K45" s="1"/>
      <c r="L45" s="1">
        <f t="shared" ref="L45:L53" si="34">+D45-H45</f>
        <v>-26.51</v>
      </c>
      <c r="M45" s="1"/>
      <c r="N45" s="5">
        <f t="shared" ref="N45:N53" si="35">IF(H45=0,0,L45/H45)</f>
        <v>-1</v>
      </c>
      <c r="O45" s="14"/>
      <c r="P45" s="1">
        <f>SUM(OSRRefP22_2x_0)</f>
        <v>0</v>
      </c>
      <c r="Q45" s="1"/>
      <c r="R45" s="5">
        <f t="shared" ref="R45:R53" si="36">IF(P$12=0,0,P45/P$12)</f>
        <v>0</v>
      </c>
      <c r="S45" s="1"/>
      <c r="T45" s="1">
        <f>SUM(OSRRefT22_2x_0)</f>
        <v>618.52</v>
      </c>
      <c r="U45" s="1"/>
      <c r="V45" s="5">
        <f t="shared" ref="V45:V53" si="37">IF(T$12=0,0,T45/T$12)</f>
        <v>1.0510363341962484E-3</v>
      </c>
      <c r="W45" s="1"/>
      <c r="X45" s="1">
        <f t="shared" ref="X45:X53" si="38">+P45-T45</f>
        <v>-618.52</v>
      </c>
      <c r="Y45" s="1"/>
      <c r="Z45" s="5">
        <f t="shared" ref="Z45:Z53" si="39">IF(T45=0,0,X45/T45)</f>
        <v>-1</v>
      </c>
    </row>
    <row r="46" spans="1:26" s="24" customFormat="1" hidden="1" outlineLevel="2" x14ac:dyDescent="0.25">
      <c r="A46" s="28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32"/>
        <v>0</v>
      </c>
      <c r="G46" s="2"/>
      <c r="H46" s="7">
        <v>26.51</v>
      </c>
      <c r="I46" s="2"/>
      <c r="J46" s="6">
        <f t="shared" si="33"/>
        <v>6.6119200023025739E-5</v>
      </c>
      <c r="K46" s="2"/>
      <c r="L46" s="7">
        <f t="shared" si="34"/>
        <v>-26.51</v>
      </c>
      <c r="M46" s="2"/>
      <c r="N46" s="6">
        <f t="shared" si="35"/>
        <v>-1</v>
      </c>
      <c r="O46" s="11"/>
      <c r="P46" s="7"/>
      <c r="Q46" s="2"/>
      <c r="R46" s="6">
        <f t="shared" si="36"/>
        <v>0</v>
      </c>
      <c r="S46" s="2"/>
      <c r="T46" s="7">
        <v>618.52</v>
      </c>
      <c r="U46" s="2"/>
      <c r="V46" s="6">
        <f t="shared" si="37"/>
        <v>1.0510363341962484E-3</v>
      </c>
      <c r="W46" s="2"/>
      <c r="X46" s="7">
        <f t="shared" si="38"/>
        <v>-618.52</v>
      </c>
      <c r="Y46" s="2"/>
      <c r="Z46" s="6">
        <f t="shared" si="39"/>
        <v>-1</v>
      </c>
    </row>
    <row r="47" spans="1:26" s="27" customFormat="1" outlineLevel="1" collapsed="1" x14ac:dyDescent="0.25">
      <c r="A47" s="29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-0.44</v>
      </c>
      <c r="E47" s="1"/>
      <c r="F47" s="5">
        <f t="shared" si="32"/>
        <v>-2.496496394264867E-4</v>
      </c>
      <c r="G47" s="1"/>
      <c r="H47" s="1">
        <f>SUM(OSRRefH22_3x_0)</f>
        <v>-129.32</v>
      </c>
      <c r="I47" s="1"/>
      <c r="J47" s="5">
        <f t="shared" si="33"/>
        <v>-3.2253998291126697E-4</v>
      </c>
      <c r="K47" s="1"/>
      <c r="L47" s="1">
        <f t="shared" si="34"/>
        <v>128.88</v>
      </c>
      <c r="M47" s="1"/>
      <c r="N47" s="5">
        <f t="shared" si="35"/>
        <v>-0.99659758738014226</v>
      </c>
      <c r="O47" s="14"/>
      <c r="P47" s="1">
        <f>SUM(OSRRefP22_3x_0)</f>
        <v>3.31</v>
      </c>
      <c r="Q47" s="1"/>
      <c r="R47" s="5">
        <f t="shared" si="36"/>
        <v>1.2797364748092959E-3</v>
      </c>
      <c r="S47" s="1"/>
      <c r="T47" s="1">
        <f>SUM(OSRRefT22_3x_0)</f>
        <v>-136.84</v>
      </c>
      <c r="U47" s="1"/>
      <c r="V47" s="5">
        <f t="shared" si="37"/>
        <v>-2.3252895940537835E-4</v>
      </c>
      <c r="W47" s="1"/>
      <c r="X47" s="1">
        <f t="shared" si="38"/>
        <v>140.15</v>
      </c>
      <c r="Y47" s="1"/>
      <c r="Z47" s="5">
        <f t="shared" si="39"/>
        <v>-1.0241888336743643</v>
      </c>
    </row>
    <row r="48" spans="1:26" s="24" customFormat="1" hidden="1" outlineLevel="2" x14ac:dyDescent="0.25">
      <c r="A48" s="28"/>
      <c r="B48" s="11" t="str">
        <f>CONCATENATE("          ", "6272", " - ", "CASH (OVER/SHORT)")</f>
        <v xml:space="preserve">          6272 - CASH (OVER/SHORT)</v>
      </c>
      <c r="C48" s="11"/>
      <c r="D48" s="7">
        <v>-0.44</v>
      </c>
      <c r="E48" s="2"/>
      <c r="F48" s="6">
        <f t="shared" si="32"/>
        <v>-2.496496394264867E-4</v>
      </c>
      <c r="G48" s="2"/>
      <c r="H48" s="7">
        <v>-129.32</v>
      </c>
      <c r="I48" s="2"/>
      <c r="J48" s="6">
        <f t="shared" si="33"/>
        <v>-3.2253998291126697E-4</v>
      </c>
      <c r="K48" s="2"/>
      <c r="L48" s="7">
        <f t="shared" si="34"/>
        <v>128.88</v>
      </c>
      <c r="M48" s="2"/>
      <c r="N48" s="6">
        <f t="shared" si="35"/>
        <v>-0.99659758738014226</v>
      </c>
      <c r="O48" s="11"/>
      <c r="P48" s="7">
        <v>3.31</v>
      </c>
      <c r="Q48" s="2"/>
      <c r="R48" s="6">
        <f t="shared" si="36"/>
        <v>1.2797364748092959E-3</v>
      </c>
      <c r="S48" s="2"/>
      <c r="T48" s="7">
        <v>-136.84</v>
      </c>
      <c r="U48" s="2"/>
      <c r="V48" s="6">
        <f t="shared" si="37"/>
        <v>-2.3252895940537835E-4</v>
      </c>
      <c r="W48" s="2"/>
      <c r="X48" s="7">
        <f t="shared" si="38"/>
        <v>140.15</v>
      </c>
      <c r="Y48" s="2"/>
      <c r="Z48" s="6">
        <f t="shared" si="39"/>
        <v>-1.0241888336743643</v>
      </c>
    </row>
    <row r="49" spans="1:26" s="27" customFormat="1" outlineLevel="1" collapsed="1" x14ac:dyDescent="0.25">
      <c r="A49" s="29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110.18</v>
      </c>
      <c r="E49" s="1"/>
      <c r="F49" s="5">
        <f t="shared" si="32"/>
        <v>6.2514539254568888E-2</v>
      </c>
      <c r="G49" s="1"/>
      <c r="H49" s="1">
        <f>SUM(OSRRefH22_4x_0)</f>
        <v>13892.93</v>
      </c>
      <c r="I49" s="1"/>
      <c r="J49" s="5">
        <f t="shared" si="33"/>
        <v>3.4650675879890416E-2</v>
      </c>
      <c r="K49" s="1"/>
      <c r="L49" s="1">
        <f t="shared" si="34"/>
        <v>-13782.75</v>
      </c>
      <c r="M49" s="1"/>
      <c r="N49" s="5">
        <f t="shared" si="35"/>
        <v>-0.99206934750265063</v>
      </c>
      <c r="O49" s="14"/>
      <c r="P49" s="1">
        <f>SUM(OSRRefP22_4x_0)</f>
        <v>230.18</v>
      </c>
      <c r="Q49" s="1"/>
      <c r="R49" s="5">
        <f t="shared" si="36"/>
        <v>8.8993879689306263E-2</v>
      </c>
      <c r="S49" s="1"/>
      <c r="T49" s="1">
        <f>SUM(OSRRefT22_4x_0)</f>
        <v>19860.05</v>
      </c>
      <c r="U49" s="1"/>
      <c r="V49" s="5">
        <f t="shared" si="37"/>
        <v>3.3747710904989653E-2</v>
      </c>
      <c r="W49" s="1"/>
      <c r="X49" s="1">
        <f t="shared" si="38"/>
        <v>-19629.87</v>
      </c>
      <c r="Y49" s="1"/>
      <c r="Z49" s="5">
        <f t="shared" si="39"/>
        <v>-0.988409898263096</v>
      </c>
    </row>
    <row r="50" spans="1:26" s="24" customFormat="1" hidden="1" outlineLevel="2" x14ac:dyDescent="0.25">
      <c r="A50" s="28"/>
      <c r="B50" s="11" t="str">
        <f>CONCATENATE("          ", "6381", " - ", "BANK/CREDIT CARD FEES")</f>
        <v xml:space="preserve">          6381 - BANK/CREDIT CARD FEES</v>
      </c>
      <c r="C50" s="11"/>
      <c r="D50" s="7">
        <v>110.18</v>
      </c>
      <c r="E50" s="2"/>
      <c r="F50" s="6">
        <f t="shared" si="32"/>
        <v>6.2514539254568888E-2</v>
      </c>
      <c r="G50" s="2"/>
      <c r="H50" s="7">
        <v>13892.93</v>
      </c>
      <c r="I50" s="2"/>
      <c r="J50" s="6">
        <f t="shared" si="33"/>
        <v>3.4650675879890416E-2</v>
      </c>
      <c r="K50" s="2"/>
      <c r="L50" s="7">
        <f t="shared" si="34"/>
        <v>-13782.75</v>
      </c>
      <c r="M50" s="2"/>
      <c r="N50" s="6">
        <f t="shared" si="35"/>
        <v>-0.99206934750265063</v>
      </c>
      <c r="O50" s="11"/>
      <c r="P50" s="7">
        <v>230.18</v>
      </c>
      <c r="Q50" s="2"/>
      <c r="R50" s="6">
        <f t="shared" si="36"/>
        <v>8.8993879689306263E-2</v>
      </c>
      <c r="S50" s="2"/>
      <c r="T50" s="7">
        <v>19860.05</v>
      </c>
      <c r="U50" s="2"/>
      <c r="V50" s="6">
        <f t="shared" si="37"/>
        <v>3.3747710904989653E-2</v>
      </c>
      <c r="W50" s="2"/>
      <c r="X50" s="7">
        <f t="shared" si="38"/>
        <v>-19629.87</v>
      </c>
      <c r="Y50" s="2"/>
      <c r="Z50" s="6">
        <f t="shared" si="39"/>
        <v>-0.988409898263096</v>
      </c>
    </row>
    <row r="51" spans="1:26" s="27" customFormat="1" outlineLevel="1" collapsed="1" x14ac:dyDescent="0.25">
      <c r="A51" s="29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9263.4700000000012</v>
      </c>
      <c r="E51" s="1"/>
      <c r="F51" s="5">
        <f t="shared" si="32"/>
        <v>5.255958966677448</v>
      </c>
      <c r="G51" s="1"/>
      <c r="H51" s="1">
        <f>SUM(OSRRefH22_5x_0)</f>
        <v>8403.48</v>
      </c>
      <c r="I51" s="1"/>
      <c r="J51" s="5">
        <f t="shared" si="33"/>
        <v>2.0959312523934223E-2</v>
      </c>
      <c r="K51" s="1"/>
      <c r="L51" s="1">
        <f t="shared" si="34"/>
        <v>859.9900000000016</v>
      </c>
      <c r="M51" s="1"/>
      <c r="N51" s="5">
        <f t="shared" si="35"/>
        <v>0.10233736499640644</v>
      </c>
      <c r="O51" s="14"/>
      <c r="P51" s="1">
        <f>SUM(OSRRefP22_5x_0)</f>
        <v>27526.19</v>
      </c>
      <c r="Q51" s="1"/>
      <c r="R51" s="5">
        <f t="shared" si="36"/>
        <v>10.642377448800874</v>
      </c>
      <c r="S51" s="1"/>
      <c r="T51" s="1">
        <f>SUM(OSRRefT22_5x_0)</f>
        <v>25210.44</v>
      </c>
      <c r="U51" s="1"/>
      <c r="V51" s="5">
        <f t="shared" si="37"/>
        <v>4.2839501456823491E-2</v>
      </c>
      <c r="W51" s="1"/>
      <c r="X51" s="1">
        <f t="shared" si="38"/>
        <v>2315.75</v>
      </c>
      <c r="Y51" s="1"/>
      <c r="Z51" s="5">
        <f t="shared" si="39"/>
        <v>9.1856786315510558E-2</v>
      </c>
    </row>
    <row r="52" spans="1:26" s="24" customFormat="1" hidden="1" outlineLevel="2" x14ac:dyDescent="0.25">
      <c r="A52" s="28"/>
      <c r="B52" s="11" t="str">
        <f>CONCATENATE("          ", "6321", " - ", "BUILDING DEPRECIATION")</f>
        <v xml:space="preserve">          6321 - BUILDING DEPRECIATION</v>
      </c>
      <c r="C52" s="11"/>
      <c r="D52" s="7">
        <v>5080.51</v>
      </c>
      <c r="E52" s="2"/>
      <c r="F52" s="6">
        <f t="shared" si="32"/>
        <v>2.8826079309151367</v>
      </c>
      <c r="G52" s="2"/>
      <c r="H52" s="7">
        <v>5080.51</v>
      </c>
      <c r="I52" s="2"/>
      <c r="J52" s="6">
        <f t="shared" si="33"/>
        <v>1.267141670724189E-2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>
        <v>15241.529999999999</v>
      </c>
      <c r="Q52" s="2"/>
      <c r="R52" s="6">
        <f t="shared" si="36"/>
        <v>5.8927921066163522</v>
      </c>
      <c r="S52" s="2"/>
      <c r="T52" s="7">
        <v>15241.529999999999</v>
      </c>
      <c r="U52" s="2"/>
      <c r="V52" s="6">
        <f t="shared" si="37"/>
        <v>2.5899569648098919E-2</v>
      </c>
      <c r="W52" s="2"/>
      <c r="X52" s="7">
        <f t="shared" si="38"/>
        <v>0</v>
      </c>
      <c r="Y52" s="2"/>
      <c r="Z52" s="6">
        <f t="shared" si="39"/>
        <v>0</v>
      </c>
    </row>
    <row r="53" spans="1:26" s="24" customFormat="1" hidden="1" outlineLevel="2" x14ac:dyDescent="0.25">
      <c r="A53" s="28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4182.96</v>
      </c>
      <c r="E53" s="2"/>
      <c r="F53" s="6">
        <f t="shared" si="32"/>
        <v>2.3733510357623113</v>
      </c>
      <c r="G53" s="2"/>
      <c r="H53" s="7">
        <v>3322.97</v>
      </c>
      <c r="I53" s="2"/>
      <c r="J53" s="6">
        <f t="shared" si="33"/>
        <v>8.2878958166923353E-3</v>
      </c>
      <c r="K53" s="2"/>
      <c r="L53" s="7">
        <f t="shared" si="34"/>
        <v>859.99000000000024</v>
      </c>
      <c r="M53" s="2"/>
      <c r="N53" s="6">
        <f t="shared" si="35"/>
        <v>0.25880161421860576</v>
      </c>
      <c r="O53" s="11"/>
      <c r="P53" s="7">
        <v>12284.66</v>
      </c>
      <c r="Q53" s="2"/>
      <c r="R53" s="6">
        <f t="shared" si="36"/>
        <v>4.7495853421845213</v>
      </c>
      <c r="S53" s="2"/>
      <c r="T53" s="7">
        <v>9968.91</v>
      </c>
      <c r="U53" s="2"/>
      <c r="V53" s="6">
        <f t="shared" si="37"/>
        <v>1.6939931808724572E-2</v>
      </c>
      <c r="W53" s="2"/>
      <c r="X53" s="7">
        <f t="shared" si="38"/>
        <v>2315.75</v>
      </c>
      <c r="Y53" s="2"/>
      <c r="Z53" s="6">
        <f t="shared" si="39"/>
        <v>0.23229721203220813</v>
      </c>
    </row>
    <row r="54" spans="1:26" s="27" customFormat="1" outlineLevel="1" collapsed="1" x14ac:dyDescent="0.25">
      <c r="A54" s="29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SUM(OSRRefD22_6x_0)</f>
        <v>0</v>
      </c>
      <c r="E54" s="1"/>
      <c r="F54" s="5">
        <f t="shared" ref="F54:F71" si="40">IF(D$12=0,0,D54/D$12)</f>
        <v>0</v>
      </c>
      <c r="G54" s="1"/>
      <c r="H54" s="1">
        <f>SUM(OSRRefH22_6x_0)</f>
        <v>11.81</v>
      </c>
      <c r="I54" s="1"/>
      <c r="J54" s="5">
        <f t="shared" ref="J54:J71" si="41">IF(H$12=0,0,H54/H$12)</f>
        <v>2.9455592315048434E-5</v>
      </c>
      <c r="K54" s="1"/>
      <c r="L54" s="1">
        <f t="shared" ref="L54:L71" si="42">+D54-H54</f>
        <v>-11.81</v>
      </c>
      <c r="M54" s="1"/>
      <c r="N54" s="5">
        <f t="shared" ref="N54:N71" si="43">IF(H54=0,0,L54/H54)</f>
        <v>-1</v>
      </c>
      <c r="O54" s="14"/>
      <c r="P54" s="1">
        <f>SUM(OSRRefP22_6x_0)</f>
        <v>0</v>
      </c>
      <c r="Q54" s="1"/>
      <c r="R54" s="5">
        <f t="shared" ref="R54:R71" si="44">IF(P$12=0,0,P54/P$12)</f>
        <v>0</v>
      </c>
      <c r="S54" s="1"/>
      <c r="T54" s="1">
        <f>SUM(OSRRefT22_6x_0)</f>
        <v>31.9</v>
      </c>
      <c r="U54" s="1"/>
      <c r="V54" s="5">
        <f t="shared" ref="V54:V71" si="45">IF(T$12=0,0,T54/T$12)</f>
        <v>5.4206911758488522E-5</v>
      </c>
      <c r="W54" s="1"/>
      <c r="X54" s="1">
        <f t="shared" ref="X54:X71" si="46">+P54-T54</f>
        <v>-31.9</v>
      </c>
      <c r="Y54" s="1"/>
      <c r="Z54" s="5">
        <f t="shared" ref="Z54:Z71" si="47">IF(T54=0,0,X54/T54)</f>
        <v>-1</v>
      </c>
    </row>
    <row r="55" spans="1:26" s="24" customFormat="1" hidden="1" outlineLevel="2" x14ac:dyDescent="0.25">
      <c r="A55" s="28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40"/>
        <v>0</v>
      </c>
      <c r="G55" s="2"/>
      <c r="H55" s="7">
        <v>11.81</v>
      </c>
      <c r="I55" s="2"/>
      <c r="J55" s="6">
        <f t="shared" si="41"/>
        <v>2.9455592315048434E-5</v>
      </c>
      <c r="K55" s="2"/>
      <c r="L55" s="7">
        <f t="shared" si="42"/>
        <v>-11.81</v>
      </c>
      <c r="M55" s="2"/>
      <c r="N55" s="6">
        <f t="shared" si="43"/>
        <v>-1</v>
      </c>
      <c r="O55" s="11"/>
      <c r="P55" s="7"/>
      <c r="Q55" s="2"/>
      <c r="R55" s="6">
        <f t="shared" si="44"/>
        <v>0</v>
      </c>
      <c r="S55" s="2"/>
      <c r="T55" s="7">
        <v>31.9</v>
      </c>
      <c r="U55" s="2"/>
      <c r="V55" s="6">
        <f t="shared" si="45"/>
        <v>5.4206911758488522E-5</v>
      </c>
      <c r="W55" s="2"/>
      <c r="X55" s="7">
        <f t="shared" si="46"/>
        <v>-31.9</v>
      </c>
      <c r="Y55" s="2"/>
      <c r="Z55" s="6">
        <f t="shared" si="47"/>
        <v>-1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0</v>
      </c>
      <c r="E56" s="1"/>
      <c r="F56" s="5">
        <f t="shared" si="40"/>
        <v>0</v>
      </c>
      <c r="G56" s="1"/>
      <c r="H56" s="1">
        <f>SUM(OSRRefH22_7x_0)</f>
        <v>56.69</v>
      </c>
      <c r="I56" s="1"/>
      <c r="J56" s="5">
        <f t="shared" si="41"/>
        <v>1.4139183135817915E-4</v>
      </c>
      <c r="K56" s="1"/>
      <c r="L56" s="1">
        <f t="shared" si="42"/>
        <v>-56.69</v>
      </c>
      <c r="M56" s="1"/>
      <c r="N56" s="5">
        <f t="shared" si="43"/>
        <v>-1</v>
      </c>
      <c r="O56" s="14"/>
      <c r="P56" s="1">
        <f>SUM(OSRRefP22_7x_0)</f>
        <v>0</v>
      </c>
      <c r="Q56" s="1"/>
      <c r="R56" s="5">
        <f t="shared" si="44"/>
        <v>0</v>
      </c>
      <c r="S56" s="1"/>
      <c r="T56" s="1">
        <f>SUM(OSRRefT22_7x_0)</f>
        <v>349.21</v>
      </c>
      <c r="U56" s="1"/>
      <c r="V56" s="5">
        <f t="shared" si="45"/>
        <v>5.9340425251353532E-4</v>
      </c>
      <c r="W56" s="1"/>
      <c r="X56" s="1">
        <f t="shared" si="46"/>
        <v>-349.21</v>
      </c>
      <c r="Y56" s="1"/>
      <c r="Z56" s="5">
        <f t="shared" si="47"/>
        <v>-1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40"/>
        <v>0</v>
      </c>
      <c r="G57" s="2"/>
      <c r="H57" s="7">
        <v>56.69</v>
      </c>
      <c r="I57" s="2"/>
      <c r="J57" s="6">
        <f t="shared" si="41"/>
        <v>1.4139183135817915E-4</v>
      </c>
      <c r="K57" s="2"/>
      <c r="L57" s="7">
        <f t="shared" si="42"/>
        <v>-56.69</v>
      </c>
      <c r="M57" s="2"/>
      <c r="N57" s="6">
        <f t="shared" si="43"/>
        <v>-1</v>
      </c>
      <c r="O57" s="11"/>
      <c r="P57" s="7"/>
      <c r="Q57" s="2"/>
      <c r="R57" s="6">
        <f t="shared" si="44"/>
        <v>0</v>
      </c>
      <c r="S57" s="2"/>
      <c r="T57" s="7">
        <v>349.21</v>
      </c>
      <c r="U57" s="2"/>
      <c r="V57" s="6">
        <f t="shared" si="45"/>
        <v>5.9340425251353532E-4</v>
      </c>
      <c r="W57" s="2"/>
      <c r="X57" s="7">
        <f t="shared" si="46"/>
        <v>-349.21</v>
      </c>
      <c r="Y57" s="2"/>
      <c r="Z57" s="6">
        <f t="shared" si="47"/>
        <v>-1</v>
      </c>
    </row>
    <row r="58" spans="1:26" s="27" customFormat="1" outlineLevel="1" collapsed="1" x14ac:dyDescent="0.25">
      <c r="A58" s="29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SUM(OSRRefD22_8x_0)</f>
        <v>6.06</v>
      </c>
      <c r="E58" s="1"/>
      <c r="F58" s="5">
        <f t="shared" si="40"/>
        <v>3.4383563975557033E-3</v>
      </c>
      <c r="G58" s="1"/>
      <c r="H58" s="1">
        <f>SUM(OSRRefH22_8x_0)</f>
        <v>28.87</v>
      </c>
      <c r="I58" s="1"/>
      <c r="J58" s="5">
        <f t="shared" si="41"/>
        <v>7.200533024008876E-5</v>
      </c>
      <c r="K58" s="1"/>
      <c r="L58" s="1">
        <f t="shared" si="42"/>
        <v>-22.810000000000002</v>
      </c>
      <c r="M58" s="1"/>
      <c r="N58" s="5">
        <f t="shared" si="43"/>
        <v>-0.79009352268791133</v>
      </c>
      <c r="O58" s="14"/>
      <c r="P58" s="1">
        <f>SUM(OSRRefP22_8x_0)</f>
        <v>10</v>
      </c>
      <c r="Q58" s="1"/>
      <c r="R58" s="5">
        <f t="shared" si="44"/>
        <v>3.866273337792435E-3</v>
      </c>
      <c r="S58" s="1"/>
      <c r="T58" s="1">
        <f>SUM(OSRRefT22_8x_0)</f>
        <v>145.52000000000001</v>
      </c>
      <c r="U58" s="1"/>
      <c r="V58" s="5">
        <f t="shared" si="45"/>
        <v>2.4727867708762541E-4</v>
      </c>
      <c r="W58" s="1"/>
      <c r="X58" s="1">
        <f t="shared" si="46"/>
        <v>-135.52000000000001</v>
      </c>
      <c r="Y58" s="1"/>
      <c r="Z58" s="5">
        <f t="shared" si="47"/>
        <v>-0.93128092358438708</v>
      </c>
    </row>
    <row r="59" spans="1:26" s="24" customFormat="1" hidden="1" outlineLevel="2" x14ac:dyDescent="0.25">
      <c r="A59" s="28"/>
      <c r="B59" s="11" t="str">
        <f>CONCATENATE("          ", "6305", " - ", "FREIGHT OUT")</f>
        <v xml:space="preserve">          6305 - FREIGHT OUT</v>
      </c>
      <c r="C59" s="11"/>
      <c r="D59" s="7">
        <v>6.06</v>
      </c>
      <c r="E59" s="2"/>
      <c r="F59" s="6">
        <f t="shared" si="40"/>
        <v>3.4383563975557033E-3</v>
      </c>
      <c r="G59" s="2"/>
      <c r="H59" s="7">
        <v>28.87</v>
      </c>
      <c r="I59" s="2"/>
      <c r="J59" s="6">
        <f t="shared" si="41"/>
        <v>7.200533024008876E-5</v>
      </c>
      <c r="K59" s="2"/>
      <c r="L59" s="7">
        <f t="shared" si="42"/>
        <v>-22.810000000000002</v>
      </c>
      <c r="M59" s="2"/>
      <c r="N59" s="6">
        <f t="shared" si="43"/>
        <v>-0.79009352268791133</v>
      </c>
      <c r="O59" s="11"/>
      <c r="P59" s="7">
        <v>10</v>
      </c>
      <c r="Q59" s="2"/>
      <c r="R59" s="6">
        <f t="shared" si="44"/>
        <v>3.866273337792435E-3</v>
      </c>
      <c r="S59" s="2"/>
      <c r="T59" s="7">
        <v>145.52000000000001</v>
      </c>
      <c r="U59" s="2"/>
      <c r="V59" s="6">
        <f t="shared" si="45"/>
        <v>2.4727867708762541E-4</v>
      </c>
      <c r="W59" s="2"/>
      <c r="X59" s="7">
        <f t="shared" si="46"/>
        <v>-135.52000000000001</v>
      </c>
      <c r="Y59" s="2"/>
      <c r="Z59" s="6">
        <f t="shared" si="47"/>
        <v>-0.93128092358438708</v>
      </c>
    </row>
    <row r="60" spans="1:26" s="27" customFormat="1" outlineLevel="1" collapsed="1" x14ac:dyDescent="0.25">
      <c r="A60" s="29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SUM(OSRRefD22_9x_0)</f>
        <v>0</v>
      </c>
      <c r="E60" s="1"/>
      <c r="F60" s="5">
        <f t="shared" si="40"/>
        <v>0</v>
      </c>
      <c r="G60" s="1"/>
      <c r="H60" s="1">
        <f>SUM(OSRRefH22_9x_0)</f>
        <v>210.98</v>
      </c>
      <c r="I60" s="1"/>
      <c r="J60" s="5">
        <f t="shared" si="41"/>
        <v>5.2621006491354095E-4</v>
      </c>
      <c r="K60" s="1"/>
      <c r="L60" s="1">
        <f t="shared" si="42"/>
        <v>-210.98</v>
      </c>
      <c r="M60" s="1"/>
      <c r="N60" s="5">
        <f t="shared" si="43"/>
        <v>-1</v>
      </c>
      <c r="O60" s="14"/>
      <c r="P60" s="1">
        <f>SUM(OSRRefP22_9x_0)</f>
        <v>1509.1</v>
      </c>
      <c r="Q60" s="1"/>
      <c r="R60" s="5">
        <f t="shared" si="44"/>
        <v>0.58345930940625634</v>
      </c>
      <c r="S60" s="1"/>
      <c r="T60" s="1">
        <f>SUM(OSRRefT22_9x_0)</f>
        <v>4764.5200000000004</v>
      </c>
      <c r="U60" s="1"/>
      <c r="V60" s="5">
        <f t="shared" si="45"/>
        <v>8.0962355865690835E-3</v>
      </c>
      <c r="W60" s="1"/>
      <c r="X60" s="1">
        <f t="shared" si="46"/>
        <v>-3255.4200000000005</v>
      </c>
      <c r="Y60" s="1"/>
      <c r="Z60" s="5">
        <f t="shared" si="47"/>
        <v>-0.6832629519867689</v>
      </c>
    </row>
    <row r="61" spans="1:26" s="24" customFormat="1" hidden="1" outlineLevel="2" x14ac:dyDescent="0.25">
      <c r="A61" s="28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40"/>
        <v>0</v>
      </c>
      <c r="G61" s="2"/>
      <c r="H61" s="7">
        <v>210.98</v>
      </c>
      <c r="I61" s="2"/>
      <c r="J61" s="6">
        <f t="shared" si="41"/>
        <v>5.2621006491354095E-4</v>
      </c>
      <c r="K61" s="2"/>
      <c r="L61" s="7">
        <f t="shared" si="42"/>
        <v>-210.98</v>
      </c>
      <c r="M61" s="2"/>
      <c r="N61" s="6">
        <f t="shared" si="43"/>
        <v>-1</v>
      </c>
      <c r="O61" s="11"/>
      <c r="P61" s="7">
        <v>1509.1</v>
      </c>
      <c r="Q61" s="2"/>
      <c r="R61" s="6">
        <f t="shared" si="44"/>
        <v>0.58345930940625634</v>
      </c>
      <c r="S61" s="2"/>
      <c r="T61" s="7">
        <v>4764.5200000000004</v>
      </c>
      <c r="U61" s="2"/>
      <c r="V61" s="6">
        <f t="shared" si="45"/>
        <v>8.0962355865690835E-3</v>
      </c>
      <c r="W61" s="2"/>
      <c r="X61" s="7">
        <f t="shared" si="46"/>
        <v>-3255.4200000000005</v>
      </c>
      <c r="Y61" s="2"/>
      <c r="Z61" s="6">
        <f t="shared" si="47"/>
        <v>-0.6832629519867689</v>
      </c>
    </row>
    <row r="62" spans="1:26" s="27" customFormat="1" outlineLevel="1" collapsed="1" x14ac:dyDescent="0.25">
      <c r="A62" s="29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SUM(OSRRefD22_10x_0)</f>
        <v>243.54</v>
      </c>
      <c r="E62" s="1"/>
      <c r="F62" s="5">
        <f t="shared" si="40"/>
        <v>0.13818107542256039</v>
      </c>
      <c r="G62" s="1"/>
      <c r="H62" s="1">
        <f>SUM(OSRRefH22_10x_0)</f>
        <v>243.54</v>
      </c>
      <c r="I62" s="1"/>
      <c r="J62" s="5">
        <f t="shared" si="41"/>
        <v>6.0741870892522395E-4</v>
      </c>
      <c r="K62" s="1"/>
      <c r="L62" s="1">
        <f t="shared" si="42"/>
        <v>0</v>
      </c>
      <c r="M62" s="1"/>
      <c r="N62" s="5">
        <f t="shared" si="43"/>
        <v>0</v>
      </c>
      <c r="O62" s="14"/>
      <c r="P62" s="1">
        <f>SUM(OSRRefP22_10x_0)</f>
        <v>730.62</v>
      </c>
      <c r="Q62" s="1"/>
      <c r="R62" s="5">
        <f t="shared" si="44"/>
        <v>0.28247766260579088</v>
      </c>
      <c r="S62" s="1"/>
      <c r="T62" s="1">
        <f>SUM(OSRRefT22_10x_0)</f>
        <v>730.62</v>
      </c>
      <c r="U62" s="1"/>
      <c r="V62" s="5">
        <f t="shared" si="45"/>
        <v>1.2415251996547613E-3</v>
      </c>
      <c r="W62" s="1"/>
      <c r="X62" s="1">
        <f t="shared" si="46"/>
        <v>0</v>
      </c>
      <c r="Y62" s="1"/>
      <c r="Z62" s="5">
        <f t="shared" si="47"/>
        <v>0</v>
      </c>
    </row>
    <row r="63" spans="1:26" s="24" customFormat="1" hidden="1" outlineLevel="2" x14ac:dyDescent="0.25">
      <c r="A63" s="28"/>
      <c r="B63" s="11" t="str">
        <f>CONCATENATE("          ", "6314", " - ", "LIABILITY INSURANCE")</f>
        <v xml:space="preserve">          6314 - LIABILITY INSURANCE</v>
      </c>
      <c r="C63" s="11"/>
      <c r="D63" s="7">
        <v>243.54</v>
      </c>
      <c r="E63" s="2"/>
      <c r="F63" s="6">
        <f t="shared" si="40"/>
        <v>0.13818107542256039</v>
      </c>
      <c r="G63" s="2"/>
      <c r="H63" s="7">
        <v>243.54</v>
      </c>
      <c r="I63" s="2"/>
      <c r="J63" s="6">
        <f t="shared" si="41"/>
        <v>6.0741870892522395E-4</v>
      </c>
      <c r="K63" s="2"/>
      <c r="L63" s="7">
        <f t="shared" si="42"/>
        <v>0</v>
      </c>
      <c r="M63" s="2"/>
      <c r="N63" s="6">
        <f t="shared" si="43"/>
        <v>0</v>
      </c>
      <c r="O63" s="11"/>
      <c r="P63" s="7">
        <v>730.62</v>
      </c>
      <c r="Q63" s="2"/>
      <c r="R63" s="6">
        <f t="shared" si="44"/>
        <v>0.28247766260579088</v>
      </c>
      <c r="S63" s="2"/>
      <c r="T63" s="7">
        <v>730.62</v>
      </c>
      <c r="U63" s="2"/>
      <c r="V63" s="6">
        <f t="shared" si="45"/>
        <v>1.2415251996547613E-3</v>
      </c>
      <c r="W63" s="2"/>
      <c r="X63" s="7">
        <f t="shared" si="46"/>
        <v>0</v>
      </c>
      <c r="Y63" s="2"/>
      <c r="Z63" s="6">
        <f t="shared" si="47"/>
        <v>0</v>
      </c>
    </row>
    <row r="64" spans="1:26" s="27" customFormat="1" outlineLevel="1" collapsed="1" x14ac:dyDescent="0.25">
      <c r="A64" s="29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SUM(OSRRefD22_11x_0)</f>
        <v>4044</v>
      </c>
      <c r="E64" s="1"/>
      <c r="F64" s="5">
        <f t="shared" si="40"/>
        <v>2.2945071405470734</v>
      </c>
      <c r="G64" s="1"/>
      <c r="H64" s="1">
        <f>SUM(OSRRefH22_11x_0)</f>
        <v>4110</v>
      </c>
      <c r="I64" s="1"/>
      <c r="J64" s="5">
        <f t="shared" si="41"/>
        <v>1.0250845420393654E-2</v>
      </c>
      <c r="K64" s="1"/>
      <c r="L64" s="1">
        <f t="shared" si="42"/>
        <v>-66</v>
      </c>
      <c r="M64" s="1"/>
      <c r="N64" s="5">
        <f t="shared" si="43"/>
        <v>-1.6058394160583942E-2</v>
      </c>
      <c r="O64" s="14"/>
      <c r="P64" s="1">
        <f>SUM(OSRRefP22_11x_0)</f>
        <v>12132</v>
      </c>
      <c r="Q64" s="1"/>
      <c r="R64" s="5">
        <f t="shared" si="44"/>
        <v>4.6905628134097821</v>
      </c>
      <c r="S64" s="1"/>
      <c r="T64" s="1">
        <f>SUM(OSRRefT22_11x_0)</f>
        <v>12330</v>
      </c>
      <c r="U64" s="1"/>
      <c r="V64" s="5">
        <f t="shared" si="45"/>
        <v>2.0952075924205751E-2</v>
      </c>
      <c r="W64" s="1"/>
      <c r="X64" s="1">
        <f t="shared" si="46"/>
        <v>-198</v>
      </c>
      <c r="Y64" s="1"/>
      <c r="Z64" s="5">
        <f t="shared" si="47"/>
        <v>-1.6058394160583942E-2</v>
      </c>
    </row>
    <row r="65" spans="1:26" s="24" customFormat="1" hidden="1" outlineLevel="2" x14ac:dyDescent="0.25">
      <c r="A65" s="28"/>
      <c r="B65" s="11" t="str">
        <f>CONCATENATE("          ", "6401", " - ", "INTEREST EXPENSE")</f>
        <v xml:space="preserve">          6401 - INTEREST EXPENSE</v>
      </c>
      <c r="C65" s="11"/>
      <c r="D65" s="7">
        <v>4044</v>
      </c>
      <c r="E65" s="2"/>
      <c r="F65" s="6">
        <f t="shared" si="40"/>
        <v>2.2945071405470734</v>
      </c>
      <c r="G65" s="2"/>
      <c r="H65" s="7">
        <v>4110</v>
      </c>
      <c r="I65" s="2"/>
      <c r="J65" s="6">
        <f t="shared" si="41"/>
        <v>1.0250845420393654E-2</v>
      </c>
      <c r="K65" s="2"/>
      <c r="L65" s="7">
        <f t="shared" si="42"/>
        <v>-66</v>
      </c>
      <c r="M65" s="2"/>
      <c r="N65" s="6">
        <f t="shared" si="43"/>
        <v>-1.6058394160583942E-2</v>
      </c>
      <c r="O65" s="11"/>
      <c r="P65" s="7">
        <v>12132</v>
      </c>
      <c r="Q65" s="2"/>
      <c r="R65" s="6">
        <f t="shared" si="44"/>
        <v>4.6905628134097821</v>
      </c>
      <c r="S65" s="2"/>
      <c r="T65" s="7">
        <v>12330</v>
      </c>
      <c r="U65" s="2"/>
      <c r="V65" s="6">
        <f t="shared" si="45"/>
        <v>2.0952075924205751E-2</v>
      </c>
      <c r="W65" s="2"/>
      <c r="X65" s="7">
        <f t="shared" si="46"/>
        <v>-198</v>
      </c>
      <c r="Y65" s="2"/>
      <c r="Z65" s="6">
        <f t="shared" si="47"/>
        <v>-1.6058394160583942E-2</v>
      </c>
    </row>
    <row r="66" spans="1:26" s="27" customFormat="1" outlineLevel="1" collapsed="1" x14ac:dyDescent="0.25">
      <c r="A66" s="29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SUM(OSRRefD22_12x_0)</f>
        <v>0</v>
      </c>
      <c r="E66" s="1"/>
      <c r="F66" s="5">
        <f t="shared" si="40"/>
        <v>0</v>
      </c>
      <c r="G66" s="1"/>
      <c r="H66" s="1">
        <f>SUM(OSRRefH22_12x_0)</f>
        <v>1150</v>
      </c>
      <c r="I66" s="1"/>
      <c r="J66" s="5">
        <f t="shared" si="41"/>
        <v>2.8682414193315579E-3</v>
      </c>
      <c r="K66" s="1"/>
      <c r="L66" s="1">
        <f t="shared" si="42"/>
        <v>-1150</v>
      </c>
      <c r="M66" s="1"/>
      <c r="N66" s="5">
        <f t="shared" si="43"/>
        <v>-1</v>
      </c>
      <c r="O66" s="14"/>
      <c r="P66" s="1">
        <f>SUM(OSRRefP22_12x_0)</f>
        <v>0</v>
      </c>
      <c r="Q66" s="1"/>
      <c r="R66" s="5">
        <f t="shared" si="44"/>
        <v>0</v>
      </c>
      <c r="S66" s="1"/>
      <c r="T66" s="1">
        <f>SUM(OSRRefT22_12x_0)</f>
        <v>3450</v>
      </c>
      <c r="U66" s="1"/>
      <c r="V66" s="5">
        <f t="shared" si="45"/>
        <v>5.8625029958239939E-3</v>
      </c>
      <c r="W66" s="1"/>
      <c r="X66" s="1">
        <f t="shared" si="46"/>
        <v>-3450</v>
      </c>
      <c r="Y66" s="1"/>
      <c r="Z66" s="5">
        <f t="shared" si="47"/>
        <v>-1</v>
      </c>
    </row>
    <row r="67" spans="1:26" s="24" customFormat="1" hidden="1" outlineLevel="2" x14ac:dyDescent="0.25">
      <c r="A67" s="28"/>
      <c r="B67" s="11" t="str">
        <f>CONCATENATE("          ", "6273", " - ", "RENT")</f>
        <v xml:space="preserve">          6273 - RENT</v>
      </c>
      <c r="C67" s="11"/>
      <c r="D67" s="7"/>
      <c r="E67" s="2"/>
      <c r="F67" s="6">
        <f t="shared" si="40"/>
        <v>0</v>
      </c>
      <c r="G67" s="2"/>
      <c r="H67" s="7">
        <v>1150</v>
      </c>
      <c r="I67" s="2"/>
      <c r="J67" s="6">
        <f t="shared" si="41"/>
        <v>2.8682414193315579E-3</v>
      </c>
      <c r="K67" s="2"/>
      <c r="L67" s="7">
        <f t="shared" si="42"/>
        <v>-1150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3450</v>
      </c>
      <c r="U67" s="2"/>
      <c r="V67" s="6">
        <f t="shared" si="45"/>
        <v>5.8625029958239939E-3</v>
      </c>
      <c r="W67" s="2"/>
      <c r="X67" s="7">
        <f t="shared" si="46"/>
        <v>-3450</v>
      </c>
      <c r="Y67" s="2"/>
      <c r="Z67" s="6">
        <f t="shared" si="47"/>
        <v>-1</v>
      </c>
    </row>
    <row r="68" spans="1:26" s="27" customFormat="1" outlineLevel="1" collapsed="1" x14ac:dyDescent="0.25">
      <c r="A68" s="29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529.01</v>
      </c>
      <c r="E68" s="1"/>
      <c r="F68" s="5">
        <f t="shared" si="40"/>
        <v>0.30015262671137666</v>
      </c>
      <c r="G68" s="1"/>
      <c r="H68" s="1">
        <f>SUM(OSRRefH22_13x_0)</f>
        <v>5463.2300000000005</v>
      </c>
      <c r="I68" s="1"/>
      <c r="J68" s="5">
        <f t="shared" si="41"/>
        <v>1.3625967451595432E-2</v>
      </c>
      <c r="K68" s="1"/>
      <c r="L68" s="1">
        <f t="shared" si="42"/>
        <v>-4934.22</v>
      </c>
      <c r="M68" s="1"/>
      <c r="N68" s="5">
        <f t="shared" si="43"/>
        <v>-0.90316900441680104</v>
      </c>
      <c r="O68" s="14"/>
      <c r="P68" s="1">
        <f>SUM(OSRRefP22_13x_0)</f>
        <v>1086.71</v>
      </c>
      <c r="Q68" s="1"/>
      <c r="R68" s="5">
        <f t="shared" si="44"/>
        <v>0.42015178989124169</v>
      </c>
      <c r="S68" s="1"/>
      <c r="T68" s="1">
        <f>SUM(OSRRefT22_13x_0)</f>
        <v>8456.0300000000007</v>
      </c>
      <c r="U68" s="1"/>
      <c r="V68" s="5">
        <f t="shared" si="45"/>
        <v>1.4369130784863064E-2</v>
      </c>
      <c r="W68" s="1"/>
      <c r="X68" s="1">
        <f t="shared" si="46"/>
        <v>-7369.3200000000006</v>
      </c>
      <c r="Y68" s="1"/>
      <c r="Z68" s="5">
        <f t="shared" si="47"/>
        <v>-0.87148697438396028</v>
      </c>
    </row>
    <row r="69" spans="1:26" s="24" customFormat="1" hidden="1" outlineLevel="2" x14ac:dyDescent="0.25">
      <c r="A69" s="28"/>
      <c r="B69" s="11" t="str">
        <f>CONCATENATE("          ", "6371", " - ", "COMPUTER SOFTWARE MAINTENANCE")</f>
        <v xml:space="preserve">          6371 - COMPUTER SOFTWARE MAINTENANCE</v>
      </c>
      <c r="C69" s="11"/>
      <c r="D69" s="7"/>
      <c r="E69" s="2"/>
      <c r="F69" s="6">
        <f t="shared" si="40"/>
        <v>0</v>
      </c>
      <c r="G69" s="2"/>
      <c r="H69" s="7">
        <v>1311.93</v>
      </c>
      <c r="I69" s="2"/>
      <c r="J69" s="6">
        <f t="shared" si="41"/>
        <v>3.2721147524031745E-3</v>
      </c>
      <c r="K69" s="2"/>
      <c r="L69" s="7">
        <f t="shared" si="42"/>
        <v>-1311.93</v>
      </c>
      <c r="M69" s="2"/>
      <c r="N69" s="6">
        <f t="shared" si="43"/>
        <v>-1</v>
      </c>
      <c r="O69" s="11"/>
      <c r="P69" s="7"/>
      <c r="Q69" s="2"/>
      <c r="R69" s="6">
        <f t="shared" si="44"/>
        <v>0</v>
      </c>
      <c r="S69" s="2"/>
      <c r="T69" s="7">
        <v>1311.93</v>
      </c>
      <c r="U69" s="2"/>
      <c r="V69" s="6">
        <f t="shared" si="45"/>
        <v>2.2293314653076442E-3</v>
      </c>
      <c r="W69" s="2"/>
      <c r="X69" s="7">
        <f t="shared" si="46"/>
        <v>-1311.93</v>
      </c>
      <c r="Y69" s="2"/>
      <c r="Z69" s="6">
        <f t="shared" si="47"/>
        <v>-1</v>
      </c>
    </row>
    <row r="70" spans="1:26" s="24" customFormat="1" hidden="1" outlineLevel="2" x14ac:dyDescent="0.25">
      <c r="A70" s="28"/>
      <c r="B70" s="11" t="str">
        <f>CONCATENATE("          ", "6373", " - ", "MAINTENANCE CONTRACTS")</f>
        <v xml:space="preserve">          6373 - MAINTENANCE CONTRACTS</v>
      </c>
      <c r="C70" s="11"/>
      <c r="D70" s="7">
        <v>301.45</v>
      </c>
      <c r="E70" s="2"/>
      <c r="F70" s="6">
        <f t="shared" si="40"/>
        <v>0.17103837228435095</v>
      </c>
      <c r="G70" s="2"/>
      <c r="H70" s="7"/>
      <c r="I70" s="2"/>
      <c r="J70" s="6">
        <f t="shared" si="41"/>
        <v>0</v>
      </c>
      <c r="K70" s="2"/>
      <c r="L70" s="7">
        <f t="shared" si="42"/>
        <v>301.45</v>
      </c>
      <c r="M70" s="2"/>
      <c r="N70" s="6">
        <f t="shared" si="43"/>
        <v>0</v>
      </c>
      <c r="O70" s="11"/>
      <c r="P70" s="7">
        <v>655.15</v>
      </c>
      <c r="Q70" s="2"/>
      <c r="R70" s="6">
        <f t="shared" si="44"/>
        <v>0.25329889772547137</v>
      </c>
      <c r="S70" s="2"/>
      <c r="T70" s="7"/>
      <c r="U70" s="2"/>
      <c r="V70" s="6">
        <f t="shared" si="45"/>
        <v>0</v>
      </c>
      <c r="W70" s="2"/>
      <c r="X70" s="7">
        <f t="shared" si="46"/>
        <v>655.15</v>
      </c>
      <c r="Y70" s="2"/>
      <c r="Z70" s="6">
        <f t="shared" si="47"/>
        <v>0</v>
      </c>
    </row>
    <row r="71" spans="1:26" s="24" customFormat="1" hidden="1" outlineLevel="2" x14ac:dyDescent="0.25">
      <c r="A71" s="28"/>
      <c r="B71" s="11" t="str">
        <f>CONCATENATE("          ", "6375", " - ", "OUTSIDE REPAIRS &amp; MAINTENANCE")</f>
        <v xml:space="preserve">          6375 - OUTSIDE REPAIRS &amp; MAINTENANCE</v>
      </c>
      <c r="C71" s="11"/>
      <c r="D71" s="7">
        <v>227.56</v>
      </c>
      <c r="E71" s="2"/>
      <c r="F71" s="6">
        <f t="shared" si="40"/>
        <v>0.12911425442702573</v>
      </c>
      <c r="G71" s="2"/>
      <c r="H71" s="7">
        <v>4151.3</v>
      </c>
      <c r="I71" s="2"/>
      <c r="J71" s="6">
        <f t="shared" si="41"/>
        <v>1.0353852699192258E-2</v>
      </c>
      <c r="K71" s="2"/>
      <c r="L71" s="7">
        <f t="shared" si="42"/>
        <v>-3923.7400000000002</v>
      </c>
      <c r="M71" s="2"/>
      <c r="N71" s="6">
        <f t="shared" si="43"/>
        <v>-0.94518343651386316</v>
      </c>
      <c r="O71" s="11"/>
      <c r="P71" s="7">
        <v>431.56</v>
      </c>
      <c r="Q71" s="2"/>
      <c r="R71" s="6">
        <f t="shared" si="44"/>
        <v>0.16685289216577032</v>
      </c>
      <c r="S71" s="2"/>
      <c r="T71" s="7">
        <v>7144.1</v>
      </c>
      <c r="U71" s="2"/>
      <c r="V71" s="6">
        <f t="shared" si="45"/>
        <v>1.213979931955542E-2</v>
      </c>
      <c r="W71" s="2"/>
      <c r="X71" s="7">
        <f t="shared" si="46"/>
        <v>-6712.54</v>
      </c>
      <c r="Y71" s="2"/>
      <c r="Z71" s="6">
        <f t="shared" si="47"/>
        <v>-0.93959211097269069</v>
      </c>
    </row>
    <row r="72" spans="1:26" s="27" customFormat="1" outlineLevel="1" collapsed="1" x14ac:dyDescent="0.25">
      <c r="A72" s="29"/>
      <c r="B72" s="14" t="str">
        <f>CONCATENATE("     ","Royalty &amp; Commissions                             ")</f>
        <v xml:space="preserve">     Royalty &amp; Commissions                             </v>
      </c>
      <c r="C72" s="14"/>
      <c r="D72" s="1">
        <f>SUM(OSRRefD22_14x_0)</f>
        <v>0</v>
      </c>
      <c r="E72" s="1"/>
      <c r="F72" s="5">
        <f t="shared" ref="F72:F78" si="48">IF(D$12=0,0,D72/D$12)</f>
        <v>0</v>
      </c>
      <c r="G72" s="1"/>
      <c r="H72" s="1">
        <f>SUM(OSRRefH22_14x_0)</f>
        <v>5673.45</v>
      </c>
      <c r="I72" s="1"/>
      <c r="J72" s="5">
        <f t="shared" ref="J72:J78" si="49">IF(H$12=0,0,H72/H$12)</f>
        <v>1.415028198304924E-2</v>
      </c>
      <c r="K72" s="1"/>
      <c r="L72" s="1">
        <f t="shared" ref="L72:L78" si="50">+D72-H72</f>
        <v>-5673.45</v>
      </c>
      <c r="M72" s="1"/>
      <c r="N72" s="5">
        <f t="shared" ref="N72:N78" si="51">IF(H72=0,0,L72/H72)</f>
        <v>-1</v>
      </c>
      <c r="O72" s="14"/>
      <c r="P72" s="1">
        <f>SUM(OSRRefP22_14x_0)</f>
        <v>0</v>
      </c>
      <c r="Q72" s="1"/>
      <c r="R72" s="5">
        <f t="shared" ref="R72:R78" si="52">IF(P$12=0,0,P72/P$12)</f>
        <v>0</v>
      </c>
      <c r="S72" s="1"/>
      <c r="T72" s="1">
        <f>SUM(OSRRefT22_14x_0)</f>
        <v>5673.45</v>
      </c>
      <c r="U72" s="1"/>
      <c r="V72" s="5">
        <f t="shared" ref="V72:V78" si="53">IF(T$12=0,0,T72/T$12)</f>
        <v>9.6407587309152564E-3</v>
      </c>
      <c r="W72" s="1"/>
      <c r="X72" s="1">
        <f t="shared" ref="X72:X78" si="54">+P72-T72</f>
        <v>-5673.45</v>
      </c>
      <c r="Y72" s="1"/>
      <c r="Z72" s="5">
        <f t="shared" ref="Z72:Z78" si="55">IF(T72=0,0,X72/T72)</f>
        <v>-1</v>
      </c>
    </row>
    <row r="73" spans="1:26" s="24" customFormat="1" hidden="1" outlineLevel="2" x14ac:dyDescent="0.25">
      <c r="A73" s="28"/>
      <c r="B73" s="11" t="str">
        <f>CONCATENATE("          ", "6254", " - ", "ROYALTY &amp; COMMISSIONS")</f>
        <v xml:space="preserve">          6254 - ROYALTY &amp; COMMISSIONS</v>
      </c>
      <c r="C73" s="11"/>
      <c r="D73" s="7"/>
      <c r="E73" s="2"/>
      <c r="F73" s="6">
        <f t="shared" si="48"/>
        <v>0</v>
      </c>
      <c r="G73" s="2"/>
      <c r="H73" s="7">
        <v>5673.45</v>
      </c>
      <c r="I73" s="2"/>
      <c r="J73" s="6">
        <f t="shared" si="49"/>
        <v>1.415028198304924E-2</v>
      </c>
      <c r="K73" s="2"/>
      <c r="L73" s="7">
        <f t="shared" si="50"/>
        <v>-5673.45</v>
      </c>
      <c r="M73" s="2"/>
      <c r="N73" s="6">
        <f t="shared" si="51"/>
        <v>-1</v>
      </c>
      <c r="O73" s="11"/>
      <c r="P73" s="7"/>
      <c r="Q73" s="2"/>
      <c r="R73" s="6">
        <f t="shared" si="52"/>
        <v>0</v>
      </c>
      <c r="S73" s="2"/>
      <c r="T73" s="7">
        <v>5673.45</v>
      </c>
      <c r="U73" s="2"/>
      <c r="V73" s="6">
        <f t="shared" si="53"/>
        <v>9.6407587309152564E-3</v>
      </c>
      <c r="W73" s="2"/>
      <c r="X73" s="7">
        <f t="shared" si="54"/>
        <v>-5673.45</v>
      </c>
      <c r="Y73" s="2"/>
      <c r="Z73" s="6">
        <f t="shared" si="55"/>
        <v>-1</v>
      </c>
    </row>
    <row r="74" spans="1:26" s="27" customFormat="1" outlineLevel="1" collapsed="1" x14ac:dyDescent="0.25">
      <c r="A74" s="29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SUM(OSRRefD22_15x_0)</f>
        <v>41</v>
      </c>
      <c r="E74" s="1"/>
      <c r="F74" s="5">
        <f t="shared" si="48"/>
        <v>2.3262807310195352E-2</v>
      </c>
      <c r="G74" s="1"/>
      <c r="H74" s="1">
        <f>SUM(OSRRefH22_15x_0)</f>
        <v>1508.75</v>
      </c>
      <c r="I74" s="1"/>
      <c r="J74" s="5">
        <f t="shared" si="49"/>
        <v>3.7630080360143373E-3</v>
      </c>
      <c r="K74" s="1"/>
      <c r="L74" s="1">
        <f t="shared" si="50"/>
        <v>-1467.75</v>
      </c>
      <c r="M74" s="1"/>
      <c r="N74" s="5">
        <f t="shared" si="51"/>
        <v>-0.97282518641259319</v>
      </c>
      <c r="O74" s="14"/>
      <c r="P74" s="1">
        <f>SUM(OSRRefP22_15x_0)</f>
        <v>-1532.76</v>
      </c>
      <c r="Q74" s="1"/>
      <c r="R74" s="5">
        <f t="shared" si="52"/>
        <v>-0.59260691212347327</v>
      </c>
      <c r="S74" s="1"/>
      <c r="T74" s="1">
        <f>SUM(OSRRefT22_15x_0)</f>
        <v>4961.7700000000004</v>
      </c>
      <c r="U74" s="1"/>
      <c r="V74" s="5">
        <f t="shared" si="53"/>
        <v>8.4314178230694547E-3</v>
      </c>
      <c r="W74" s="1"/>
      <c r="X74" s="1">
        <f t="shared" si="54"/>
        <v>-6494.5300000000007</v>
      </c>
      <c r="Y74" s="1"/>
      <c r="Z74" s="5">
        <f t="shared" si="55"/>
        <v>-1.3089139561084049</v>
      </c>
    </row>
    <row r="75" spans="1:26" s="24" customFormat="1" hidden="1" outlineLevel="2" x14ac:dyDescent="0.25">
      <c r="A75" s="28"/>
      <c r="B75" s="11" t="str">
        <f>CONCATENATE("          ", "6282", " - ", "JANITORIAL/EXTERMINATOR EXPENS")</f>
        <v xml:space="preserve">          6282 - JANITORIAL/EXTERMINATOR EXPENS</v>
      </c>
      <c r="C75" s="11"/>
      <c r="D75" s="7">
        <v>41</v>
      </c>
      <c r="E75" s="2"/>
      <c r="F75" s="6">
        <f t="shared" si="48"/>
        <v>2.3262807310195352E-2</v>
      </c>
      <c r="G75" s="2"/>
      <c r="H75" s="7">
        <v>485.74</v>
      </c>
      <c r="I75" s="2"/>
      <c r="J75" s="6">
        <f t="shared" si="49"/>
        <v>1.2114952930661835E-3</v>
      </c>
      <c r="K75" s="2"/>
      <c r="L75" s="7">
        <f t="shared" si="50"/>
        <v>-444.74</v>
      </c>
      <c r="M75" s="2"/>
      <c r="N75" s="6">
        <f t="shared" si="51"/>
        <v>-0.91559270391567504</v>
      </c>
      <c r="O75" s="11"/>
      <c r="P75" s="7">
        <v>-728.16</v>
      </c>
      <c r="Q75" s="2"/>
      <c r="R75" s="6">
        <f t="shared" si="52"/>
        <v>-0.28152655936469395</v>
      </c>
      <c r="S75" s="2"/>
      <c r="T75" s="7">
        <v>2134.66</v>
      </c>
      <c r="U75" s="2"/>
      <c r="V75" s="6">
        <f t="shared" si="53"/>
        <v>3.6273769985697524E-3</v>
      </c>
      <c r="W75" s="2"/>
      <c r="X75" s="7">
        <f t="shared" si="54"/>
        <v>-2862.8199999999997</v>
      </c>
      <c r="Y75" s="2"/>
      <c r="Z75" s="6">
        <f t="shared" si="55"/>
        <v>-1.341112870433699</v>
      </c>
    </row>
    <row r="76" spans="1:26" s="24" customFormat="1" hidden="1" outlineLevel="2" x14ac:dyDescent="0.25">
      <c r="A76" s="28"/>
      <c r="B76" s="11" t="str">
        <f>CONCATENATE("          ", "6284", " - ", "TRASH REMOVAL EXPENSE")</f>
        <v xml:space="preserve">          6284 - TRASH REMOVAL EXPENSE</v>
      </c>
      <c r="C76" s="11"/>
      <c r="D76" s="7"/>
      <c r="E76" s="2"/>
      <c r="F76" s="6">
        <f t="shared" si="48"/>
        <v>0</v>
      </c>
      <c r="G76" s="2"/>
      <c r="H76" s="7">
        <v>237</v>
      </c>
      <c r="I76" s="2"/>
      <c r="J76" s="6">
        <f t="shared" si="49"/>
        <v>5.9110714467963405E-4</v>
      </c>
      <c r="K76" s="2"/>
      <c r="L76" s="7">
        <f t="shared" si="50"/>
        <v>-237</v>
      </c>
      <c r="M76" s="2"/>
      <c r="N76" s="6">
        <f t="shared" si="51"/>
        <v>-1</v>
      </c>
      <c r="O76" s="11"/>
      <c r="P76" s="7"/>
      <c r="Q76" s="2"/>
      <c r="R76" s="6">
        <f t="shared" si="52"/>
        <v>0</v>
      </c>
      <c r="S76" s="2"/>
      <c r="T76" s="7">
        <v>474</v>
      </c>
      <c r="U76" s="2"/>
      <c r="V76" s="6">
        <f t="shared" si="53"/>
        <v>8.0545693333929655E-4</v>
      </c>
      <c r="W76" s="2"/>
      <c r="X76" s="7">
        <f t="shared" si="54"/>
        <v>-474</v>
      </c>
      <c r="Y76" s="2"/>
      <c r="Z76" s="6">
        <f t="shared" si="55"/>
        <v>-1</v>
      </c>
    </row>
    <row r="77" spans="1:26" s="24" customFormat="1" hidden="1" outlineLevel="2" x14ac:dyDescent="0.25">
      <c r="A77" s="28"/>
      <c r="B77" s="11" t="str">
        <f>CONCATENATE("          ", "6285", " - ", "JANITORIAL SERVICES")</f>
        <v xml:space="preserve">          6285 - JANITORIAL SERVICES</v>
      </c>
      <c r="C77" s="11"/>
      <c r="D77" s="7"/>
      <c r="E77" s="2"/>
      <c r="F77" s="6">
        <f t="shared" si="48"/>
        <v>0</v>
      </c>
      <c r="G77" s="2"/>
      <c r="H77" s="7">
        <v>25.23</v>
      </c>
      <c r="I77" s="2"/>
      <c r="J77" s="6">
        <f t="shared" si="49"/>
        <v>6.2926722617161042E-5</v>
      </c>
      <c r="K77" s="2"/>
      <c r="L77" s="7">
        <f t="shared" si="50"/>
        <v>-25.23</v>
      </c>
      <c r="M77" s="2"/>
      <c r="N77" s="6">
        <f t="shared" si="51"/>
        <v>-1</v>
      </c>
      <c r="O77" s="11"/>
      <c r="P77" s="7">
        <v>-804.6</v>
      </c>
      <c r="Q77" s="2"/>
      <c r="R77" s="6">
        <f t="shared" si="52"/>
        <v>-0.31108035275877932</v>
      </c>
      <c r="S77" s="2"/>
      <c r="T77" s="7">
        <v>173.08</v>
      </c>
      <c r="U77" s="2"/>
      <c r="V77" s="6">
        <f t="shared" si="53"/>
        <v>2.9411073000499042E-4</v>
      </c>
      <c r="W77" s="2"/>
      <c r="X77" s="7">
        <f t="shared" si="54"/>
        <v>-977.68000000000006</v>
      </c>
      <c r="Y77" s="2"/>
      <c r="Z77" s="6">
        <f t="shared" si="55"/>
        <v>-5.648717356135891</v>
      </c>
    </row>
    <row r="78" spans="1:26" s="24" customFormat="1" hidden="1" outlineLevel="2" x14ac:dyDescent="0.25">
      <c r="A78" s="28"/>
      <c r="B78" s="11" t="str">
        <f>CONCATENATE("          ", "6286", " - ", "LAUNDRY EXPENSE")</f>
        <v xml:space="preserve">          6286 - LAUNDRY EXPENSE</v>
      </c>
      <c r="C78" s="11"/>
      <c r="D78" s="7"/>
      <c r="E78" s="2"/>
      <c r="F78" s="6">
        <f t="shared" si="48"/>
        <v>0</v>
      </c>
      <c r="G78" s="2"/>
      <c r="H78" s="7">
        <v>760.78</v>
      </c>
      <c r="I78" s="2"/>
      <c r="J78" s="6">
        <f t="shared" si="49"/>
        <v>1.8974788756513587E-3</v>
      </c>
      <c r="K78" s="2"/>
      <c r="L78" s="7">
        <f t="shared" si="50"/>
        <v>-760.78</v>
      </c>
      <c r="M78" s="2"/>
      <c r="N78" s="6">
        <f t="shared" si="51"/>
        <v>-1</v>
      </c>
      <c r="O78" s="11"/>
      <c r="P78" s="7"/>
      <c r="Q78" s="2"/>
      <c r="R78" s="6">
        <f t="shared" si="52"/>
        <v>0</v>
      </c>
      <c r="S78" s="2"/>
      <c r="T78" s="7">
        <v>2180.0300000000002</v>
      </c>
      <c r="U78" s="2"/>
      <c r="V78" s="6">
        <f t="shared" si="53"/>
        <v>3.7044731611554152E-3</v>
      </c>
      <c r="W78" s="2"/>
      <c r="X78" s="7">
        <f t="shared" si="54"/>
        <v>-2180.0300000000002</v>
      </c>
      <c r="Y78" s="2"/>
      <c r="Z78" s="6">
        <f t="shared" si="55"/>
        <v>-1</v>
      </c>
    </row>
    <row r="79" spans="1:26" s="27" customFormat="1" outlineLevel="1" collapsed="1" x14ac:dyDescent="0.25">
      <c r="A79" s="29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SUM(OSRRefD22_16x_0)</f>
        <v>0</v>
      </c>
      <c r="E79" s="1"/>
      <c r="F79" s="5">
        <f t="shared" ref="F79:F88" si="56">IF(D$12=0,0,D79/D$12)</f>
        <v>0</v>
      </c>
      <c r="G79" s="1"/>
      <c r="H79" s="1">
        <f>SUM(OSRRefH22_16x_0)</f>
        <v>176.4</v>
      </c>
      <c r="I79" s="1"/>
      <c r="J79" s="5">
        <f t="shared" ref="J79:J88" si="57">IF(H$12=0,0,H79/H$12)</f>
        <v>4.3996329249572765E-4</v>
      </c>
      <c r="K79" s="1"/>
      <c r="L79" s="1">
        <f t="shared" ref="L79:L88" si="58">+D79-H79</f>
        <v>-176.4</v>
      </c>
      <c r="M79" s="1"/>
      <c r="N79" s="5">
        <f t="shared" ref="N79:N88" si="59">IF(H79=0,0,L79/H79)</f>
        <v>-1</v>
      </c>
      <c r="O79" s="14"/>
      <c r="P79" s="1">
        <f>SUM(OSRRefP22_16x_0)</f>
        <v>0</v>
      </c>
      <c r="Q79" s="1"/>
      <c r="R79" s="5">
        <f t="shared" ref="R79:R88" si="60">IF(P$12=0,0,P79/P$12)</f>
        <v>0</v>
      </c>
      <c r="S79" s="1"/>
      <c r="T79" s="1">
        <f>SUM(OSRRefT22_16x_0)</f>
        <v>529.20000000000005</v>
      </c>
      <c r="U79" s="1"/>
      <c r="V79" s="5">
        <f t="shared" ref="V79:V88" si="61">IF(T$12=0,0,T79/T$12)</f>
        <v>8.9925698127248056E-4</v>
      </c>
      <c r="W79" s="1"/>
      <c r="X79" s="1">
        <f t="shared" ref="X79:X88" si="62">+P79-T79</f>
        <v>-529.20000000000005</v>
      </c>
      <c r="Y79" s="1"/>
      <c r="Z79" s="5">
        <f t="shared" ref="Z79:Z88" si="63">IF(T79=0,0,X79/T79)</f>
        <v>-1</v>
      </c>
    </row>
    <row r="80" spans="1:26" s="24" customFormat="1" hidden="1" outlineLevel="2" x14ac:dyDescent="0.25">
      <c r="A80" s="28"/>
      <c r="B80" s="11" t="str">
        <f>CONCATENATE("          ", "6275", " - ", "SUBSCRIPTIONS")</f>
        <v xml:space="preserve">          6275 - SUBSCRIPTIONS</v>
      </c>
      <c r="C80" s="11"/>
      <c r="D80" s="7"/>
      <c r="E80" s="2"/>
      <c r="F80" s="6">
        <f t="shared" si="56"/>
        <v>0</v>
      </c>
      <c r="G80" s="2"/>
      <c r="H80" s="7">
        <v>176.4</v>
      </c>
      <c r="I80" s="2"/>
      <c r="J80" s="6">
        <f t="shared" si="57"/>
        <v>4.3996329249572765E-4</v>
      </c>
      <c r="K80" s="2"/>
      <c r="L80" s="7">
        <f t="shared" si="58"/>
        <v>-176.4</v>
      </c>
      <c r="M80" s="2"/>
      <c r="N80" s="6">
        <f t="shared" si="59"/>
        <v>-1</v>
      </c>
      <c r="O80" s="11"/>
      <c r="P80" s="7"/>
      <c r="Q80" s="2"/>
      <c r="R80" s="6">
        <f t="shared" si="60"/>
        <v>0</v>
      </c>
      <c r="S80" s="2"/>
      <c r="T80" s="7">
        <v>529.20000000000005</v>
      </c>
      <c r="U80" s="2"/>
      <c r="V80" s="6">
        <f t="shared" si="61"/>
        <v>8.9925698127248056E-4</v>
      </c>
      <c r="W80" s="2"/>
      <c r="X80" s="7">
        <f t="shared" si="62"/>
        <v>-529.20000000000005</v>
      </c>
      <c r="Y80" s="2"/>
      <c r="Z80" s="6">
        <f t="shared" si="63"/>
        <v>-1</v>
      </c>
    </row>
    <row r="81" spans="1:26" s="27" customFormat="1" outlineLevel="1" collapsed="1" x14ac:dyDescent="0.25">
      <c r="A81" s="29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SUM(OSRRefD22_17x_0)</f>
        <v>724.22</v>
      </c>
      <c r="E81" s="1"/>
      <c r="F81" s="5">
        <f t="shared" si="56"/>
        <v>0.41091195878511416</v>
      </c>
      <c r="G81" s="1"/>
      <c r="H81" s="1">
        <f>SUM(OSRRefH22_17x_0)</f>
        <v>7755.55</v>
      </c>
      <c r="I81" s="1"/>
      <c r="J81" s="5">
        <f t="shared" si="57"/>
        <v>1.9343295425823359E-2</v>
      </c>
      <c r="K81" s="1"/>
      <c r="L81" s="1">
        <f t="shared" si="58"/>
        <v>-7031.33</v>
      </c>
      <c r="M81" s="1"/>
      <c r="N81" s="5">
        <f t="shared" si="59"/>
        <v>-0.90661913081599621</v>
      </c>
      <c r="O81" s="14"/>
      <c r="P81" s="1">
        <f>SUM(OSRRefP22_17x_0)</f>
        <v>1053.0899999999999</v>
      </c>
      <c r="Q81" s="1"/>
      <c r="R81" s="5">
        <f t="shared" si="60"/>
        <v>0.40715337892958348</v>
      </c>
      <c r="S81" s="1"/>
      <c r="T81" s="1">
        <f>SUM(OSRRefT22_17x_0)</f>
        <v>25308.799999999999</v>
      </c>
      <c r="U81" s="1"/>
      <c r="V81" s="5">
        <f t="shared" si="61"/>
        <v>4.300664226687255E-2</v>
      </c>
      <c r="W81" s="1"/>
      <c r="X81" s="1">
        <f t="shared" si="62"/>
        <v>-24255.71</v>
      </c>
      <c r="Y81" s="1"/>
      <c r="Z81" s="5">
        <f t="shared" si="63"/>
        <v>-0.95839036224554308</v>
      </c>
    </row>
    <row r="82" spans="1:26" s="24" customFormat="1" hidden="1" outlineLevel="2" x14ac:dyDescent="0.25">
      <c r="A82" s="28"/>
      <c r="B82" s="11" t="str">
        <f>CONCATENATE("          ", "6234", " - ", "EXPENDABLE SUPPLIES &amp; EQUIPMEN")</f>
        <v xml:space="preserve">          6234 - EXPENDABLE SUPPLIES &amp; EQUIPMEN</v>
      </c>
      <c r="C82" s="11"/>
      <c r="D82" s="7">
        <v>316.67</v>
      </c>
      <c r="E82" s="2"/>
      <c r="F82" s="6">
        <f t="shared" si="56"/>
        <v>0.1796739802663308</v>
      </c>
      <c r="G82" s="2"/>
      <c r="H82" s="7"/>
      <c r="I82" s="2"/>
      <c r="J82" s="6">
        <f t="shared" si="57"/>
        <v>0</v>
      </c>
      <c r="K82" s="2"/>
      <c r="L82" s="7">
        <f t="shared" si="58"/>
        <v>316.67</v>
      </c>
      <c r="M82" s="2"/>
      <c r="N82" s="6">
        <f t="shared" si="59"/>
        <v>0</v>
      </c>
      <c r="O82" s="11"/>
      <c r="P82" s="7">
        <v>316.67</v>
      </c>
      <c r="Q82" s="2"/>
      <c r="R82" s="6">
        <f t="shared" si="60"/>
        <v>0.12243327778787304</v>
      </c>
      <c r="S82" s="2"/>
      <c r="T82" s="7">
        <v>1064.24</v>
      </c>
      <c r="U82" s="2"/>
      <c r="V82" s="6">
        <f t="shared" si="61"/>
        <v>1.8084377357320948E-3</v>
      </c>
      <c r="W82" s="2"/>
      <c r="X82" s="7">
        <f t="shared" si="62"/>
        <v>-747.56999999999994</v>
      </c>
      <c r="Y82" s="2"/>
      <c r="Z82" s="6">
        <f t="shared" si="63"/>
        <v>-0.70244493723220325</v>
      </c>
    </row>
    <row r="83" spans="1:26" s="24" customFormat="1" hidden="1" outlineLevel="2" x14ac:dyDescent="0.25">
      <c r="A83" s="28"/>
      <c r="B83" s="11" t="str">
        <f>CONCATENATE("          ", "6235", " - ", "COVID-19 EXPENSES")</f>
        <v xml:space="preserve">          6235 - COVID-19 EXPENSES</v>
      </c>
      <c r="C83" s="11"/>
      <c r="D83" s="7"/>
      <c r="E83" s="2"/>
      <c r="F83" s="6">
        <f t="shared" si="56"/>
        <v>0</v>
      </c>
      <c r="G83" s="2"/>
      <c r="H83" s="7"/>
      <c r="I83" s="2"/>
      <c r="J83" s="6">
        <f t="shared" si="57"/>
        <v>0</v>
      </c>
      <c r="K83" s="2"/>
      <c r="L83" s="7">
        <f t="shared" si="58"/>
        <v>0</v>
      </c>
      <c r="M83" s="2"/>
      <c r="N83" s="6">
        <f t="shared" si="59"/>
        <v>0</v>
      </c>
      <c r="O83" s="11"/>
      <c r="P83" s="7">
        <v>207.27</v>
      </c>
      <c r="Q83" s="2"/>
      <c r="R83" s="6">
        <f t="shared" si="60"/>
        <v>8.0136247472423802E-2</v>
      </c>
      <c r="S83" s="2"/>
      <c r="T83" s="7"/>
      <c r="U83" s="2"/>
      <c r="V83" s="6">
        <f t="shared" si="61"/>
        <v>0</v>
      </c>
      <c r="W83" s="2"/>
      <c r="X83" s="7">
        <f t="shared" si="62"/>
        <v>207.27</v>
      </c>
      <c r="Y83" s="2"/>
      <c r="Z83" s="6">
        <f t="shared" si="63"/>
        <v>0</v>
      </c>
    </row>
    <row r="84" spans="1:26" s="24" customFormat="1" hidden="1" outlineLevel="2" x14ac:dyDescent="0.25">
      <c r="A84" s="28"/>
      <c r="B84" s="11" t="str">
        <f>CONCATENATE("          ", "6237", " - ", "JANITORIAL SUPPLIES")</f>
        <v xml:space="preserve">          6237 - JANITORIAL SUPPLIES</v>
      </c>
      <c r="C84" s="11"/>
      <c r="D84" s="7">
        <v>317.57</v>
      </c>
      <c r="E84" s="2"/>
      <c r="F84" s="6">
        <f t="shared" si="56"/>
        <v>0.18018462725606679</v>
      </c>
      <c r="G84" s="2"/>
      <c r="H84" s="7">
        <v>171.96</v>
      </c>
      <c r="I84" s="2"/>
      <c r="J84" s="6">
        <f t="shared" si="57"/>
        <v>4.288893864941345E-4</v>
      </c>
      <c r="K84" s="2"/>
      <c r="L84" s="7">
        <f t="shared" si="58"/>
        <v>145.60999999999999</v>
      </c>
      <c r="M84" s="2"/>
      <c r="N84" s="6">
        <f t="shared" si="59"/>
        <v>0.84676668992789006</v>
      </c>
      <c r="O84" s="11"/>
      <c r="P84" s="7">
        <v>317.57</v>
      </c>
      <c r="Q84" s="2"/>
      <c r="R84" s="6">
        <f t="shared" si="60"/>
        <v>0.12278124238827436</v>
      </c>
      <c r="S84" s="2"/>
      <c r="T84" s="7">
        <v>1185.9000000000001</v>
      </c>
      <c r="U84" s="2"/>
      <c r="V84" s="6">
        <f t="shared" si="61"/>
        <v>2.0151716819558478E-3</v>
      </c>
      <c r="W84" s="2"/>
      <c r="X84" s="7">
        <f t="shared" si="62"/>
        <v>-868.33000000000015</v>
      </c>
      <c r="Y84" s="2"/>
      <c r="Z84" s="6">
        <f t="shared" si="63"/>
        <v>-0.73221182224470871</v>
      </c>
    </row>
    <row r="85" spans="1:26" s="24" customFormat="1" hidden="1" outlineLevel="2" x14ac:dyDescent="0.25">
      <c r="A85" s="28"/>
      <c r="B85" s="11" t="str">
        <f>CONCATENATE("          ", "6241", " - ", "OFFICE EXPENSE")</f>
        <v xml:space="preserve">          6241 - OFFICE EXPENSE</v>
      </c>
      <c r="C85" s="11"/>
      <c r="D85" s="7">
        <v>89.98</v>
      </c>
      <c r="E85" s="2"/>
      <c r="F85" s="6">
        <f t="shared" si="56"/>
        <v>5.105335126271654E-2</v>
      </c>
      <c r="G85" s="2"/>
      <c r="H85" s="7">
        <v>227.69</v>
      </c>
      <c r="I85" s="2"/>
      <c r="J85" s="6">
        <f t="shared" si="57"/>
        <v>5.6788685979791513E-4</v>
      </c>
      <c r="K85" s="2"/>
      <c r="L85" s="7">
        <f t="shared" si="58"/>
        <v>-137.70999999999998</v>
      </c>
      <c r="M85" s="2"/>
      <c r="N85" s="6">
        <f t="shared" si="59"/>
        <v>-0.6048135622996178</v>
      </c>
      <c r="O85" s="11"/>
      <c r="P85" s="7">
        <v>131.30000000000001</v>
      </c>
      <c r="Q85" s="2"/>
      <c r="R85" s="6">
        <f t="shared" si="60"/>
        <v>5.0764168925214674E-2</v>
      </c>
      <c r="S85" s="2"/>
      <c r="T85" s="7">
        <v>958.26</v>
      </c>
      <c r="U85" s="2"/>
      <c r="V85" s="6">
        <f t="shared" si="61"/>
        <v>1.6283484408053045E-3</v>
      </c>
      <c r="W85" s="2"/>
      <c r="X85" s="7">
        <f t="shared" si="62"/>
        <v>-826.96</v>
      </c>
      <c r="Y85" s="2"/>
      <c r="Z85" s="6">
        <f t="shared" si="63"/>
        <v>-0.86298081940183258</v>
      </c>
    </row>
    <row r="86" spans="1:26" s="24" customFormat="1" hidden="1" outlineLevel="2" x14ac:dyDescent="0.25">
      <c r="A86" s="28"/>
      <c r="B86" s="11" t="str">
        <f>CONCATENATE("          ", "6243", " - ", "PAPER SUPPLIES")</f>
        <v xml:space="preserve">          6243 - PAPER SUPPLIES</v>
      </c>
      <c r="C86" s="11"/>
      <c r="D86" s="7"/>
      <c r="E86" s="2"/>
      <c r="F86" s="6">
        <f t="shared" si="56"/>
        <v>0</v>
      </c>
      <c r="G86" s="2"/>
      <c r="H86" s="7">
        <v>197.39</v>
      </c>
      <c r="I86" s="2"/>
      <c r="J86" s="6">
        <f t="shared" si="57"/>
        <v>4.9231493370596193E-4</v>
      </c>
      <c r="K86" s="2"/>
      <c r="L86" s="7">
        <f t="shared" si="58"/>
        <v>-197.39</v>
      </c>
      <c r="M86" s="2"/>
      <c r="N86" s="6">
        <f t="shared" si="59"/>
        <v>-1</v>
      </c>
      <c r="O86" s="11"/>
      <c r="P86" s="7"/>
      <c r="Q86" s="2"/>
      <c r="R86" s="6">
        <f t="shared" si="60"/>
        <v>0</v>
      </c>
      <c r="S86" s="2"/>
      <c r="T86" s="7">
        <v>799.06</v>
      </c>
      <c r="U86" s="2"/>
      <c r="V86" s="6">
        <f t="shared" si="61"/>
        <v>1.3578236648820639E-3</v>
      </c>
      <c r="W86" s="2"/>
      <c r="X86" s="7">
        <f t="shared" si="62"/>
        <v>-799.06</v>
      </c>
      <c r="Y86" s="2"/>
      <c r="Z86" s="6">
        <f t="shared" si="63"/>
        <v>-1</v>
      </c>
    </row>
    <row r="87" spans="1:26" s="24" customFormat="1" hidden="1" outlineLevel="2" x14ac:dyDescent="0.25">
      <c r="A87" s="28"/>
      <c r="B87" s="11" t="str">
        <f>CONCATENATE("          ", "6245", " - ", "PRINTING")</f>
        <v xml:space="preserve">          6245 - PRINTING</v>
      </c>
      <c r="C87" s="11"/>
      <c r="D87" s="7"/>
      <c r="E87" s="2"/>
      <c r="F87" s="6">
        <f t="shared" si="56"/>
        <v>0</v>
      </c>
      <c r="G87" s="2"/>
      <c r="H87" s="7">
        <v>35.54</v>
      </c>
      <c r="I87" s="2"/>
      <c r="J87" s="6">
        <f t="shared" si="57"/>
        <v>8.8641130472211791E-5</v>
      </c>
      <c r="K87" s="2"/>
      <c r="L87" s="7">
        <f t="shared" si="58"/>
        <v>-35.54</v>
      </c>
      <c r="M87" s="2"/>
      <c r="N87" s="6">
        <f t="shared" si="59"/>
        <v>-1</v>
      </c>
      <c r="O87" s="11"/>
      <c r="P87" s="7"/>
      <c r="Q87" s="2"/>
      <c r="R87" s="6">
        <f t="shared" si="60"/>
        <v>0</v>
      </c>
      <c r="S87" s="2"/>
      <c r="T87" s="7">
        <v>35.54</v>
      </c>
      <c r="U87" s="2"/>
      <c r="V87" s="6">
        <f t="shared" si="61"/>
        <v>6.0392277238140506E-5</v>
      </c>
      <c r="W87" s="2"/>
      <c r="X87" s="7">
        <f t="shared" si="62"/>
        <v>-35.54</v>
      </c>
      <c r="Y87" s="2"/>
      <c r="Z87" s="6">
        <f t="shared" si="63"/>
        <v>-1</v>
      </c>
    </row>
    <row r="88" spans="1:26" s="24" customFormat="1" hidden="1" outlineLevel="2" x14ac:dyDescent="0.25">
      <c r="A88" s="28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56"/>
        <v>0</v>
      </c>
      <c r="G88" s="2"/>
      <c r="H88" s="7">
        <v>7122.97</v>
      </c>
      <c r="I88" s="2"/>
      <c r="J88" s="6">
        <f t="shared" si="57"/>
        <v>1.7765563115353138E-2</v>
      </c>
      <c r="K88" s="2"/>
      <c r="L88" s="7">
        <f t="shared" si="58"/>
        <v>-7122.97</v>
      </c>
      <c r="M88" s="2"/>
      <c r="N88" s="6">
        <f t="shared" si="59"/>
        <v>-1</v>
      </c>
      <c r="O88" s="11"/>
      <c r="P88" s="7">
        <v>80.28</v>
      </c>
      <c r="Q88" s="2"/>
      <c r="R88" s="6">
        <f t="shared" si="60"/>
        <v>3.1038442355797669E-2</v>
      </c>
      <c r="S88" s="2"/>
      <c r="T88" s="7">
        <v>21265.8</v>
      </c>
      <c r="U88" s="2"/>
      <c r="V88" s="6">
        <f t="shared" si="61"/>
        <v>3.6136468466259099E-2</v>
      </c>
      <c r="W88" s="2"/>
      <c r="X88" s="7">
        <f t="shared" si="62"/>
        <v>-21185.52</v>
      </c>
      <c r="Y88" s="2"/>
      <c r="Z88" s="6">
        <f t="shared" si="63"/>
        <v>-0.99622492452670486</v>
      </c>
    </row>
    <row r="89" spans="1:26" s="27" customFormat="1" outlineLevel="1" collapsed="1" x14ac:dyDescent="0.25">
      <c r="A89" s="29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SUM(OSRRefD22_18x_0)</f>
        <v>328.87</v>
      </c>
      <c r="E89" s="1"/>
      <c r="F89" s="5">
        <f t="shared" ref="F89:F94" si="64">IF(D$12=0,0,D89/D$12)</f>
        <v>0.18659608390497429</v>
      </c>
      <c r="G89" s="1"/>
      <c r="H89" s="1">
        <f>SUM(OSRRefH22_18x_0)</f>
        <v>428.01</v>
      </c>
      <c r="I89" s="1"/>
      <c r="J89" s="5">
        <f t="shared" ref="J89:J94" si="65">IF(H$12=0,0,H89/H$12)</f>
        <v>1.0675095738157392E-3</v>
      </c>
      <c r="K89" s="1"/>
      <c r="L89" s="1">
        <f t="shared" ref="L89:L94" si="66">+D89-H89</f>
        <v>-99.139999999999986</v>
      </c>
      <c r="M89" s="1"/>
      <c r="N89" s="5">
        <f t="shared" ref="N89:N94" si="67">IF(H89=0,0,L89/H89)</f>
        <v>-0.23163010210041818</v>
      </c>
      <c r="O89" s="14"/>
      <c r="P89" s="1">
        <f>SUM(OSRRefP22_18x_0)</f>
        <v>1106.24</v>
      </c>
      <c r="Q89" s="1"/>
      <c r="R89" s="5">
        <f t="shared" ref="R89:R94" si="68">IF(P$12=0,0,P89/P$12)</f>
        <v>0.42770262171995033</v>
      </c>
      <c r="S89" s="1"/>
      <c r="T89" s="1">
        <f>SUM(OSRRefT22_18x_0)</f>
        <v>1009.58</v>
      </c>
      <c r="U89" s="1"/>
      <c r="V89" s="5">
        <f t="shared" ref="V89:V94" si="69">IF(T$12=0,0,T89/T$12)</f>
        <v>1.7155552969634748E-3</v>
      </c>
      <c r="W89" s="1"/>
      <c r="X89" s="1">
        <f t="shared" ref="X89:X94" si="70">+P89-T89</f>
        <v>96.659999999999968</v>
      </c>
      <c r="Y89" s="1"/>
      <c r="Z89" s="5">
        <f t="shared" ref="Z89:Z94" si="71">IF(T89=0,0,X89/T89)</f>
        <v>9.5742784128053218E-2</v>
      </c>
    </row>
    <row r="90" spans="1:26" s="24" customFormat="1" hidden="1" outlineLevel="2" x14ac:dyDescent="0.25">
      <c r="A90" s="28"/>
      <c r="B90" s="11" t="str">
        <f>CONCATENATE("          ", "6309", " - ", "TELEPHONE")</f>
        <v xml:space="preserve">          6309 - TELEPHONE</v>
      </c>
      <c r="C90" s="11"/>
      <c r="D90" s="7">
        <v>328.87</v>
      </c>
      <c r="E90" s="2"/>
      <c r="F90" s="6">
        <f t="shared" si="64"/>
        <v>0.18659608390497429</v>
      </c>
      <c r="G90" s="2"/>
      <c r="H90" s="7">
        <v>428.01</v>
      </c>
      <c r="I90" s="2"/>
      <c r="J90" s="6">
        <f t="shared" si="65"/>
        <v>1.0675095738157392E-3</v>
      </c>
      <c r="K90" s="2"/>
      <c r="L90" s="7">
        <f t="shared" si="66"/>
        <v>-99.139999999999986</v>
      </c>
      <c r="M90" s="2"/>
      <c r="N90" s="6">
        <f t="shared" si="67"/>
        <v>-0.23163010210041818</v>
      </c>
      <c r="O90" s="11"/>
      <c r="P90" s="7">
        <v>1106.24</v>
      </c>
      <c r="Q90" s="2"/>
      <c r="R90" s="6">
        <f t="shared" si="68"/>
        <v>0.42770262171995033</v>
      </c>
      <c r="S90" s="2"/>
      <c r="T90" s="7">
        <v>1009.58</v>
      </c>
      <c r="U90" s="2"/>
      <c r="V90" s="6">
        <f t="shared" si="69"/>
        <v>1.7155552969634748E-3</v>
      </c>
      <c r="W90" s="2"/>
      <c r="X90" s="7">
        <f t="shared" si="70"/>
        <v>96.659999999999968</v>
      </c>
      <c r="Y90" s="2"/>
      <c r="Z90" s="6">
        <f t="shared" si="71"/>
        <v>9.5742784128053218E-2</v>
      </c>
    </row>
    <row r="91" spans="1:26" s="27" customFormat="1" outlineLevel="1" collapsed="1" x14ac:dyDescent="0.25">
      <c r="A91" s="29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SUM(OSRRefD22_19x_0)</f>
        <v>0</v>
      </c>
      <c r="E91" s="1"/>
      <c r="F91" s="5">
        <f t="shared" si="64"/>
        <v>0</v>
      </c>
      <c r="G91" s="1"/>
      <c r="H91" s="1">
        <f>SUM(OSRRefH22_19x_0)</f>
        <v>96</v>
      </c>
      <c r="I91" s="1"/>
      <c r="J91" s="5">
        <f t="shared" si="65"/>
        <v>2.3943580543985178E-4</v>
      </c>
      <c r="K91" s="1"/>
      <c r="L91" s="1">
        <f t="shared" si="66"/>
        <v>-96</v>
      </c>
      <c r="M91" s="1"/>
      <c r="N91" s="5">
        <f t="shared" si="67"/>
        <v>-1</v>
      </c>
      <c r="O91" s="14"/>
      <c r="P91" s="1">
        <f>SUM(OSRRefP22_19x_0)</f>
        <v>0</v>
      </c>
      <c r="Q91" s="1"/>
      <c r="R91" s="5">
        <f t="shared" si="68"/>
        <v>0</v>
      </c>
      <c r="S91" s="1"/>
      <c r="T91" s="1">
        <f>SUM(OSRRefT22_19x_0)</f>
        <v>96</v>
      </c>
      <c r="U91" s="1"/>
      <c r="V91" s="5">
        <f t="shared" si="69"/>
        <v>1.6313051814466765E-4</v>
      </c>
      <c r="W91" s="1"/>
      <c r="X91" s="1">
        <f t="shared" si="70"/>
        <v>-96</v>
      </c>
      <c r="Y91" s="1"/>
      <c r="Z91" s="5">
        <f t="shared" si="71"/>
        <v>-1</v>
      </c>
    </row>
    <row r="92" spans="1:26" s="24" customFormat="1" hidden="1" outlineLevel="2" x14ac:dyDescent="0.25">
      <c r="A92" s="28"/>
      <c r="B92" s="11" t="str">
        <f>CONCATENATE("          ", "6376", " - ", "TRAINING")</f>
        <v xml:space="preserve">          6376 - TRAINING</v>
      </c>
      <c r="C92" s="11"/>
      <c r="D92" s="7"/>
      <c r="E92" s="2"/>
      <c r="F92" s="6">
        <f t="shared" si="64"/>
        <v>0</v>
      </c>
      <c r="G92" s="2"/>
      <c r="H92" s="7">
        <v>96</v>
      </c>
      <c r="I92" s="2"/>
      <c r="J92" s="6">
        <f t="shared" si="65"/>
        <v>2.3943580543985178E-4</v>
      </c>
      <c r="K92" s="2"/>
      <c r="L92" s="7">
        <f t="shared" si="66"/>
        <v>-96</v>
      </c>
      <c r="M92" s="2"/>
      <c r="N92" s="6">
        <f t="shared" si="67"/>
        <v>-1</v>
      </c>
      <c r="O92" s="11"/>
      <c r="P92" s="7"/>
      <c r="Q92" s="2"/>
      <c r="R92" s="6">
        <f t="shared" si="68"/>
        <v>0</v>
      </c>
      <c r="S92" s="2"/>
      <c r="T92" s="7">
        <v>96</v>
      </c>
      <c r="U92" s="2"/>
      <c r="V92" s="6">
        <f t="shared" si="69"/>
        <v>1.6313051814466765E-4</v>
      </c>
      <c r="W92" s="2"/>
      <c r="X92" s="7">
        <f t="shared" si="70"/>
        <v>-96</v>
      </c>
      <c r="Y92" s="2"/>
      <c r="Z92" s="6">
        <f t="shared" si="71"/>
        <v>-1</v>
      </c>
    </row>
    <row r="93" spans="1:26" s="27" customFormat="1" outlineLevel="1" collapsed="1" x14ac:dyDescent="0.25">
      <c r="A93" s="29"/>
      <c r="B93" s="14" t="str">
        <f>CONCATENATE("     ","Utilities                                         ")</f>
        <v xml:space="preserve">     Utilities                                         </v>
      </c>
      <c r="C93" s="14"/>
      <c r="D93" s="1">
        <f>SUM(OSRRefD22_20x_0)</f>
        <v>50</v>
      </c>
      <c r="E93" s="1"/>
      <c r="F93" s="5">
        <f t="shared" si="64"/>
        <v>2.8369277207555308E-2</v>
      </c>
      <c r="G93" s="1"/>
      <c r="H93" s="1">
        <f>SUM(OSRRefH22_20x_0)</f>
        <v>999</v>
      </c>
      <c r="I93" s="1"/>
      <c r="J93" s="5">
        <f t="shared" si="65"/>
        <v>2.4916288503584578E-3</v>
      </c>
      <c r="K93" s="1"/>
      <c r="L93" s="1">
        <f t="shared" si="66"/>
        <v>-949</v>
      </c>
      <c r="M93" s="1"/>
      <c r="N93" s="5">
        <f t="shared" si="67"/>
        <v>-0.94994994994994997</v>
      </c>
      <c r="O93" s="14"/>
      <c r="P93" s="1">
        <f>SUM(OSRRefP22_20x_0)</f>
        <v>150</v>
      </c>
      <c r="Q93" s="1"/>
      <c r="R93" s="5">
        <f t="shared" si="68"/>
        <v>5.7994100066886524E-2</v>
      </c>
      <c r="S93" s="1"/>
      <c r="T93" s="1">
        <f>SUM(OSRRefT22_20x_0)</f>
        <v>1055.1199999999999</v>
      </c>
      <c r="U93" s="1"/>
      <c r="V93" s="5">
        <f t="shared" si="69"/>
        <v>1.7929403365083512E-3</v>
      </c>
      <c r="W93" s="1"/>
      <c r="X93" s="1">
        <f t="shared" si="70"/>
        <v>-905.11999999999989</v>
      </c>
      <c r="Y93" s="1"/>
      <c r="Z93" s="5">
        <f t="shared" si="71"/>
        <v>-0.85783607551747665</v>
      </c>
    </row>
    <row r="94" spans="1:26" s="24" customFormat="1" hidden="1" outlineLevel="2" x14ac:dyDescent="0.25">
      <c r="A94" s="28"/>
      <c r="B94" s="11" t="str">
        <f>CONCATENATE("          ", "6274", " - ", "UTILITIES")</f>
        <v xml:space="preserve">          6274 - UTILITIES</v>
      </c>
      <c r="C94" s="11"/>
      <c r="D94" s="7">
        <v>50</v>
      </c>
      <c r="E94" s="2"/>
      <c r="F94" s="6">
        <f t="shared" si="64"/>
        <v>2.8369277207555308E-2</v>
      </c>
      <c r="G94" s="2"/>
      <c r="H94" s="7">
        <v>999</v>
      </c>
      <c r="I94" s="2"/>
      <c r="J94" s="6">
        <f t="shared" si="65"/>
        <v>2.4916288503584578E-3</v>
      </c>
      <c r="K94" s="2"/>
      <c r="L94" s="7">
        <f t="shared" si="66"/>
        <v>-949</v>
      </c>
      <c r="M94" s="2"/>
      <c r="N94" s="6">
        <f t="shared" si="67"/>
        <v>-0.94994994994994997</v>
      </c>
      <c r="O94" s="11"/>
      <c r="P94" s="7">
        <v>150</v>
      </c>
      <c r="Q94" s="2"/>
      <c r="R94" s="6">
        <f t="shared" si="68"/>
        <v>5.7994100066886524E-2</v>
      </c>
      <c r="S94" s="2"/>
      <c r="T94" s="7">
        <v>1055.1199999999999</v>
      </c>
      <c r="U94" s="2"/>
      <c r="V94" s="6">
        <f t="shared" si="69"/>
        <v>1.7929403365083512E-3</v>
      </c>
      <c r="W94" s="2"/>
      <c r="X94" s="7">
        <f t="shared" si="70"/>
        <v>-905.11999999999989</v>
      </c>
      <c r="Y94" s="2"/>
      <c r="Z94" s="6">
        <f t="shared" si="71"/>
        <v>-0.85783607551747665</v>
      </c>
    </row>
    <row r="95" spans="1:26" s="60" customFormat="1" x14ac:dyDescent="0.25">
      <c r="A95" s="37"/>
      <c r="B95" s="37"/>
      <c r="C95" s="37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7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6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5" t="s">
        <v>3</v>
      </c>
      <c r="C98" s="25"/>
      <c r="D98" s="22">
        <f>+D26-D28+D96</f>
        <v>-30477.680000000004</v>
      </c>
      <c r="E98" s="13"/>
      <c r="F98" s="21">
        <f>IF(D$12=0,0,D98/D$12)</f>
        <v>-17.292595051263287</v>
      </c>
      <c r="G98" s="13"/>
      <c r="H98" s="22">
        <f>+H26-H28+H96</f>
        <v>93215.190000000075</v>
      </c>
      <c r="I98" s="13"/>
      <c r="J98" s="21">
        <f>IF(H$12=0,0,H98/H$12)</f>
        <v>0.23249014684248787</v>
      </c>
      <c r="K98" s="15"/>
      <c r="L98" s="22">
        <f>+D98-H98</f>
        <v>-123692.87000000008</v>
      </c>
      <c r="M98" s="15"/>
      <c r="N98" s="21">
        <f>IF(H98=0,0,L98/H98)</f>
        <v>-1.3269604449661045</v>
      </c>
      <c r="O98" s="26"/>
      <c r="P98" s="22">
        <f>+P26-P28+P96</f>
        <v>-92637.78</v>
      </c>
      <c r="Q98" s="13"/>
      <c r="R98" s="21">
        <f>IF(P$12=0,0,P98/P$12)</f>
        <v>-35.816297888628128</v>
      </c>
      <c r="S98" s="13"/>
      <c r="T98" s="22">
        <f>+T26-T28+T96</f>
        <v>16824.220000000088</v>
      </c>
      <c r="U98" s="13"/>
      <c r="V98" s="21">
        <f>IF(T$12=0,0,T98/T$12)</f>
        <v>2.8588997145623907E-2</v>
      </c>
      <c r="W98" s="15"/>
      <c r="X98" s="22">
        <f>+P98-T98</f>
        <v>-109462.00000000009</v>
      </c>
      <c r="Y98" s="15"/>
      <c r="Z98" s="21">
        <f>IF(T98=0,0,X98/T98)</f>
        <v>-6.5062154441632067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1"/>
      <c r="B100" s="10" t="s">
        <v>13</v>
      </c>
      <c r="C100" s="10"/>
      <c r="D100" s="4">
        <v>340.04</v>
      </c>
      <c r="E100" s="4"/>
      <c r="F100" s="12">
        <f>IF(D$12=0,0,D100/D$12)</f>
        <v>0.19293378043314216</v>
      </c>
      <c r="G100" s="4"/>
      <c r="H100" s="4">
        <v>39827.939999999995</v>
      </c>
      <c r="I100" s="4"/>
      <c r="J100" s="12">
        <f>IF(H$12=0,0,H100/H$12)</f>
        <v>9.9335780134480092E-2</v>
      </c>
      <c r="K100" s="4"/>
      <c r="L100" s="4">
        <f>+D100-H100</f>
        <v>-39487.899999999994</v>
      </c>
      <c r="M100" s="4"/>
      <c r="N100" s="12">
        <f>IF(H100=0,0,L100/H100)</f>
        <v>-0.99146227497580841</v>
      </c>
      <c r="O100" s="10"/>
      <c r="P100" s="4">
        <v>479.16</v>
      </c>
      <c r="Q100" s="4"/>
      <c r="R100" s="12">
        <f>IF(P$12=0,0,P100/P$12)</f>
        <v>0.18525635325366233</v>
      </c>
      <c r="S100" s="4"/>
      <c r="T100" s="4">
        <v>63211.170000000006</v>
      </c>
      <c r="U100" s="4"/>
      <c r="V100" s="12">
        <f>IF(T$12=0,0,T100/T$12)</f>
        <v>0.1074132386940695</v>
      </c>
      <c r="W100" s="4"/>
      <c r="X100" s="4">
        <f>+P100-T100</f>
        <v>-62732.01</v>
      </c>
      <c r="Y100" s="4"/>
      <c r="Z100" s="12">
        <f>IF(T100=0,0,X100/T100)</f>
        <v>-0.99241969417746889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5" t="s">
        <v>4</v>
      </c>
      <c r="C102" s="25"/>
      <c r="D102" s="33">
        <f>+D98-D100</f>
        <v>-30817.720000000005</v>
      </c>
      <c r="E102" s="13"/>
      <c r="F102" s="32">
        <f>IF(D$12=0,0,D102/D$12)</f>
        <v>-17.485528831696431</v>
      </c>
      <c r="G102" s="13"/>
      <c r="H102" s="33">
        <f>+H98-H100</f>
        <v>53387.25000000008</v>
      </c>
      <c r="I102" s="13"/>
      <c r="J102" s="32">
        <f>IF(H$12=0,0,H102/H$12)</f>
        <v>0.13315436670800776</v>
      </c>
      <c r="K102" s="15"/>
      <c r="L102" s="33">
        <f>D102-H102</f>
        <v>-84204.970000000088</v>
      </c>
      <c r="M102" s="15"/>
      <c r="N102" s="32">
        <f>IF(H102=0,0,L102/H102)</f>
        <v>-1.5772486876548233</v>
      </c>
      <c r="O102" s="26"/>
      <c r="P102" s="33">
        <f>+P98-P100</f>
        <v>-93116.94</v>
      </c>
      <c r="Q102" s="13"/>
      <c r="R102" s="32">
        <f>IF(P$12=0,0,P102/P$12)</f>
        <v>-36.001554241881792</v>
      </c>
      <c r="S102" s="13"/>
      <c r="T102" s="33">
        <f>+T98-T100</f>
        <v>-46386.949999999917</v>
      </c>
      <c r="U102" s="13"/>
      <c r="V102" s="32">
        <f>IF(T$12=0,0,T102/T$12)</f>
        <v>-7.8824241548445598E-2</v>
      </c>
      <c r="W102" s="15"/>
      <c r="X102" s="33">
        <f>P102-T102</f>
        <v>-46729.990000000085</v>
      </c>
      <c r="Y102" s="15"/>
      <c r="Z102" s="32">
        <f>IF(T102=0,0,X102/T102)</f>
        <v>1.0073951833435948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5" t="s">
        <v>5</v>
      </c>
      <c r="C105" s="25"/>
      <c r="D105" s="34">
        <f>SUM(D102:D104)</f>
        <v>-30817.720000000005</v>
      </c>
      <c r="E105" s="13"/>
      <c r="F105" s="31">
        <f>IF(D$12=0,0,D105/D$12)</f>
        <v>-17.485528831696431</v>
      </c>
      <c r="G105" s="13"/>
      <c r="H105" s="34">
        <f>SUM(H102:H104)</f>
        <v>53387.25000000008</v>
      </c>
      <c r="I105" s="13"/>
      <c r="J105" s="31">
        <f>IF(H$12=0,0,H105/H$12)</f>
        <v>0.13315436670800776</v>
      </c>
      <c r="K105" s="15"/>
      <c r="L105" s="34">
        <f>+D105-H105</f>
        <v>-84204.970000000088</v>
      </c>
      <c r="M105" s="15"/>
      <c r="N105" s="31">
        <f>IF(H105=0,0,L105/H105)</f>
        <v>-1.5772486876548233</v>
      </c>
      <c r="O105" s="26"/>
      <c r="P105" s="34">
        <f>SUM(P102:P104)</f>
        <v>-93116.94</v>
      </c>
      <c r="Q105" s="13"/>
      <c r="R105" s="31">
        <f>IF(P$12=0,0,P105/P$12)</f>
        <v>-36.001554241881792</v>
      </c>
      <c r="S105" s="13"/>
      <c r="T105" s="34">
        <f>SUM(T102:T104)</f>
        <v>-46386.949999999917</v>
      </c>
      <c r="U105" s="13"/>
      <c r="V105" s="31">
        <f>IF(T$12=0,0,T105/T$12)</f>
        <v>-7.8824241548445598E-2</v>
      </c>
      <c r="W105" s="15"/>
      <c r="X105" s="34">
        <f>+P105-T105</f>
        <v>-46729.990000000085</v>
      </c>
      <c r="Y105" s="15"/>
      <c r="Z105" s="31">
        <f>IF(T105=0,0,X105/T105)</f>
        <v>1.0073951833435948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2"/>
      <c r="K106" s="18"/>
      <c r="L106" s="18"/>
      <c r="M106" s="18"/>
      <c r="P106" s="18"/>
      <c r="Q106" s="18"/>
      <c r="R106" s="42"/>
      <c r="S106" s="18"/>
      <c r="T106" s="18"/>
      <c r="U106" s="18"/>
      <c r="V106" s="42"/>
      <c r="W106" s="18"/>
      <c r="X106" s="18"/>
    </row>
    <row r="107" spans="1:26" x14ac:dyDescent="0.25">
      <c r="A107" s="9"/>
      <c r="B107" s="54">
        <v>44123.564696180554</v>
      </c>
      <c r="D107" s="18"/>
      <c r="E107" s="18"/>
      <c r="G107" s="18"/>
      <c r="H107" s="18"/>
      <c r="I107" s="18"/>
      <c r="J107" s="42"/>
      <c r="K107" s="18"/>
      <c r="L107" s="18"/>
      <c r="M107" s="18"/>
      <c r="P107" s="18"/>
      <c r="Q107" s="18"/>
      <c r="R107" s="42"/>
      <c r="S107" s="18"/>
      <c r="T107" s="18"/>
      <c r="U107" s="18"/>
      <c r="V107" s="42"/>
      <c r="W107" s="18"/>
      <c r="X107" s="18"/>
    </row>
    <row r="108" spans="1:26" x14ac:dyDescent="0.25">
      <c r="A108" s="9"/>
      <c r="B108" s="59" t="s">
        <v>313</v>
      </c>
      <c r="D108" s="18"/>
      <c r="E108" s="18"/>
      <c r="G108" s="18"/>
      <c r="H108" s="18"/>
      <c r="I108" s="18"/>
      <c r="J108" s="42"/>
      <c r="K108" s="18"/>
      <c r="L108" s="18"/>
      <c r="M108" s="18"/>
      <c r="P108" s="18"/>
      <c r="Q108" s="18"/>
      <c r="R108" s="42"/>
      <c r="S108" s="18"/>
      <c r="T108" s="18"/>
      <c r="U108" s="18"/>
      <c r="V108" s="42"/>
      <c r="W108" s="18"/>
      <c r="X108" s="18"/>
    </row>
    <row r="109" spans="1:26" x14ac:dyDescent="0.25">
      <c r="A109" s="9"/>
      <c r="B109" s="58"/>
      <c r="D109" s="18"/>
      <c r="E109" s="18"/>
      <c r="G109" s="18"/>
      <c r="H109" s="18"/>
      <c r="I109" s="18"/>
      <c r="J109" s="42"/>
      <c r="K109" s="18"/>
      <c r="L109" s="18"/>
      <c r="M109" s="18"/>
      <c r="P109" s="18"/>
      <c r="Q109" s="18"/>
      <c r="R109" s="42"/>
      <c r="S109" s="18"/>
      <c r="T109" s="18"/>
      <c r="U109" s="18"/>
      <c r="V109" s="42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2"/>
      <c r="K110" s="18"/>
      <c r="L110" s="18"/>
      <c r="M110" s="18"/>
      <c r="P110" s="18"/>
      <c r="Q110" s="18"/>
      <c r="R110" s="42"/>
      <c r="S110" s="18"/>
      <c r="T110" s="18"/>
      <c r="U110" s="18"/>
      <c r="V110" s="42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53709.57</v>
      </c>
      <c r="I12" s="4"/>
      <c r="J12" s="12"/>
      <c r="K12" s="4"/>
      <c r="L12" s="4">
        <f t="shared" ref="L12:L14" si="0">+D12-H12</f>
        <v>-53709.57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73597.63</v>
      </c>
      <c r="U12" s="4"/>
      <c r="V12" s="12"/>
      <c r="W12" s="4"/>
      <c r="X12" s="4">
        <f t="shared" ref="X12:X14" si="2">+P12-T12</f>
        <v>-73597.63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--11973.47</f>
        <v>11973.47</v>
      </c>
      <c r="I13" s="2"/>
      <c r="J13" s="19"/>
      <c r="K13" s="2"/>
      <c r="L13" s="2">
        <f t="shared" si="0"/>
        <v>-11973.47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--15660.77</f>
        <v>15660.77</v>
      </c>
      <c r="U13" s="2"/>
      <c r="V13" s="19"/>
      <c r="W13" s="2"/>
      <c r="X13" s="2">
        <f t="shared" si="2"/>
        <v>-15660.77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--41736.1</f>
        <v>41736.1</v>
      </c>
      <c r="I14" s="2"/>
      <c r="J14" s="19"/>
      <c r="K14" s="2"/>
      <c r="L14" s="2">
        <f t="shared" si="0"/>
        <v>-41736.1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--57936.86</f>
        <v>57936.86</v>
      </c>
      <c r="U14" s="2"/>
      <c r="V14" s="19"/>
      <c r="W14" s="2"/>
      <c r="X14" s="2">
        <f t="shared" si="2"/>
        <v>-57936.86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24567.449999999997</v>
      </c>
      <c r="I16" s="4"/>
      <c r="J16" s="12">
        <f t="shared" ref="J16:J18" si="7">IF(H$12=0,0,H16/H$12)</f>
        <v>0.45741289680777553</v>
      </c>
      <c r="K16" s="4"/>
      <c r="L16" s="4">
        <f t="shared" ref="L16:L18" si="8">+D16-H16</f>
        <v>-24567.449999999997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34124.639999999999</v>
      </c>
      <c r="U16" s="4"/>
      <c r="V16" s="12">
        <f t="shared" ref="V16:V18" si="11">IF(T$12=0,0,T16/T$12)</f>
        <v>0.46366493051474617</v>
      </c>
      <c r="W16" s="4"/>
      <c r="X16" s="4">
        <f t="shared" ref="X16:X18" si="12">+P16-T16</f>
        <v>-34124.639999999999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25708.809999999998</v>
      </c>
      <c r="I17" s="2"/>
      <c r="J17" s="19">
        <f t="shared" si="7"/>
        <v>0.47866348585550023</v>
      </c>
      <c r="K17" s="2"/>
      <c r="L17" s="2">
        <f t="shared" si="8"/>
        <v>-25708.809999999998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41151.29</v>
      </c>
      <c r="U17" s="2"/>
      <c r="V17" s="19">
        <f t="shared" si="11"/>
        <v>0.55913879292036983</v>
      </c>
      <c r="W17" s="2"/>
      <c r="X17" s="2">
        <f t="shared" si="12"/>
        <v>-41151.29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-1141.3599999999999</v>
      </c>
      <c r="I18" s="2"/>
      <c r="J18" s="19">
        <f t="shared" si="7"/>
        <v>-2.125058904772464E-2</v>
      </c>
      <c r="K18" s="2"/>
      <c r="L18" s="2">
        <f t="shared" si="8"/>
        <v>1141.3599999999999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-7026.65</v>
      </c>
      <c r="U18" s="2"/>
      <c r="V18" s="19">
        <f t="shared" si="11"/>
        <v>-9.5473862405623652E-2</v>
      </c>
      <c r="W18" s="2"/>
      <c r="X18" s="2">
        <f t="shared" si="12"/>
        <v>7026.65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29142.120000000003</v>
      </c>
      <c r="I20" s="13"/>
      <c r="J20" s="21">
        <f>IF(H$12=0,0,H20/H$12)</f>
        <v>0.54258710319222447</v>
      </c>
      <c r="K20" s="15"/>
      <c r="L20" s="22">
        <f>+D20-H20</f>
        <v>-29142.120000000003</v>
      </c>
      <c r="M20" s="15"/>
      <c r="N20" s="21">
        <f>IF(H20=0,0,L20/H20)</f>
        <v>-1</v>
      </c>
      <c r="O20" s="26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39472.990000000005</v>
      </c>
      <c r="U20" s="13"/>
      <c r="V20" s="21">
        <f>IF(T$12=0,0,T20/T$12)</f>
        <v>0.53633506948525389</v>
      </c>
      <c r="W20" s="15"/>
      <c r="X20" s="22">
        <f>+P20-T20</f>
        <v>-39472.990000000005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630.27</v>
      </c>
      <c r="E22" s="20"/>
      <c r="F22" s="36">
        <f t="shared" ref="F22:F31" si="14">IF(D$12=0,0,D22/D$12)</f>
        <v>0</v>
      </c>
      <c r="G22" s="20"/>
      <c r="H22" s="20">
        <f>SUM(OSRRefH22x_0)</f>
        <v>18966.000000000004</v>
      </c>
      <c r="I22" s="20"/>
      <c r="J22" s="36">
        <f t="shared" ref="J22:J31" si="15">IF(H$12=0,0,H22/H$12)</f>
        <v>0.35312142696357474</v>
      </c>
      <c r="K22" s="4"/>
      <c r="L22" s="20">
        <f t="shared" ref="L22:L31" si="16">+D22-H22</f>
        <v>-18335.730000000003</v>
      </c>
      <c r="M22" s="4"/>
      <c r="N22" s="36">
        <f t="shared" ref="N22:N31" si="17">IF(H22=0,0,L22/H22)</f>
        <v>-0.96676842771274907</v>
      </c>
      <c r="O22" s="10"/>
      <c r="P22" s="20">
        <f>SUM(OSRRefP22x_0)</f>
        <v>1581.3899999999999</v>
      </c>
      <c r="Q22" s="20"/>
      <c r="R22" s="36">
        <f t="shared" ref="R22:R31" si="18">IF(P$12=0,0,P22/P$12)</f>
        <v>0</v>
      </c>
      <c r="S22" s="20"/>
      <c r="T22" s="20">
        <f>SUM(OSRRefT22x_0)</f>
        <v>44911.360000000008</v>
      </c>
      <c r="U22" s="20"/>
      <c r="V22" s="36">
        <f t="shared" ref="V22:V31" si="19">IF(T$12=0,0,T22/T$12)</f>
        <v>0.61022834566819617</v>
      </c>
      <c r="W22" s="4"/>
      <c r="X22" s="20">
        <f t="shared" ref="X22:X31" si="20">+P22-T22</f>
        <v>-43329.970000000008</v>
      </c>
      <c r="Y22" s="4"/>
      <c r="Z22" s="36">
        <f t="shared" ref="Z22:Z31" si="21">IF(T22=0,0,X22/T22)</f>
        <v>-0.96478864144839971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2029.3700000000001</v>
      </c>
      <c r="I23" s="1"/>
      <c r="J23" s="5">
        <f t="shared" si="15"/>
        <v>3.7784141634349337E-2</v>
      </c>
      <c r="K23" s="1"/>
      <c r="L23" s="1">
        <f t="shared" si="16"/>
        <v>-2029.3700000000001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6032.5400000000009</v>
      </c>
      <c r="U23" s="1"/>
      <c r="V23" s="5">
        <f t="shared" si="19"/>
        <v>8.1966498105985219E-2</v>
      </c>
      <c r="W23" s="1"/>
      <c r="X23" s="1">
        <f t="shared" si="20"/>
        <v>-6032.5400000000009</v>
      </c>
      <c r="Y23" s="1"/>
      <c r="Z23" s="5">
        <f t="shared" si="21"/>
        <v>-1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372.65</v>
      </c>
      <c r="I24" s="2"/>
      <c r="J24" s="6">
        <f t="shared" si="15"/>
        <v>6.9382421047124374E-3</v>
      </c>
      <c r="K24" s="2"/>
      <c r="L24" s="7">
        <f t="shared" si="16"/>
        <v>-372.65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1076.28</v>
      </c>
      <c r="U24" s="2"/>
      <c r="V24" s="6">
        <f t="shared" si="19"/>
        <v>1.4623840468775963E-2</v>
      </c>
      <c r="W24" s="2"/>
      <c r="X24" s="7">
        <f t="shared" si="20"/>
        <v>-1076.28</v>
      </c>
      <c r="Y24" s="2"/>
      <c r="Z24" s="6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193.07</v>
      </c>
      <c r="I25" s="2"/>
      <c r="J25" s="6">
        <f t="shared" si="15"/>
        <v>3.5947038861044688E-3</v>
      </c>
      <c r="K25" s="2"/>
      <c r="L25" s="7">
        <f t="shared" si="16"/>
        <v>-193.07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479.85</v>
      </c>
      <c r="U25" s="2"/>
      <c r="V25" s="6">
        <f t="shared" si="19"/>
        <v>6.5199110351787139E-3</v>
      </c>
      <c r="W25" s="2"/>
      <c r="X25" s="7">
        <f t="shared" si="20"/>
        <v>-479.85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965.94</v>
      </c>
      <c r="I26" s="2"/>
      <c r="J26" s="6">
        <f t="shared" si="15"/>
        <v>1.7984504437477344E-2</v>
      </c>
      <c r="K26" s="2"/>
      <c r="L26" s="7">
        <f t="shared" si="16"/>
        <v>-965.94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2897.82</v>
      </c>
      <c r="U26" s="2"/>
      <c r="V26" s="6">
        <f t="shared" si="19"/>
        <v>3.9373822227699452E-2</v>
      </c>
      <c r="W26" s="2"/>
      <c r="X26" s="7">
        <f t="shared" si="20"/>
        <v>-2897.82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26.42</v>
      </c>
      <c r="I27" s="2"/>
      <c r="J27" s="6">
        <f t="shared" si="15"/>
        <v>4.9190488771367941E-4</v>
      </c>
      <c r="K27" s="2"/>
      <c r="L27" s="7">
        <f t="shared" si="16"/>
        <v>-26.42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53.74</v>
      </c>
      <c r="U27" s="2"/>
      <c r="V27" s="6">
        <f t="shared" si="19"/>
        <v>7.3018655627905403E-4</v>
      </c>
      <c r="W27" s="2"/>
      <c r="X27" s="7">
        <f t="shared" si="20"/>
        <v>-53.74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134.11000000000001</v>
      </c>
      <c r="I28" s="2"/>
      <c r="J28" s="6">
        <f t="shared" si="15"/>
        <v>2.4969479368388168E-3</v>
      </c>
      <c r="K28" s="2"/>
      <c r="L28" s="7">
        <f t="shared" si="16"/>
        <v>-134.11000000000001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402.33</v>
      </c>
      <c r="U28" s="2"/>
      <c r="V28" s="6">
        <f t="shared" si="19"/>
        <v>5.4666162483764753E-3</v>
      </c>
      <c r="W28" s="2"/>
      <c r="X28" s="7">
        <f t="shared" si="20"/>
        <v>-402.33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73.92</v>
      </c>
      <c r="I29" s="2"/>
      <c r="J29" s="6">
        <f t="shared" si="15"/>
        <v>1.37629104087037E-3</v>
      </c>
      <c r="K29" s="2"/>
      <c r="L29" s="7">
        <f t="shared" si="16"/>
        <v>-73.92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295.68</v>
      </c>
      <c r="U29" s="2"/>
      <c r="V29" s="6">
        <f t="shared" si="19"/>
        <v>4.0175206728803627E-3</v>
      </c>
      <c r="W29" s="2"/>
      <c r="X29" s="7">
        <f t="shared" si="20"/>
        <v>-295.68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88.56</v>
      </c>
      <c r="I30" s="2"/>
      <c r="J30" s="6">
        <f t="shared" si="15"/>
        <v>1.6488681626011901E-3</v>
      </c>
      <c r="K30" s="2"/>
      <c r="L30" s="7">
        <f t="shared" si="16"/>
        <v>-88.56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354.24</v>
      </c>
      <c r="U30" s="2"/>
      <c r="V30" s="6">
        <f t="shared" si="19"/>
        <v>4.8131984684832924E-3</v>
      </c>
      <c r="W30" s="2"/>
      <c r="X30" s="7">
        <f t="shared" si="20"/>
        <v>-354.24</v>
      </c>
      <c r="Y30" s="2"/>
      <c r="Z30" s="6">
        <f t="shared" si="21"/>
        <v>-1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174.7</v>
      </c>
      <c r="I31" s="2"/>
      <c r="J31" s="6">
        <f t="shared" si="15"/>
        <v>3.2526791780310284E-3</v>
      </c>
      <c r="K31" s="2"/>
      <c r="L31" s="7">
        <f t="shared" si="16"/>
        <v>-174.7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472.6</v>
      </c>
      <c r="U31" s="2"/>
      <c r="V31" s="6">
        <f t="shared" si="19"/>
        <v>6.42140242831189E-3</v>
      </c>
      <c r="W31" s="2"/>
      <c r="X31" s="7">
        <f t="shared" si="20"/>
        <v>-472.6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10515.58</v>
      </c>
      <c r="I32" s="1"/>
      <c r="J32" s="5">
        <f t="shared" ref="J32:J36" si="23">IF(H$12=0,0,H32/H$12)</f>
        <v>0.19578596514550387</v>
      </c>
      <c r="K32" s="1"/>
      <c r="L32" s="1">
        <f t="shared" ref="L32:L36" si="24">+D32-H32</f>
        <v>-10515.58</v>
      </c>
      <c r="M32" s="1"/>
      <c r="N32" s="5">
        <f t="shared" ref="N32:N36" si="25">IF(H32=0,0,L32/H32)</f>
        <v>-1</v>
      </c>
      <c r="O32" s="14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22105.699999999997</v>
      </c>
      <c r="U32" s="1"/>
      <c r="V32" s="5">
        <f t="shared" ref="V32:V36" si="27">IF(T$12=0,0,T32/T$12)</f>
        <v>0.30035885666427026</v>
      </c>
      <c r="W32" s="1"/>
      <c r="X32" s="1">
        <f t="shared" ref="X32:X36" si="28">+P32-T32</f>
        <v>-22105.699999999997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1920</v>
      </c>
      <c r="I33" s="2"/>
      <c r="J33" s="6">
        <f t="shared" si="23"/>
        <v>3.5747819243386235E-2</v>
      </c>
      <c r="K33" s="2"/>
      <c r="L33" s="7">
        <f t="shared" si="24"/>
        <v>-1920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5856</v>
      </c>
      <c r="U33" s="2"/>
      <c r="V33" s="6">
        <f t="shared" si="27"/>
        <v>7.9567779560292901E-2</v>
      </c>
      <c r="W33" s="2"/>
      <c r="X33" s="7">
        <f t="shared" si="28"/>
        <v>-5856</v>
      </c>
      <c r="Y33" s="2"/>
      <c r="Z33" s="6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2951.08</v>
      </c>
      <c r="I34" s="2"/>
      <c r="J34" s="6">
        <f t="shared" si="23"/>
        <v>5.4945142923318882E-2</v>
      </c>
      <c r="K34" s="2"/>
      <c r="L34" s="7">
        <f t="shared" si="24"/>
        <v>-2951.08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6444.08</v>
      </c>
      <c r="U34" s="2"/>
      <c r="V34" s="6">
        <f t="shared" si="27"/>
        <v>8.7558254253567669E-2</v>
      </c>
      <c r="W34" s="2"/>
      <c r="X34" s="7">
        <f t="shared" si="28"/>
        <v>-6444.08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>
        <v>57</v>
      </c>
      <c r="I35" s="2"/>
      <c r="J35" s="6">
        <f t="shared" si="23"/>
        <v>1.0612633837880289E-3</v>
      </c>
      <c r="K35" s="2"/>
      <c r="L35" s="7">
        <f t="shared" si="24"/>
        <v>-57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173.63</v>
      </c>
      <c r="U35" s="2"/>
      <c r="V35" s="6">
        <f t="shared" si="27"/>
        <v>2.3591792290050644E-3</v>
      </c>
      <c r="W35" s="2"/>
      <c r="X35" s="7">
        <f t="shared" si="28"/>
        <v>-173.63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5587.5</v>
      </c>
      <c r="I36" s="2"/>
      <c r="J36" s="6">
        <f t="shared" si="23"/>
        <v>0.10403173959501072</v>
      </c>
      <c r="K36" s="2"/>
      <c r="L36" s="7">
        <f t="shared" si="24"/>
        <v>-5587.5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9631.99</v>
      </c>
      <c r="U36" s="2"/>
      <c r="V36" s="6">
        <f t="shared" si="27"/>
        <v>0.13087364362140463</v>
      </c>
      <c r="W36" s="2"/>
      <c r="X36" s="7">
        <f t="shared" si="28"/>
        <v>-9631.99</v>
      </c>
      <c r="Y36" s="2"/>
      <c r="Z36" s="6">
        <f t="shared" si="29"/>
        <v>-1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9" si="30">IF(D$12=0,0,D37/D$12)</f>
        <v>0</v>
      </c>
      <c r="G37" s="1"/>
      <c r="H37" s="1">
        <f>SUM(OSRRefH22_2x_0)</f>
        <v>15.44</v>
      </c>
      <c r="I37" s="1"/>
      <c r="J37" s="5">
        <f t="shared" ref="J37:J49" si="31">IF(H$12=0,0,H37/H$12)</f>
        <v>2.8747204641556431E-4</v>
      </c>
      <c r="K37" s="1"/>
      <c r="L37" s="1">
        <f t="shared" ref="L37:L49" si="32">+D37-H37</f>
        <v>-15.44</v>
      </c>
      <c r="M37" s="1"/>
      <c r="N37" s="5">
        <f t="shared" ref="N37:N49" si="33">IF(H37=0,0,L37/H37)</f>
        <v>-1</v>
      </c>
      <c r="O37" s="14"/>
      <c r="P37" s="1">
        <f>SUM(OSRRefP22_2x_0)</f>
        <v>0</v>
      </c>
      <c r="Q37" s="1"/>
      <c r="R37" s="5">
        <f t="shared" ref="R37:R49" si="34">IF(P$12=0,0,P37/P$12)</f>
        <v>0</v>
      </c>
      <c r="S37" s="1"/>
      <c r="T37" s="1">
        <f>SUM(OSRRefT22_2x_0)</f>
        <v>320.44</v>
      </c>
      <c r="U37" s="1"/>
      <c r="V37" s="5">
        <f t="shared" ref="V37:V49" si="35">IF(T$12=0,0,T37/T$12)</f>
        <v>4.3539445495731311E-3</v>
      </c>
      <c r="W37" s="1"/>
      <c r="X37" s="1">
        <f t="shared" ref="X37:X49" si="36">+P37-T37</f>
        <v>-320.44</v>
      </c>
      <c r="Y37" s="1"/>
      <c r="Z37" s="5">
        <f t="shared" ref="Z37:Z49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>
        <v>15.44</v>
      </c>
      <c r="I38" s="2"/>
      <c r="J38" s="6">
        <f t="shared" si="31"/>
        <v>2.8747204641556431E-4</v>
      </c>
      <c r="K38" s="2"/>
      <c r="L38" s="7">
        <f t="shared" si="32"/>
        <v>-15.44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320.44</v>
      </c>
      <c r="U38" s="2"/>
      <c r="V38" s="6">
        <f t="shared" si="35"/>
        <v>4.3539445495731311E-3</v>
      </c>
      <c r="W38" s="2"/>
      <c r="X38" s="7">
        <f t="shared" si="36"/>
        <v>-320.44</v>
      </c>
      <c r="Y38" s="2"/>
      <c r="Z38" s="6">
        <f t="shared" si="37"/>
        <v>-1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-28.09</v>
      </c>
      <c r="I39" s="1"/>
      <c r="J39" s="5">
        <f t="shared" si="31"/>
        <v>-5.2299804299308294E-4</v>
      </c>
      <c r="K39" s="1"/>
      <c r="L39" s="1">
        <f t="shared" si="32"/>
        <v>28.09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-3.2</v>
      </c>
      <c r="U39" s="1"/>
      <c r="V39" s="5">
        <f t="shared" si="35"/>
        <v>-4.3479660961908694E-5</v>
      </c>
      <c r="W39" s="1"/>
      <c r="X39" s="1">
        <f t="shared" si="36"/>
        <v>3.2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-28.09</v>
      </c>
      <c r="I40" s="2"/>
      <c r="J40" s="6">
        <f t="shared" si="31"/>
        <v>-5.2299804299308294E-4</v>
      </c>
      <c r="K40" s="2"/>
      <c r="L40" s="7">
        <f t="shared" si="32"/>
        <v>28.09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-3.2</v>
      </c>
      <c r="U40" s="2"/>
      <c r="V40" s="6">
        <f t="shared" si="35"/>
        <v>-4.3479660961908694E-5</v>
      </c>
      <c r="W40" s="2"/>
      <c r="X40" s="7">
        <f t="shared" si="36"/>
        <v>3.2</v>
      </c>
      <c r="Y40" s="2"/>
      <c r="Z40" s="6">
        <f t="shared" si="37"/>
        <v>-1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1814.59</v>
      </c>
      <c r="I41" s="1"/>
      <c r="J41" s="5">
        <f t="shared" si="31"/>
        <v>3.3785226729612615E-2</v>
      </c>
      <c r="K41" s="1"/>
      <c r="L41" s="1">
        <f t="shared" si="32"/>
        <v>-1814.59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2413.33</v>
      </c>
      <c r="U41" s="1"/>
      <c r="V41" s="5">
        <f t="shared" si="35"/>
        <v>3.2790865684125967E-2</v>
      </c>
      <c r="W41" s="1"/>
      <c r="X41" s="1">
        <f t="shared" si="36"/>
        <v>-2413.33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1814.59</v>
      </c>
      <c r="I42" s="2"/>
      <c r="J42" s="6">
        <f t="shared" si="31"/>
        <v>3.3785226729612615E-2</v>
      </c>
      <c r="K42" s="2"/>
      <c r="L42" s="7">
        <f t="shared" si="32"/>
        <v>-1814.59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2413.33</v>
      </c>
      <c r="U42" s="2"/>
      <c r="V42" s="6">
        <f t="shared" si="35"/>
        <v>3.2790865684125967E-2</v>
      </c>
      <c r="W42" s="2"/>
      <c r="X42" s="7">
        <f t="shared" si="36"/>
        <v>-2413.33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588.16999999999996</v>
      </c>
      <c r="E43" s="1"/>
      <c r="F43" s="5">
        <f t="shared" si="30"/>
        <v>0</v>
      </c>
      <c r="G43" s="1"/>
      <c r="H43" s="1">
        <f>SUM(OSRRefH22_5x_0)</f>
        <v>155.66999999999999</v>
      </c>
      <c r="I43" s="1"/>
      <c r="J43" s="5">
        <f t="shared" si="31"/>
        <v>2.8983661570926742E-3</v>
      </c>
      <c r="K43" s="1"/>
      <c r="L43" s="1">
        <f t="shared" si="32"/>
        <v>432.5</v>
      </c>
      <c r="M43" s="1"/>
      <c r="N43" s="5">
        <f t="shared" si="33"/>
        <v>2.778313098220595</v>
      </c>
      <c r="O43" s="14"/>
      <c r="P43" s="1">
        <f>SUM(OSRRefP22_5x_0)</f>
        <v>1500.29</v>
      </c>
      <c r="Q43" s="1"/>
      <c r="R43" s="5">
        <f t="shared" si="34"/>
        <v>0</v>
      </c>
      <c r="S43" s="1"/>
      <c r="T43" s="1">
        <f>SUM(OSRRefT22_5x_0)</f>
        <v>467.01</v>
      </c>
      <c r="U43" s="1"/>
      <c r="V43" s="5">
        <f t="shared" si="35"/>
        <v>6.3454488955690547E-3</v>
      </c>
      <c r="W43" s="1"/>
      <c r="X43" s="1">
        <f t="shared" si="36"/>
        <v>1033.28</v>
      </c>
      <c r="Y43" s="1"/>
      <c r="Z43" s="5">
        <f t="shared" si="37"/>
        <v>2.2125436286160896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588.16999999999996</v>
      </c>
      <c r="E44" s="2"/>
      <c r="F44" s="6">
        <f t="shared" si="30"/>
        <v>0</v>
      </c>
      <c r="G44" s="2"/>
      <c r="H44" s="7">
        <v>155.66999999999999</v>
      </c>
      <c r="I44" s="2"/>
      <c r="J44" s="6">
        <f t="shared" si="31"/>
        <v>2.8983661570926742E-3</v>
      </c>
      <c r="K44" s="2"/>
      <c r="L44" s="7">
        <f t="shared" si="32"/>
        <v>432.5</v>
      </c>
      <c r="M44" s="2"/>
      <c r="N44" s="6">
        <f t="shared" si="33"/>
        <v>2.778313098220595</v>
      </c>
      <c r="O44" s="11"/>
      <c r="P44" s="7">
        <v>1500.29</v>
      </c>
      <c r="Q44" s="2"/>
      <c r="R44" s="6">
        <f t="shared" si="34"/>
        <v>0</v>
      </c>
      <c r="S44" s="2"/>
      <c r="T44" s="7">
        <v>467.01</v>
      </c>
      <c r="U44" s="2"/>
      <c r="V44" s="6">
        <f t="shared" si="35"/>
        <v>6.3454488955690547E-3</v>
      </c>
      <c r="W44" s="2"/>
      <c r="X44" s="7">
        <f t="shared" si="36"/>
        <v>1033.28</v>
      </c>
      <c r="Y44" s="2"/>
      <c r="Z44" s="6">
        <f t="shared" si="37"/>
        <v>2.2125436286160896</v>
      </c>
    </row>
    <row r="45" spans="1:26" s="27" customFormat="1" outlineLevel="1" collapsed="1" x14ac:dyDescent="0.25">
      <c r="A45" s="29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1477.84</v>
      </c>
      <c r="U45" s="1"/>
      <c r="V45" s="5">
        <f t="shared" si="35"/>
        <v>2.0079994423733479E-2</v>
      </c>
      <c r="W45" s="1"/>
      <c r="X45" s="1">
        <f t="shared" si="36"/>
        <v>-1477.84</v>
      </c>
      <c r="Y45" s="1"/>
      <c r="Z45" s="5">
        <f t="shared" si="37"/>
        <v>-1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0"/>
        <v>0</v>
      </c>
      <c r="G46" s="2"/>
      <c r="H46" s="7"/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1477.84</v>
      </c>
      <c r="U46" s="2"/>
      <c r="V46" s="6">
        <f t="shared" si="35"/>
        <v>2.0079994423733479E-2</v>
      </c>
      <c r="W46" s="2"/>
      <c r="X46" s="7">
        <f t="shared" si="36"/>
        <v>-1477.84</v>
      </c>
      <c r="Y46" s="2"/>
      <c r="Z46" s="6">
        <f t="shared" si="37"/>
        <v>-1</v>
      </c>
    </row>
    <row r="47" spans="1:26" s="27" customFormat="1" outlineLevel="1" collapsed="1" x14ac:dyDescent="0.25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48.23</v>
      </c>
      <c r="E47" s="1"/>
      <c r="F47" s="5">
        <f t="shared" si="30"/>
        <v>0</v>
      </c>
      <c r="G47" s="1"/>
      <c r="H47" s="1">
        <f>SUM(OSRRefH22_7x_0)</f>
        <v>3633.36</v>
      </c>
      <c r="I47" s="1"/>
      <c r="J47" s="5">
        <f t="shared" si="31"/>
        <v>6.7648279440703035E-2</v>
      </c>
      <c r="K47" s="1"/>
      <c r="L47" s="1">
        <f t="shared" si="32"/>
        <v>-3585.13</v>
      </c>
      <c r="M47" s="1"/>
      <c r="N47" s="5">
        <f t="shared" si="33"/>
        <v>-0.98672578549882206</v>
      </c>
      <c r="O47" s="14"/>
      <c r="P47" s="1">
        <f>SUM(OSRRefP22_7x_0)</f>
        <v>280.13</v>
      </c>
      <c r="Q47" s="1"/>
      <c r="R47" s="5">
        <f t="shared" si="34"/>
        <v>0</v>
      </c>
      <c r="S47" s="1"/>
      <c r="T47" s="1">
        <f>SUM(OSRRefT22_7x_0)</f>
        <v>5293.76</v>
      </c>
      <c r="U47" s="1"/>
      <c r="V47" s="5">
        <f t="shared" si="35"/>
        <v>7.1928403129285542E-2</v>
      </c>
      <c r="W47" s="1"/>
      <c r="X47" s="1">
        <f t="shared" si="36"/>
        <v>-5013.63</v>
      </c>
      <c r="Y47" s="1"/>
      <c r="Z47" s="5">
        <f t="shared" si="37"/>
        <v>-0.94708298071691954</v>
      </c>
    </row>
    <row r="48" spans="1:26" s="24" customFormat="1" hidden="1" outlineLevel="2" x14ac:dyDescent="0.25">
      <c r="A48" s="28"/>
      <c r="B48" s="11" t="str">
        <f>CONCATENATE("          ", "6373", " - ", "MAINTENANCE CONTRACTS")</f>
        <v xml:space="preserve">          6373 - MAINTENANCE CONTRACTS</v>
      </c>
      <c r="C48" s="11"/>
      <c r="D48" s="7">
        <v>48.23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48.23</v>
      </c>
      <c r="M48" s="2"/>
      <c r="N48" s="6">
        <f t="shared" si="33"/>
        <v>0</v>
      </c>
      <c r="O48" s="11"/>
      <c r="P48" s="7">
        <v>166.13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166.13</v>
      </c>
      <c r="Y48" s="2"/>
      <c r="Z48" s="6">
        <f t="shared" si="37"/>
        <v>0</v>
      </c>
    </row>
    <row r="49" spans="1:26" s="24" customFormat="1" hidden="1" outlineLevel="2" x14ac:dyDescent="0.25">
      <c r="A49" s="28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30"/>
        <v>0</v>
      </c>
      <c r="G49" s="2"/>
      <c r="H49" s="7">
        <v>3633.36</v>
      </c>
      <c r="I49" s="2"/>
      <c r="J49" s="6">
        <f t="shared" si="31"/>
        <v>6.7648279440703035E-2</v>
      </c>
      <c r="K49" s="2"/>
      <c r="L49" s="7">
        <f t="shared" si="32"/>
        <v>-3633.36</v>
      </c>
      <c r="M49" s="2"/>
      <c r="N49" s="6">
        <f t="shared" si="33"/>
        <v>-1</v>
      </c>
      <c r="O49" s="11"/>
      <c r="P49" s="7">
        <v>114</v>
      </c>
      <c r="Q49" s="2"/>
      <c r="R49" s="6">
        <f t="shared" si="34"/>
        <v>0</v>
      </c>
      <c r="S49" s="2"/>
      <c r="T49" s="7">
        <v>5293.76</v>
      </c>
      <c r="U49" s="2"/>
      <c r="V49" s="6">
        <f t="shared" si="35"/>
        <v>7.1928403129285542E-2</v>
      </c>
      <c r="W49" s="2"/>
      <c r="X49" s="7">
        <f t="shared" si="36"/>
        <v>-5179.76</v>
      </c>
      <c r="Y49" s="2"/>
      <c r="Z49" s="6">
        <f t="shared" si="37"/>
        <v>-0.9784652118720909</v>
      </c>
    </row>
    <row r="50" spans="1:26" s="27" customFormat="1" outlineLevel="1" collapsed="1" x14ac:dyDescent="0.25">
      <c r="A50" s="29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0</v>
      </c>
      <c r="E50" s="1"/>
      <c r="F50" s="5">
        <f t="shared" ref="F50:F52" si="38">IF(D$12=0,0,D50/D$12)</f>
        <v>0</v>
      </c>
      <c r="G50" s="1"/>
      <c r="H50" s="1">
        <f>SUM(OSRRefH22_8x_0)</f>
        <v>354.86</v>
      </c>
      <c r="I50" s="1"/>
      <c r="J50" s="5">
        <f t="shared" ref="J50:J52" si="39">IF(H$12=0,0,H50/H$12)</f>
        <v>6.6070162170354376E-3</v>
      </c>
      <c r="K50" s="1"/>
      <c r="L50" s="1">
        <f t="shared" ref="L50:L52" si="40">+D50-H50</f>
        <v>-354.86</v>
      </c>
      <c r="M50" s="1"/>
      <c r="N50" s="5">
        <f t="shared" ref="N50:N52" si="41">IF(H50=0,0,L50/H50)</f>
        <v>-1</v>
      </c>
      <c r="O50" s="14"/>
      <c r="P50" s="1">
        <f>SUM(OSRRefP22_8x_0)</f>
        <v>-374.91999999999996</v>
      </c>
      <c r="Q50" s="1"/>
      <c r="R50" s="5">
        <f t="shared" ref="R50:R52" si="42">IF(P$12=0,0,P50/P$12)</f>
        <v>0</v>
      </c>
      <c r="S50" s="1"/>
      <c r="T50" s="1">
        <f>SUM(OSRRefT22_8x_0)</f>
        <v>1365.58</v>
      </c>
      <c r="U50" s="1"/>
      <c r="V50" s="5">
        <f t="shared" ref="V50:V52" si="43">IF(T$12=0,0,T50/T$12)</f>
        <v>1.8554673567613519E-2</v>
      </c>
      <c r="W50" s="1"/>
      <c r="X50" s="1">
        <f t="shared" ref="X50:X52" si="44">+P50-T50</f>
        <v>-1740.5</v>
      </c>
      <c r="Y50" s="1"/>
      <c r="Z50" s="5">
        <f t="shared" ref="Z50:Z52" si="45">IF(T50=0,0,X50/T50)</f>
        <v>-1.2745500080551855</v>
      </c>
    </row>
    <row r="51" spans="1:26" s="24" customFormat="1" hidden="1" outlineLevel="2" x14ac:dyDescent="0.25">
      <c r="A51" s="28"/>
      <c r="B51" s="11" t="str">
        <f>CONCATENATE("          ", "6282", " - ", "JANITORIAL/EXTERMINATOR EXPENS")</f>
        <v xml:space="preserve">          6282 - JANITORIAL/EXTERMINATOR EXPENS</v>
      </c>
      <c r="C51" s="11"/>
      <c r="D51" s="7"/>
      <c r="E51" s="2"/>
      <c r="F51" s="6">
        <f t="shared" si="38"/>
        <v>0</v>
      </c>
      <c r="G51" s="2"/>
      <c r="H51" s="7">
        <v>327.93</v>
      </c>
      <c r="I51" s="2"/>
      <c r="J51" s="6">
        <f t="shared" si="39"/>
        <v>6.1056158148352331E-3</v>
      </c>
      <c r="K51" s="2"/>
      <c r="L51" s="7">
        <f t="shared" si="40"/>
        <v>-327.93</v>
      </c>
      <c r="M51" s="2"/>
      <c r="N51" s="6">
        <f t="shared" si="41"/>
        <v>-1</v>
      </c>
      <c r="O51" s="11"/>
      <c r="P51" s="7">
        <v>-201.88</v>
      </c>
      <c r="Q51" s="2"/>
      <c r="R51" s="6">
        <f t="shared" si="42"/>
        <v>0</v>
      </c>
      <c r="S51" s="2"/>
      <c r="T51" s="7">
        <v>1311.72</v>
      </c>
      <c r="U51" s="2"/>
      <c r="V51" s="6">
        <f t="shared" si="43"/>
        <v>1.7822856524048396E-2</v>
      </c>
      <c r="W51" s="2"/>
      <c r="X51" s="7">
        <f t="shared" si="44"/>
        <v>-1513.6</v>
      </c>
      <c r="Y51" s="2"/>
      <c r="Z51" s="6">
        <f t="shared" si="45"/>
        <v>-1.153904796755405</v>
      </c>
    </row>
    <row r="52" spans="1:26" s="24" customFormat="1" hidden="1" outlineLevel="2" x14ac:dyDescent="0.25">
      <c r="A52" s="28"/>
      <c r="B52" s="11" t="str">
        <f>CONCATENATE("          ", "6285", " - ", "JANITORIAL SERVICES")</f>
        <v xml:space="preserve">          6285 - JANITORIAL SERVICES</v>
      </c>
      <c r="C52" s="11"/>
      <c r="D52" s="7"/>
      <c r="E52" s="2"/>
      <c r="F52" s="6">
        <f t="shared" si="38"/>
        <v>0</v>
      </c>
      <c r="G52" s="2"/>
      <c r="H52" s="7">
        <v>26.93</v>
      </c>
      <c r="I52" s="2"/>
      <c r="J52" s="6">
        <f t="shared" si="39"/>
        <v>5.0140040220020385E-4</v>
      </c>
      <c r="K52" s="2"/>
      <c r="L52" s="7">
        <f t="shared" si="40"/>
        <v>-26.93</v>
      </c>
      <c r="M52" s="2"/>
      <c r="N52" s="6">
        <f t="shared" si="41"/>
        <v>-1</v>
      </c>
      <c r="O52" s="11"/>
      <c r="P52" s="7">
        <v>-173.04</v>
      </c>
      <c r="Q52" s="2"/>
      <c r="R52" s="6">
        <f t="shared" si="42"/>
        <v>0</v>
      </c>
      <c r="S52" s="2"/>
      <c r="T52" s="7">
        <v>53.86</v>
      </c>
      <c r="U52" s="2"/>
      <c r="V52" s="6">
        <f t="shared" si="43"/>
        <v>7.3181704356512563E-4</v>
      </c>
      <c r="W52" s="2"/>
      <c r="X52" s="7">
        <f t="shared" si="44"/>
        <v>-226.89999999999998</v>
      </c>
      <c r="Y52" s="2"/>
      <c r="Z52" s="6">
        <f t="shared" si="45"/>
        <v>-4.2127738581507606</v>
      </c>
    </row>
    <row r="53" spans="1:26" s="27" customFormat="1" outlineLevel="1" collapsed="1" x14ac:dyDescent="0.25">
      <c r="A53" s="29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0</v>
      </c>
      <c r="E53" s="1"/>
      <c r="F53" s="5">
        <f t="shared" ref="F53:F56" si="46">IF(D$12=0,0,D53/D$12)</f>
        <v>0</v>
      </c>
      <c r="G53" s="1"/>
      <c r="H53" s="1">
        <f>SUM(OSRRefH22_9x_0)</f>
        <v>362.21</v>
      </c>
      <c r="I53" s="1"/>
      <c r="J53" s="5">
        <f t="shared" ref="J53:J56" si="47">IF(H$12=0,0,H53/H$12)</f>
        <v>6.743863337576525E-3</v>
      </c>
      <c r="K53" s="1"/>
      <c r="L53" s="1">
        <f t="shared" ref="L53:L56" si="48">+D53-H53</f>
        <v>-362.21</v>
      </c>
      <c r="M53" s="1"/>
      <c r="N53" s="5">
        <f t="shared" ref="N53:N56" si="49">IF(H53=0,0,L53/H53)</f>
        <v>-1</v>
      </c>
      <c r="O53" s="14"/>
      <c r="P53" s="1">
        <f>SUM(OSRRefP22_9x_0)</f>
        <v>0</v>
      </c>
      <c r="Q53" s="1"/>
      <c r="R53" s="5">
        <f t="shared" ref="R53:R56" si="50">IF(P$12=0,0,P53/P$12)</f>
        <v>0</v>
      </c>
      <c r="S53" s="1"/>
      <c r="T53" s="1">
        <f>SUM(OSRRefT22_9x_0)</f>
        <v>5165.33</v>
      </c>
      <c r="U53" s="1"/>
      <c r="V53" s="5">
        <f t="shared" ref="V53:V56" si="51">IF(T$12=0,0,T53/T$12)</f>
        <v>7.0183374111367436E-2</v>
      </c>
      <c r="W53" s="1"/>
      <c r="X53" s="1">
        <f t="shared" ref="X53:X56" si="52">+P53-T53</f>
        <v>-5165.33</v>
      </c>
      <c r="Y53" s="1"/>
      <c r="Z53" s="5">
        <f t="shared" ref="Z53:Z56" si="53">IF(T53=0,0,X53/T53)</f>
        <v>-1</v>
      </c>
    </row>
    <row r="54" spans="1:26" s="24" customFormat="1" hidden="1" outlineLevel="2" x14ac:dyDescent="0.25">
      <c r="A54" s="28"/>
      <c r="B54" s="11" t="str">
        <f>CONCATENATE("          ", "6237", " - ", "JANITORIAL SUPPLIES")</f>
        <v xml:space="preserve">          6237 - JANITORIAL SUPPLIES</v>
      </c>
      <c r="C54" s="11"/>
      <c r="D54" s="7"/>
      <c r="E54" s="2"/>
      <c r="F54" s="6">
        <f t="shared" si="46"/>
        <v>0</v>
      </c>
      <c r="G54" s="2"/>
      <c r="H54" s="7">
        <v>64.33</v>
      </c>
      <c r="I54" s="2"/>
      <c r="J54" s="6">
        <f t="shared" si="47"/>
        <v>1.1977381312119981E-3</v>
      </c>
      <c r="K54" s="2"/>
      <c r="L54" s="7">
        <f t="shared" si="48"/>
        <v>-64.33</v>
      </c>
      <c r="M54" s="2"/>
      <c r="N54" s="6">
        <f t="shared" si="49"/>
        <v>-1</v>
      </c>
      <c r="O54" s="11"/>
      <c r="P54" s="7"/>
      <c r="Q54" s="2"/>
      <c r="R54" s="6">
        <f t="shared" si="50"/>
        <v>0</v>
      </c>
      <c r="S54" s="2"/>
      <c r="T54" s="7">
        <v>474.32</v>
      </c>
      <c r="U54" s="2"/>
      <c r="V54" s="6">
        <f t="shared" si="51"/>
        <v>6.4447727460789153E-3</v>
      </c>
      <c r="W54" s="2"/>
      <c r="X54" s="7">
        <f t="shared" si="52"/>
        <v>-474.32</v>
      </c>
      <c r="Y54" s="2"/>
      <c r="Z54" s="6">
        <f t="shared" si="53"/>
        <v>-1</v>
      </c>
    </row>
    <row r="55" spans="1:26" s="24" customFormat="1" hidden="1" outlineLevel="2" x14ac:dyDescent="0.25">
      <c r="A55" s="28"/>
      <c r="B55" s="11" t="str">
        <f>CONCATENATE("          ", "6243", " - ", "PAPER SUPPLIES")</f>
        <v xml:space="preserve">          6243 - PAPER SUPPLIES</v>
      </c>
      <c r="C55" s="11"/>
      <c r="D55" s="7"/>
      <c r="E55" s="2"/>
      <c r="F55" s="6">
        <f t="shared" si="46"/>
        <v>0</v>
      </c>
      <c r="G55" s="2"/>
      <c r="H55" s="7"/>
      <c r="I55" s="2"/>
      <c r="J55" s="6">
        <f t="shared" si="47"/>
        <v>0</v>
      </c>
      <c r="K55" s="2"/>
      <c r="L55" s="7">
        <f t="shared" si="48"/>
        <v>0</v>
      </c>
      <c r="M55" s="2"/>
      <c r="N55" s="6">
        <f t="shared" si="49"/>
        <v>0</v>
      </c>
      <c r="O55" s="11"/>
      <c r="P55" s="7"/>
      <c r="Q55" s="2"/>
      <c r="R55" s="6">
        <f t="shared" si="50"/>
        <v>0</v>
      </c>
      <c r="S55" s="2"/>
      <c r="T55" s="7">
        <v>298.33</v>
      </c>
      <c r="U55" s="2"/>
      <c r="V55" s="6">
        <f t="shared" si="51"/>
        <v>4.0535272671144429E-3</v>
      </c>
      <c r="W55" s="2"/>
      <c r="X55" s="7">
        <f t="shared" si="52"/>
        <v>-298.33</v>
      </c>
      <c r="Y55" s="2"/>
      <c r="Z55" s="6">
        <f t="shared" si="53"/>
        <v>-1</v>
      </c>
    </row>
    <row r="56" spans="1:26" s="24" customFormat="1" hidden="1" outlineLevel="2" x14ac:dyDescent="0.25">
      <c r="A56" s="28"/>
      <c r="B56" s="11" t="str">
        <f>CONCATENATE("          ", "6247", " - ", "STORE SUPPLIES")</f>
        <v xml:space="preserve">          6247 - STORE SUPPLIES</v>
      </c>
      <c r="C56" s="11"/>
      <c r="D56" s="7"/>
      <c r="E56" s="2"/>
      <c r="F56" s="6">
        <f t="shared" si="46"/>
        <v>0</v>
      </c>
      <c r="G56" s="2"/>
      <c r="H56" s="7">
        <v>297.88</v>
      </c>
      <c r="I56" s="2"/>
      <c r="J56" s="6">
        <f t="shared" si="47"/>
        <v>5.5461252063645269E-3</v>
      </c>
      <c r="K56" s="2"/>
      <c r="L56" s="7">
        <f t="shared" si="48"/>
        <v>-297.88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4392.68</v>
      </c>
      <c r="U56" s="2"/>
      <c r="V56" s="6">
        <f t="shared" si="51"/>
        <v>5.9685074098174085E-2</v>
      </c>
      <c r="W56" s="2"/>
      <c r="X56" s="7">
        <f t="shared" si="52"/>
        <v>-4392.68</v>
      </c>
      <c r="Y56" s="2"/>
      <c r="Z56" s="6">
        <f t="shared" si="53"/>
        <v>-1</v>
      </c>
    </row>
    <row r="57" spans="1:26" s="27" customFormat="1" outlineLevel="1" collapsed="1" x14ac:dyDescent="0.25">
      <c r="A57" s="29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-6.13</v>
      </c>
      <c r="E57" s="1"/>
      <c r="F57" s="5">
        <f t="shared" ref="F57:F58" si="54">IF(D$12=0,0,D57/D$12)</f>
        <v>0</v>
      </c>
      <c r="G57" s="1"/>
      <c r="H57" s="1">
        <f>SUM(OSRRefH22_10x_0)</f>
        <v>113.01</v>
      </c>
      <c r="I57" s="1"/>
      <c r="J57" s="5">
        <f t="shared" ref="J57:J58" si="55">IF(H$12=0,0,H57/H$12)</f>
        <v>2.1040942982786868E-3</v>
      </c>
      <c r="K57" s="1"/>
      <c r="L57" s="1">
        <f t="shared" ref="L57:L58" si="56">+D57-H57</f>
        <v>-119.14</v>
      </c>
      <c r="M57" s="1"/>
      <c r="N57" s="5">
        <f t="shared" ref="N57:N58" si="57">IF(H57=0,0,L57/H57)</f>
        <v>-1.0542429873462524</v>
      </c>
      <c r="O57" s="14"/>
      <c r="P57" s="1">
        <f>SUM(OSRRefP22_10x_0)</f>
        <v>175.89</v>
      </c>
      <c r="Q57" s="1"/>
      <c r="R57" s="5">
        <f t="shared" ref="R57:R58" si="58">IF(P$12=0,0,P57/P$12)</f>
        <v>0</v>
      </c>
      <c r="S57" s="1"/>
      <c r="T57" s="1">
        <f>SUM(OSRRefT22_10x_0)</f>
        <v>273.02999999999997</v>
      </c>
      <c r="U57" s="1"/>
      <c r="V57" s="5">
        <f t="shared" ref="V57:V58" si="59">IF(T$12=0,0,T57/T$12)</f>
        <v>3.7097661976343527E-3</v>
      </c>
      <c r="W57" s="1"/>
      <c r="X57" s="1">
        <f t="shared" ref="X57:X58" si="60">+P57-T57</f>
        <v>-97.139999999999986</v>
      </c>
      <c r="Y57" s="1"/>
      <c r="Z57" s="5">
        <f t="shared" ref="Z57:Z58" si="61">IF(T57=0,0,X57/T57)</f>
        <v>-0.35578507856279529</v>
      </c>
    </row>
    <row r="58" spans="1:26" s="24" customFormat="1" hidden="1" outlineLevel="2" x14ac:dyDescent="0.25">
      <c r="A58" s="28"/>
      <c r="B58" s="11" t="str">
        <f>CONCATENATE("          ", "6309", " - ", "TELEPHONE")</f>
        <v xml:space="preserve">          6309 - TELEPHONE</v>
      </c>
      <c r="C58" s="11"/>
      <c r="D58" s="7">
        <v>-6.13</v>
      </c>
      <c r="E58" s="2"/>
      <c r="F58" s="6">
        <f t="shared" si="54"/>
        <v>0</v>
      </c>
      <c r="G58" s="2"/>
      <c r="H58" s="7">
        <v>113.01</v>
      </c>
      <c r="I58" s="2"/>
      <c r="J58" s="6">
        <f t="shared" si="55"/>
        <v>2.1040942982786868E-3</v>
      </c>
      <c r="K58" s="2"/>
      <c r="L58" s="7">
        <f t="shared" si="56"/>
        <v>-119.14</v>
      </c>
      <c r="M58" s="2"/>
      <c r="N58" s="6">
        <f t="shared" si="57"/>
        <v>-1.0542429873462524</v>
      </c>
      <c r="O58" s="11"/>
      <c r="P58" s="7">
        <v>175.89</v>
      </c>
      <c r="Q58" s="2"/>
      <c r="R58" s="6">
        <f t="shared" si="58"/>
        <v>0</v>
      </c>
      <c r="S58" s="2"/>
      <c r="T58" s="7">
        <v>273.02999999999997</v>
      </c>
      <c r="U58" s="2"/>
      <c r="V58" s="6">
        <f t="shared" si="59"/>
        <v>3.7097661976343527E-3</v>
      </c>
      <c r="W58" s="2"/>
      <c r="X58" s="7">
        <f t="shared" si="60"/>
        <v>-97.139999999999986</v>
      </c>
      <c r="Y58" s="2"/>
      <c r="Z58" s="6">
        <f t="shared" si="61"/>
        <v>-0.35578507856279529</v>
      </c>
    </row>
    <row r="59" spans="1:26" s="60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6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5" t="s">
        <v>3</v>
      </c>
      <c r="C62" s="25"/>
      <c r="D62" s="22">
        <f>+D20-D22+D60</f>
        <v>-630.27</v>
      </c>
      <c r="E62" s="13"/>
      <c r="F62" s="21">
        <f>IF(D$12=0,0,D62/D$12)</f>
        <v>0</v>
      </c>
      <c r="G62" s="13"/>
      <c r="H62" s="22">
        <f>+H20-H22+H60</f>
        <v>10176.119999999999</v>
      </c>
      <c r="I62" s="13"/>
      <c r="J62" s="21">
        <f>IF(H$12=0,0,H62/H$12)</f>
        <v>0.18946567622864974</v>
      </c>
      <c r="K62" s="15"/>
      <c r="L62" s="22">
        <f>+D62-H62</f>
        <v>-10806.39</v>
      </c>
      <c r="M62" s="15"/>
      <c r="N62" s="21">
        <f>IF(H62=0,0,L62/H62)</f>
        <v>-1.0619361799978775</v>
      </c>
      <c r="O62" s="26"/>
      <c r="P62" s="22">
        <f>+P20-P22+P60</f>
        <v>-1581.3899999999999</v>
      </c>
      <c r="Q62" s="13"/>
      <c r="R62" s="21">
        <f>IF(P$12=0,0,P62/P$12)</f>
        <v>0</v>
      </c>
      <c r="S62" s="13"/>
      <c r="T62" s="22">
        <f>+T20-T22+T60</f>
        <v>-5438.3700000000026</v>
      </c>
      <c r="U62" s="13"/>
      <c r="V62" s="21">
        <f>IF(T$12=0,0,T62/T$12)</f>
        <v>-7.3893276182942336E-2</v>
      </c>
      <c r="W62" s="15"/>
      <c r="X62" s="22">
        <f>+P62-T62</f>
        <v>3856.9800000000027</v>
      </c>
      <c r="Y62" s="15"/>
      <c r="Z62" s="21">
        <f>IF(T62=0,0,X62/T62)</f>
        <v>-0.70921618058352054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>
        <v>5425.68</v>
      </c>
      <c r="I64" s="4"/>
      <c r="J64" s="12">
        <f>IF(H$12=0,0,H64/H$12)</f>
        <v>0.10101886870440407</v>
      </c>
      <c r="K64" s="4"/>
      <c r="L64" s="4">
        <f>+D64-H64</f>
        <v>-5425.68</v>
      </c>
      <c r="M64" s="4"/>
      <c r="N64" s="12">
        <f>IF(H64=0,0,L64/H64)</f>
        <v>-1</v>
      </c>
      <c r="O64" s="10"/>
      <c r="P64" s="4"/>
      <c r="Q64" s="4"/>
      <c r="R64" s="12">
        <f>IF(P$12=0,0,P64/P$12)</f>
        <v>0</v>
      </c>
      <c r="S64" s="4"/>
      <c r="T64" s="4">
        <v>7905.36</v>
      </c>
      <c r="U64" s="4"/>
      <c r="V64" s="12">
        <f>IF(T$12=0,0,T64/T$12)</f>
        <v>0.10741324143182326</v>
      </c>
      <c r="W64" s="4"/>
      <c r="X64" s="4">
        <f>+P64-T64</f>
        <v>-7905.36</v>
      </c>
      <c r="Y64" s="4"/>
      <c r="Z64" s="12">
        <f>IF(T64=0,0,X64/T64)</f>
        <v>-1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4</v>
      </c>
      <c r="C66" s="25"/>
      <c r="D66" s="33">
        <f>+D62-D64</f>
        <v>-630.27</v>
      </c>
      <c r="E66" s="13"/>
      <c r="F66" s="32">
        <f>IF(D$12=0,0,D66/D$12)</f>
        <v>0</v>
      </c>
      <c r="G66" s="13"/>
      <c r="H66" s="33">
        <f>+H62-H64</f>
        <v>4750.4399999999987</v>
      </c>
      <c r="I66" s="13"/>
      <c r="J66" s="32">
        <f>IF(H$12=0,0,H66/H$12)</f>
        <v>8.8446807524245649E-2</v>
      </c>
      <c r="K66" s="15"/>
      <c r="L66" s="33">
        <f>D66-H66</f>
        <v>-5380.7099999999991</v>
      </c>
      <c r="M66" s="15"/>
      <c r="N66" s="32">
        <f>IF(H66=0,0,L66/H66)</f>
        <v>-1.1326761310531237</v>
      </c>
      <c r="O66" s="26"/>
      <c r="P66" s="33">
        <f>+P62-P64</f>
        <v>-1581.3899999999999</v>
      </c>
      <c r="Q66" s="13"/>
      <c r="R66" s="32">
        <f>IF(P$12=0,0,P66/P$12)</f>
        <v>0</v>
      </c>
      <c r="S66" s="13"/>
      <c r="T66" s="33">
        <f>+T62-T64</f>
        <v>-13343.730000000003</v>
      </c>
      <c r="U66" s="13"/>
      <c r="V66" s="32">
        <f>IF(T$12=0,0,T66/T$12)</f>
        <v>-0.18130651761476563</v>
      </c>
      <c r="W66" s="15"/>
      <c r="X66" s="33">
        <f>P66-T66</f>
        <v>11762.340000000004</v>
      </c>
      <c r="Y66" s="15"/>
      <c r="Z66" s="32">
        <f>IF(T66=0,0,X66/T66)</f>
        <v>-0.88148815960754612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5</v>
      </c>
      <c r="C69" s="25"/>
      <c r="D69" s="34">
        <f>SUM(D66:D68)</f>
        <v>-630.27</v>
      </c>
      <c r="E69" s="13"/>
      <c r="F69" s="31">
        <f>IF(D$12=0,0,D69/D$12)</f>
        <v>0</v>
      </c>
      <c r="G69" s="13"/>
      <c r="H69" s="34">
        <f>SUM(H66:H68)</f>
        <v>4750.4399999999987</v>
      </c>
      <c r="I69" s="13"/>
      <c r="J69" s="31">
        <f>IF(H$12=0,0,H69/H$12)</f>
        <v>8.8446807524245649E-2</v>
      </c>
      <c r="K69" s="15"/>
      <c r="L69" s="34">
        <f>+D69-H69</f>
        <v>-5380.7099999999991</v>
      </c>
      <c r="M69" s="15"/>
      <c r="N69" s="31">
        <f>IF(H69=0,0,L69/H69)</f>
        <v>-1.1326761310531237</v>
      </c>
      <c r="O69" s="26"/>
      <c r="P69" s="34">
        <f>SUM(P66:P68)</f>
        <v>-1581.3899999999999</v>
      </c>
      <c r="Q69" s="13"/>
      <c r="R69" s="31">
        <f>IF(P$12=0,0,P69/P$12)</f>
        <v>0</v>
      </c>
      <c r="S69" s="13"/>
      <c r="T69" s="34">
        <f>SUM(T66:T68)</f>
        <v>-13343.730000000003</v>
      </c>
      <c r="U69" s="13"/>
      <c r="V69" s="31">
        <f>IF(T$12=0,0,T69/T$12)</f>
        <v>-0.18130651761476563</v>
      </c>
      <c r="W69" s="15"/>
      <c r="X69" s="34">
        <f>+P69-T69</f>
        <v>11762.340000000004</v>
      </c>
      <c r="Y69" s="15"/>
      <c r="Z69" s="31">
        <f>IF(T69=0,0,X69/T69)</f>
        <v>-0.88148815960754612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4">
        <v>44123.56520315972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9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84266.830000000016</v>
      </c>
      <c r="I12" s="4"/>
      <c r="J12" s="12"/>
      <c r="K12" s="4"/>
      <c r="L12" s="4">
        <f t="shared" ref="L12:L17" si="0">+D12-H12</f>
        <v>-84266.830000000016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135517.78</v>
      </c>
      <c r="U12" s="4"/>
      <c r="V12" s="12"/>
      <c r="W12" s="4"/>
      <c r="X12" s="4">
        <f t="shared" ref="X12:X17" si="2">+P12-T12</f>
        <v>-135517.78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7" si="4">0</f>
        <v>0</v>
      </c>
      <c r="E13" s="2"/>
      <c r="F13" s="19"/>
      <c r="G13" s="2"/>
      <c r="H13" s="2">
        <f>--17893.59</f>
        <v>17893.59</v>
      </c>
      <c r="I13" s="2"/>
      <c r="J13" s="19"/>
      <c r="K13" s="2"/>
      <c r="L13" s="2">
        <f t="shared" si="0"/>
        <v>-17893.59</v>
      </c>
      <c r="M13" s="2"/>
      <c r="N13" s="19">
        <f t="shared" si="1"/>
        <v>-1</v>
      </c>
      <c r="O13" s="11"/>
      <c r="P13" s="2">
        <f t="shared" ref="P13:P17" si="5">0</f>
        <v>0</v>
      </c>
      <c r="Q13" s="2"/>
      <c r="R13" s="19"/>
      <c r="S13" s="2"/>
      <c r="T13" s="2">
        <f>--28161.94</f>
        <v>28161.94</v>
      </c>
      <c r="U13" s="2"/>
      <c r="V13" s="19"/>
      <c r="W13" s="2"/>
      <c r="X13" s="2">
        <f t="shared" si="2"/>
        <v>-28161.94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--503.93</f>
        <v>503.93</v>
      </c>
      <c r="I14" s="2"/>
      <c r="J14" s="19"/>
      <c r="K14" s="2"/>
      <c r="L14" s="2">
        <f t="shared" si="0"/>
        <v>-503.93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--1150.33</f>
        <v>1150.33</v>
      </c>
      <c r="U14" s="2"/>
      <c r="V14" s="19"/>
      <c r="W14" s="2"/>
      <c r="X14" s="2">
        <f t="shared" si="2"/>
        <v>-1150.33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--65627.96</f>
        <v>65627.960000000006</v>
      </c>
      <c r="I15" s="2"/>
      <c r="J15" s="19"/>
      <c r="K15" s="2"/>
      <c r="L15" s="2">
        <f t="shared" si="0"/>
        <v>-65627.960000000006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--105584.03</f>
        <v>105584.03</v>
      </c>
      <c r="U15" s="2"/>
      <c r="V15" s="19"/>
      <c r="W15" s="2"/>
      <c r="X15" s="2">
        <f t="shared" si="2"/>
        <v>-105584.03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>
        <f>--3.78</f>
        <v>3.78</v>
      </c>
      <c r="I16" s="2"/>
      <c r="J16" s="19"/>
      <c r="K16" s="2"/>
      <c r="L16" s="2">
        <f t="shared" si="0"/>
        <v>-3.78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--0.39</f>
        <v>0.39</v>
      </c>
      <c r="U16" s="2"/>
      <c r="V16" s="19"/>
      <c r="W16" s="2"/>
      <c r="X16" s="2">
        <f t="shared" si="2"/>
        <v>-0.39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>
        <f>--237.57</f>
        <v>237.57</v>
      </c>
      <c r="I17" s="2"/>
      <c r="J17" s="19"/>
      <c r="K17" s="2"/>
      <c r="L17" s="2">
        <f t="shared" si="0"/>
        <v>-237.57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--621.09</f>
        <v>621.09</v>
      </c>
      <c r="U17" s="2"/>
      <c r="V17" s="19"/>
      <c r="W17" s="2"/>
      <c r="X17" s="2">
        <f t="shared" si="2"/>
        <v>-621.09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0</v>
      </c>
      <c r="E19" s="4"/>
      <c r="F19" s="12">
        <f t="shared" ref="F19:F21" si="6">IF(D$12=0,0,D19/D$12)</f>
        <v>0</v>
      </c>
      <c r="G19" s="4"/>
      <c r="H19" s="4">
        <f>SUM(OSRRefH16x_0)</f>
        <v>38777.630000000005</v>
      </c>
      <c r="I19" s="4"/>
      <c r="J19" s="12">
        <f t="shared" ref="J19:J21" si="7">IF(H$12=0,0,H19/H$12)</f>
        <v>0.46017667924615174</v>
      </c>
      <c r="K19" s="4"/>
      <c r="L19" s="4">
        <f t="shared" ref="L19:L21" si="8">+D19-H19</f>
        <v>-38777.630000000005</v>
      </c>
      <c r="M19" s="4"/>
      <c r="N19" s="12">
        <f t="shared" ref="N19:N21" si="9">IF(H19=0,0,L19/H19)</f>
        <v>-1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62653.169999999991</v>
      </c>
      <c r="U19" s="4"/>
      <c r="V19" s="12">
        <f t="shared" ref="V19:V21" si="11">IF(T$12=0,0,T19/T$12)</f>
        <v>0.46232435330625982</v>
      </c>
      <c r="W19" s="4"/>
      <c r="X19" s="4">
        <f t="shared" ref="X19:X21" si="12">+P19-T19</f>
        <v>-63266.759999999987</v>
      </c>
      <c r="Y19" s="4"/>
      <c r="Z19" s="12">
        <f t="shared" ref="Z19:Z21" si="13">IF(T19=0,0,X19/T19)</f>
        <v>-1.0097934390231171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19">
        <f t="shared" si="6"/>
        <v>0</v>
      </c>
      <c r="G20" s="2"/>
      <c r="H20" s="2">
        <v>41057.33</v>
      </c>
      <c r="I20" s="2"/>
      <c r="J20" s="19">
        <f t="shared" si="7"/>
        <v>0.48723002870761833</v>
      </c>
      <c r="K20" s="2"/>
      <c r="L20" s="2">
        <f t="shared" si="8"/>
        <v>-41057.33</v>
      </c>
      <c r="M20" s="2"/>
      <c r="N20" s="19">
        <f t="shared" si="9"/>
        <v>-1</v>
      </c>
      <c r="O20" s="11"/>
      <c r="P20" s="2">
        <v>-613.59</v>
      </c>
      <c r="Q20" s="2"/>
      <c r="R20" s="19">
        <f t="shared" si="10"/>
        <v>0</v>
      </c>
      <c r="S20" s="2"/>
      <c r="T20" s="2">
        <v>77642.399999999994</v>
      </c>
      <c r="U20" s="2"/>
      <c r="V20" s="19">
        <f t="shared" si="11"/>
        <v>0.57293146331057077</v>
      </c>
      <c r="W20" s="2"/>
      <c r="X20" s="2">
        <f t="shared" si="12"/>
        <v>-78255.989999999991</v>
      </c>
      <c r="Y20" s="2"/>
      <c r="Z20" s="19">
        <f t="shared" si="13"/>
        <v>-1.0079027696207226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-2279.6999999999998</v>
      </c>
      <c r="I21" s="2"/>
      <c r="J21" s="19">
        <f t="shared" si="7"/>
        <v>-2.7053349461466623E-2</v>
      </c>
      <c r="K21" s="2"/>
      <c r="L21" s="2">
        <f t="shared" si="8"/>
        <v>2279.6999999999998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-14989.230000000001</v>
      </c>
      <c r="U21" s="2"/>
      <c r="V21" s="19">
        <f t="shared" si="11"/>
        <v>-0.11060711000431088</v>
      </c>
      <c r="W21" s="2"/>
      <c r="X21" s="2">
        <f t="shared" si="12"/>
        <v>14989.230000000001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2">
        <f>D12-D19</f>
        <v>0</v>
      </c>
      <c r="E23" s="13"/>
      <c r="F23" s="21">
        <f>IF(D$12=0,0,D23/D$12)</f>
        <v>0</v>
      </c>
      <c r="G23" s="13"/>
      <c r="H23" s="22">
        <f>H12-H19</f>
        <v>45489.200000000012</v>
      </c>
      <c r="I23" s="13"/>
      <c r="J23" s="21">
        <f>IF(H$12=0,0,H23/H$12)</f>
        <v>0.5398233207538482</v>
      </c>
      <c r="K23" s="15"/>
      <c r="L23" s="22">
        <f>+D23-H23</f>
        <v>-45489.200000000012</v>
      </c>
      <c r="M23" s="15"/>
      <c r="N23" s="21">
        <f>IF(H23=0,0,L23/H23)</f>
        <v>-1</v>
      </c>
      <c r="O23" s="26"/>
      <c r="P23" s="22">
        <f>P12-P19</f>
        <v>613.59</v>
      </c>
      <c r="Q23" s="13"/>
      <c r="R23" s="21">
        <f>IF(P$12=0,0,P23/P$12)</f>
        <v>0</v>
      </c>
      <c r="S23" s="13"/>
      <c r="T23" s="22">
        <f>T12-T19</f>
        <v>72864.610000000015</v>
      </c>
      <c r="U23" s="13"/>
      <c r="V23" s="21">
        <f>IF(T$12=0,0,T23/T$12)</f>
        <v>0.53767564669374024</v>
      </c>
      <c r="W23" s="15"/>
      <c r="X23" s="22">
        <f>+P23-T23</f>
        <v>-72251.020000000019</v>
      </c>
      <c r="Y23" s="15"/>
      <c r="Z23" s="21">
        <f>IF(T23=0,0,X23/T23)</f>
        <v>-0.99157903953647741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9582.5499999999993</v>
      </c>
      <c r="E25" s="20"/>
      <c r="F25" s="36">
        <f t="shared" ref="F25:F34" si="14">IF(D$12=0,0,D25/D$12)</f>
        <v>0</v>
      </c>
      <c r="G25" s="20"/>
      <c r="H25" s="20">
        <f>SUM(OSRRefH22x_0)</f>
        <v>20070.79</v>
      </c>
      <c r="I25" s="20"/>
      <c r="J25" s="36">
        <f t="shared" ref="J25:J34" si="15">IF(H$12=0,0,H25/H$12)</f>
        <v>0.23818138168956868</v>
      </c>
      <c r="K25" s="4"/>
      <c r="L25" s="20">
        <f t="shared" ref="L25:L34" si="16">+D25-H25</f>
        <v>-10488.240000000002</v>
      </c>
      <c r="M25" s="4"/>
      <c r="N25" s="36">
        <f t="shared" ref="N25:N34" si="17">IF(H25=0,0,L25/H25)</f>
        <v>-0.52256239041911157</v>
      </c>
      <c r="O25" s="10"/>
      <c r="P25" s="20">
        <f>SUM(OSRRefP22x_0)</f>
        <v>28937.78</v>
      </c>
      <c r="Q25" s="20"/>
      <c r="R25" s="36">
        <f t="shared" ref="R25:R34" si="18">IF(P$12=0,0,P25/P$12)</f>
        <v>0</v>
      </c>
      <c r="S25" s="20"/>
      <c r="T25" s="20">
        <f>SUM(OSRRefT22x_0)</f>
        <v>54154.529999999992</v>
      </c>
      <c r="U25" s="20"/>
      <c r="V25" s="36">
        <f t="shared" ref="V25:V34" si="19">IF(T$12=0,0,T25/T$12)</f>
        <v>0.39961199187294827</v>
      </c>
      <c r="W25" s="4"/>
      <c r="X25" s="20">
        <f t="shared" ref="X25:X34" si="20">+P25-T25</f>
        <v>-25216.749999999993</v>
      </c>
      <c r="Y25" s="4"/>
      <c r="Z25" s="36">
        <f t="shared" ref="Z25:Z34" si="21">IF(T25=0,0,X25/T25)</f>
        <v>-0.46564433298562458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3929.6699999999996</v>
      </c>
      <c r="E26" s="1"/>
      <c r="F26" s="5">
        <f t="shared" si="14"/>
        <v>0</v>
      </c>
      <c r="G26" s="1"/>
      <c r="H26" s="1">
        <f>SUM(OSRRefH22_0x_0)</f>
        <v>4110.2599999999993</v>
      </c>
      <c r="I26" s="1"/>
      <c r="J26" s="5">
        <f t="shared" si="15"/>
        <v>4.8776725076759127E-2</v>
      </c>
      <c r="K26" s="1"/>
      <c r="L26" s="1">
        <f t="shared" si="16"/>
        <v>-180.58999999999969</v>
      </c>
      <c r="M26" s="1"/>
      <c r="N26" s="5">
        <f t="shared" si="17"/>
        <v>-4.3936393318184185E-2</v>
      </c>
      <c r="O26" s="14"/>
      <c r="P26" s="1">
        <f>SUM(OSRRefP22_0x_0)</f>
        <v>11956.92</v>
      </c>
      <c r="Q26" s="1"/>
      <c r="R26" s="5">
        <f t="shared" si="18"/>
        <v>0</v>
      </c>
      <c r="S26" s="1"/>
      <c r="T26" s="1">
        <f>SUM(OSRRefT22_0x_0)</f>
        <v>12872.19</v>
      </c>
      <c r="U26" s="1"/>
      <c r="V26" s="5">
        <f t="shared" si="19"/>
        <v>9.4985248430132202E-2</v>
      </c>
      <c r="W26" s="1"/>
      <c r="X26" s="1">
        <f t="shared" si="20"/>
        <v>-915.27000000000044</v>
      </c>
      <c r="Y26" s="1"/>
      <c r="Z26" s="5">
        <f t="shared" si="21"/>
        <v>-7.1104450757796492E-2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357.68</v>
      </c>
      <c r="E27" s="2"/>
      <c r="F27" s="6">
        <f t="shared" si="14"/>
        <v>0</v>
      </c>
      <c r="G27" s="2"/>
      <c r="H27" s="7">
        <v>453.12</v>
      </c>
      <c r="I27" s="2"/>
      <c r="J27" s="6">
        <f t="shared" si="15"/>
        <v>5.3772047672850628E-3</v>
      </c>
      <c r="K27" s="2"/>
      <c r="L27" s="7">
        <f t="shared" si="16"/>
        <v>-95.44</v>
      </c>
      <c r="M27" s="2"/>
      <c r="N27" s="6">
        <f t="shared" si="17"/>
        <v>-0.21062853107344631</v>
      </c>
      <c r="O27" s="11"/>
      <c r="P27" s="7">
        <v>1099.18</v>
      </c>
      <c r="Q27" s="2"/>
      <c r="R27" s="6">
        <f t="shared" si="18"/>
        <v>0</v>
      </c>
      <c r="S27" s="2"/>
      <c r="T27" s="7">
        <v>1357.22</v>
      </c>
      <c r="U27" s="2"/>
      <c r="V27" s="6">
        <f t="shared" si="19"/>
        <v>1.001506960931621E-2</v>
      </c>
      <c r="W27" s="2"/>
      <c r="X27" s="7">
        <f t="shared" si="20"/>
        <v>-258.03999999999996</v>
      </c>
      <c r="Y27" s="2"/>
      <c r="Z27" s="6">
        <f t="shared" si="21"/>
        <v>-0.19012392979767462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86.5</v>
      </c>
      <c r="E28" s="2"/>
      <c r="F28" s="6">
        <f t="shared" si="14"/>
        <v>0</v>
      </c>
      <c r="G28" s="2"/>
      <c r="H28" s="7">
        <v>203.11</v>
      </c>
      <c r="I28" s="2"/>
      <c r="J28" s="6">
        <f t="shared" si="15"/>
        <v>2.4103196951872994E-3</v>
      </c>
      <c r="K28" s="2"/>
      <c r="L28" s="7">
        <f t="shared" si="16"/>
        <v>-116.61000000000001</v>
      </c>
      <c r="M28" s="2"/>
      <c r="N28" s="6">
        <f t="shared" si="17"/>
        <v>-0.57412239673083554</v>
      </c>
      <c r="O28" s="11"/>
      <c r="P28" s="7">
        <v>265.82</v>
      </c>
      <c r="Q28" s="2"/>
      <c r="R28" s="6">
        <f t="shared" si="18"/>
        <v>0</v>
      </c>
      <c r="S28" s="2"/>
      <c r="T28" s="7">
        <v>501.61</v>
      </c>
      <c r="U28" s="2"/>
      <c r="V28" s="6">
        <f t="shared" si="19"/>
        <v>3.7014331256016741E-3</v>
      </c>
      <c r="W28" s="2"/>
      <c r="X28" s="7">
        <f t="shared" si="20"/>
        <v>-235.79000000000002</v>
      </c>
      <c r="Y28" s="2"/>
      <c r="Z28" s="6">
        <f t="shared" si="21"/>
        <v>-0.47006638623631908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2021.26</v>
      </c>
      <c r="E29" s="2"/>
      <c r="F29" s="6">
        <f t="shared" si="14"/>
        <v>0</v>
      </c>
      <c r="G29" s="2"/>
      <c r="H29" s="7">
        <v>2019.97</v>
      </c>
      <c r="I29" s="2"/>
      <c r="J29" s="6">
        <f t="shared" si="15"/>
        <v>2.3971116511680806E-2</v>
      </c>
      <c r="K29" s="2"/>
      <c r="L29" s="7">
        <f t="shared" si="16"/>
        <v>1.2899999999999636</v>
      </c>
      <c r="M29" s="2"/>
      <c r="N29" s="6">
        <f t="shared" si="17"/>
        <v>6.3862334589125764E-4</v>
      </c>
      <c r="O29" s="11"/>
      <c r="P29" s="7">
        <v>6063.78</v>
      </c>
      <c r="Q29" s="2"/>
      <c r="R29" s="6">
        <f t="shared" si="18"/>
        <v>0</v>
      </c>
      <c r="S29" s="2"/>
      <c r="T29" s="7">
        <v>6059.91</v>
      </c>
      <c r="U29" s="2"/>
      <c r="V29" s="6">
        <f t="shared" si="19"/>
        <v>4.47167154007393E-2</v>
      </c>
      <c r="W29" s="2"/>
      <c r="X29" s="7">
        <f t="shared" si="20"/>
        <v>3.8699999999998909</v>
      </c>
      <c r="Y29" s="2"/>
      <c r="Z29" s="6">
        <f t="shared" si="21"/>
        <v>6.3862334589125764E-4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12.16</v>
      </c>
      <c r="E30" s="2"/>
      <c r="F30" s="6">
        <f t="shared" si="14"/>
        <v>0</v>
      </c>
      <c r="G30" s="2"/>
      <c r="H30" s="7">
        <v>27.79</v>
      </c>
      <c r="I30" s="2"/>
      <c r="J30" s="6">
        <f t="shared" si="15"/>
        <v>3.2978575318426E-4</v>
      </c>
      <c r="K30" s="2"/>
      <c r="L30" s="7">
        <f t="shared" si="16"/>
        <v>-15.629999999999999</v>
      </c>
      <c r="M30" s="2"/>
      <c r="N30" s="6">
        <f t="shared" si="17"/>
        <v>-0.56243252968693769</v>
      </c>
      <c r="O30" s="11"/>
      <c r="P30" s="7">
        <v>37.36</v>
      </c>
      <c r="Q30" s="2"/>
      <c r="R30" s="6">
        <f t="shared" si="18"/>
        <v>0</v>
      </c>
      <c r="S30" s="2"/>
      <c r="T30" s="7">
        <v>68.290000000000006</v>
      </c>
      <c r="U30" s="2"/>
      <c r="V30" s="6">
        <f t="shared" si="19"/>
        <v>5.0391911673877785E-4</v>
      </c>
      <c r="W30" s="2"/>
      <c r="X30" s="7">
        <f t="shared" si="20"/>
        <v>-30.930000000000007</v>
      </c>
      <c r="Y30" s="2"/>
      <c r="Z30" s="6">
        <f t="shared" si="21"/>
        <v>-0.45292136476790168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614.05999999999995</v>
      </c>
      <c r="E31" s="2"/>
      <c r="F31" s="6">
        <f t="shared" si="14"/>
        <v>0</v>
      </c>
      <c r="G31" s="2"/>
      <c r="H31" s="7">
        <v>568.97</v>
      </c>
      <c r="I31" s="2"/>
      <c r="J31" s="6">
        <f t="shared" si="15"/>
        <v>6.752004317713149E-3</v>
      </c>
      <c r="K31" s="2"/>
      <c r="L31" s="7">
        <f t="shared" si="16"/>
        <v>45.089999999999918</v>
      </c>
      <c r="M31" s="2"/>
      <c r="N31" s="6">
        <f t="shared" si="17"/>
        <v>7.9248466527233274E-2</v>
      </c>
      <c r="O31" s="11"/>
      <c r="P31" s="7">
        <v>2149.21</v>
      </c>
      <c r="Q31" s="2"/>
      <c r="R31" s="6">
        <f t="shared" si="18"/>
        <v>0</v>
      </c>
      <c r="S31" s="2"/>
      <c r="T31" s="7">
        <v>1706.91</v>
      </c>
      <c r="U31" s="2"/>
      <c r="V31" s="6">
        <f t="shared" si="19"/>
        <v>1.2595469022588771E-2</v>
      </c>
      <c r="W31" s="2"/>
      <c r="X31" s="7">
        <f t="shared" si="20"/>
        <v>442.29999999999995</v>
      </c>
      <c r="Y31" s="2"/>
      <c r="Z31" s="6">
        <f t="shared" si="21"/>
        <v>0.25912321094843893</v>
      </c>
    </row>
    <row r="32" spans="1:26" s="24" customFormat="1" hidden="1" outlineLevel="2" x14ac:dyDescent="0.25">
      <c r="A32" s="28"/>
      <c r="B32" s="11" t="str">
        <f>CONCATENATE("          ", "6118", " - ", "VACATION")</f>
        <v xml:space="preserve">          6118 - VACATION</v>
      </c>
      <c r="C32" s="11"/>
      <c r="D32" s="7">
        <v>407.06</v>
      </c>
      <c r="E32" s="2"/>
      <c r="F32" s="6">
        <f t="shared" si="14"/>
        <v>0</v>
      </c>
      <c r="G32" s="2"/>
      <c r="H32" s="7">
        <v>407.06</v>
      </c>
      <c r="I32" s="2"/>
      <c r="J32" s="6">
        <f t="shared" si="15"/>
        <v>4.8306077254834422E-3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>
        <v>1221.18</v>
      </c>
      <c r="Q32" s="2"/>
      <c r="R32" s="6">
        <f t="shared" si="18"/>
        <v>0</v>
      </c>
      <c r="S32" s="2"/>
      <c r="T32" s="7">
        <v>1530.07</v>
      </c>
      <c r="U32" s="2"/>
      <c r="V32" s="6">
        <f t="shared" si="19"/>
        <v>1.1290548000417362E-2</v>
      </c>
      <c r="W32" s="2"/>
      <c r="X32" s="7">
        <f t="shared" si="20"/>
        <v>-308.88999999999987</v>
      </c>
      <c r="Y32" s="2"/>
      <c r="Z32" s="6">
        <f t="shared" si="21"/>
        <v>-0.20187965256491525</v>
      </c>
    </row>
    <row r="33" spans="1:26" s="24" customFormat="1" hidden="1" outlineLevel="2" x14ac:dyDescent="0.25">
      <c r="A33" s="28"/>
      <c r="B33" s="11" t="str">
        <f>CONCATENATE("          ", "6119", " - ", "SICK LEAVE")</f>
        <v xml:space="preserve">          6119 - SICK LEAVE</v>
      </c>
      <c r="C33" s="11"/>
      <c r="D33" s="7">
        <v>256.76</v>
      </c>
      <c r="E33" s="2"/>
      <c r="F33" s="6">
        <f t="shared" si="14"/>
        <v>0</v>
      </c>
      <c r="G33" s="2"/>
      <c r="H33" s="7">
        <v>256.76</v>
      </c>
      <c r="I33" s="2"/>
      <c r="J33" s="6">
        <f t="shared" si="15"/>
        <v>3.0469877649366892E-3</v>
      </c>
      <c r="K33" s="2"/>
      <c r="L33" s="7">
        <f t="shared" si="16"/>
        <v>0</v>
      </c>
      <c r="M33" s="2"/>
      <c r="N33" s="6">
        <f t="shared" si="17"/>
        <v>0</v>
      </c>
      <c r="O33" s="11"/>
      <c r="P33" s="7">
        <v>770.28</v>
      </c>
      <c r="Q33" s="2"/>
      <c r="R33" s="6">
        <f t="shared" si="18"/>
        <v>0</v>
      </c>
      <c r="S33" s="2"/>
      <c r="T33" s="7">
        <v>1174.7</v>
      </c>
      <c r="U33" s="2"/>
      <c r="V33" s="6">
        <f t="shared" si="19"/>
        <v>8.6682352677264936E-3</v>
      </c>
      <c r="W33" s="2"/>
      <c r="X33" s="7">
        <f t="shared" si="20"/>
        <v>-404.42000000000007</v>
      </c>
      <c r="Y33" s="2"/>
      <c r="Z33" s="6">
        <f t="shared" si="21"/>
        <v>-0.34427513407678562</v>
      </c>
    </row>
    <row r="34" spans="1:26" s="24" customFormat="1" hidden="1" outlineLevel="2" x14ac:dyDescent="0.25">
      <c r="A34" s="28"/>
      <c r="B34" s="11" t="str">
        <f>CONCATENATE("          ", "6156", " - ", "EMPLOYEE MEALS")</f>
        <v xml:space="preserve">          6156 - EMPLOYEE MEALS</v>
      </c>
      <c r="C34" s="11"/>
      <c r="D34" s="7">
        <v>174.19</v>
      </c>
      <c r="E34" s="2"/>
      <c r="F34" s="6">
        <f t="shared" si="14"/>
        <v>0</v>
      </c>
      <c r="G34" s="2"/>
      <c r="H34" s="7">
        <v>173.48</v>
      </c>
      <c r="I34" s="2"/>
      <c r="J34" s="6">
        <f t="shared" si="15"/>
        <v>2.058698541288428E-3</v>
      </c>
      <c r="K34" s="2"/>
      <c r="L34" s="7">
        <f t="shared" si="16"/>
        <v>0.71000000000000796</v>
      </c>
      <c r="M34" s="2"/>
      <c r="N34" s="6">
        <f t="shared" si="17"/>
        <v>4.0926908000922758E-3</v>
      </c>
      <c r="O34" s="11"/>
      <c r="P34" s="7">
        <v>350.11</v>
      </c>
      <c r="Q34" s="2"/>
      <c r="R34" s="6">
        <f t="shared" si="18"/>
        <v>0</v>
      </c>
      <c r="S34" s="2"/>
      <c r="T34" s="7">
        <v>473.48</v>
      </c>
      <c r="U34" s="2"/>
      <c r="V34" s="6">
        <f t="shared" si="19"/>
        <v>3.4938588870036097E-3</v>
      </c>
      <c r="W34" s="2"/>
      <c r="X34" s="7">
        <f t="shared" si="20"/>
        <v>-123.37</v>
      </c>
      <c r="Y34" s="2"/>
      <c r="Z34" s="6">
        <f t="shared" si="21"/>
        <v>-0.26056010813550728</v>
      </c>
    </row>
    <row r="35" spans="1:26" s="27" customFormat="1" outlineLevel="1" collapsed="1" x14ac:dyDescent="0.25">
      <c r="A35" s="29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5392.7</v>
      </c>
      <c r="E35" s="1"/>
      <c r="F35" s="5">
        <f t="shared" ref="F35:F40" si="22">IF(D$12=0,0,D35/D$12)</f>
        <v>0</v>
      </c>
      <c r="G35" s="1"/>
      <c r="H35" s="1">
        <f>SUM(OSRRefH22_1x_0)</f>
        <v>11891.64</v>
      </c>
      <c r="I35" s="1"/>
      <c r="J35" s="5">
        <f t="shared" ref="J35:J40" si="23">IF(H$12=0,0,H35/H$12)</f>
        <v>0.14111887204016096</v>
      </c>
      <c r="K35" s="1"/>
      <c r="L35" s="1">
        <f t="shared" ref="L35:L40" si="24">+D35-H35</f>
        <v>-6498.94</v>
      </c>
      <c r="M35" s="1"/>
      <c r="N35" s="5">
        <f t="shared" ref="N35:N40" si="25">IF(H35=0,0,L35/H35)</f>
        <v>-0.54651334887366254</v>
      </c>
      <c r="O35" s="14"/>
      <c r="P35" s="1">
        <f>SUM(OSRRefP22_1x_0)</f>
        <v>16352.390000000001</v>
      </c>
      <c r="Q35" s="1"/>
      <c r="R35" s="5">
        <f t="shared" ref="R35:R40" si="26">IF(P$12=0,0,P35/P$12)</f>
        <v>0</v>
      </c>
      <c r="S35" s="1"/>
      <c r="T35" s="1">
        <f>SUM(OSRRefT22_1x_0)</f>
        <v>31128.699999999997</v>
      </c>
      <c r="U35" s="1"/>
      <c r="V35" s="5">
        <f t="shared" ref="V35:V40" si="27">IF(T$12=0,0,T35/T$12)</f>
        <v>0.22970196235505036</v>
      </c>
      <c r="W35" s="1"/>
      <c r="X35" s="1">
        <f t="shared" ref="X35:X40" si="28">+P35-T35</f>
        <v>-14776.309999999996</v>
      </c>
      <c r="Y35" s="1"/>
      <c r="Z35" s="5">
        <f t="shared" ref="Z35:Z40" si="29">IF(T35=0,0,X35/T35)</f>
        <v>-0.47468445518123137</v>
      </c>
    </row>
    <row r="36" spans="1:26" s="24" customFormat="1" hidden="1" outlineLevel="2" x14ac:dyDescent="0.25">
      <c r="A36" s="28"/>
      <c r="B36" s="11" t="str">
        <f>CONCATENATE("          ", "6002", " - ", "STAFF SALARIES")</f>
        <v xml:space="preserve">          6002 - STAFF SALARIES</v>
      </c>
      <c r="C36" s="11"/>
      <c r="D36" s="7">
        <v>5392.7</v>
      </c>
      <c r="E36" s="2"/>
      <c r="F36" s="6">
        <f t="shared" si="22"/>
        <v>0</v>
      </c>
      <c r="G36" s="2"/>
      <c r="H36" s="7">
        <v>5009.99</v>
      </c>
      <c r="I36" s="2"/>
      <c r="J36" s="6">
        <f t="shared" si="23"/>
        <v>5.9453880014235717E-2</v>
      </c>
      <c r="K36" s="2"/>
      <c r="L36" s="7">
        <f t="shared" si="24"/>
        <v>382.71000000000004</v>
      </c>
      <c r="M36" s="2"/>
      <c r="N36" s="6">
        <f t="shared" si="25"/>
        <v>7.6389374030686699E-2</v>
      </c>
      <c r="O36" s="11"/>
      <c r="P36" s="7">
        <v>16352.390000000001</v>
      </c>
      <c r="Q36" s="2"/>
      <c r="R36" s="6">
        <f t="shared" si="26"/>
        <v>0</v>
      </c>
      <c r="S36" s="2"/>
      <c r="T36" s="7">
        <v>16804.689999999999</v>
      </c>
      <c r="U36" s="2"/>
      <c r="V36" s="6">
        <f t="shared" si="27"/>
        <v>0.12400358093233227</v>
      </c>
      <c r="W36" s="2"/>
      <c r="X36" s="7">
        <f t="shared" si="28"/>
        <v>-452.29999999999745</v>
      </c>
      <c r="Y36" s="2"/>
      <c r="Z36" s="6">
        <f t="shared" si="29"/>
        <v>-2.6915105247403998E-2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358.7</v>
      </c>
      <c r="I37" s="2"/>
      <c r="J37" s="6">
        <f t="shared" si="23"/>
        <v>4.2567164327885591E-3</v>
      </c>
      <c r="K37" s="2"/>
      <c r="L37" s="7">
        <f t="shared" si="24"/>
        <v>-358.7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517.32000000000005</v>
      </c>
      <c r="U37" s="2"/>
      <c r="V37" s="6">
        <f t="shared" si="27"/>
        <v>3.8173588734998465E-3</v>
      </c>
      <c r="W37" s="2"/>
      <c r="X37" s="7">
        <f t="shared" si="28"/>
        <v>-517.32000000000005</v>
      </c>
      <c r="Y37" s="2"/>
      <c r="Z37" s="6">
        <f t="shared" si="29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714</v>
      </c>
      <c r="I38" s="2"/>
      <c r="J38" s="6">
        <f t="shared" si="23"/>
        <v>8.4730848425175111E-3</v>
      </c>
      <c r="K38" s="2"/>
      <c r="L38" s="7">
        <f t="shared" si="24"/>
        <v>-714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870.19</v>
      </c>
      <c r="U38" s="2"/>
      <c r="V38" s="6">
        <f t="shared" si="27"/>
        <v>6.4212238423622349E-3</v>
      </c>
      <c r="W38" s="2"/>
      <c r="X38" s="7">
        <f t="shared" si="28"/>
        <v>-870.19</v>
      </c>
      <c r="Y38" s="2"/>
      <c r="Z38" s="6">
        <f t="shared" si="29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5725.7</v>
      </c>
      <c r="I39" s="2"/>
      <c r="J39" s="6">
        <f t="shared" si="23"/>
        <v>6.7947257538939085E-2</v>
      </c>
      <c r="K39" s="2"/>
      <c r="L39" s="7">
        <f t="shared" si="24"/>
        <v>-5725.7</v>
      </c>
      <c r="M39" s="2"/>
      <c r="N39" s="6">
        <f t="shared" si="25"/>
        <v>-1</v>
      </c>
      <c r="O39" s="11"/>
      <c r="P39" s="7"/>
      <c r="Q39" s="2"/>
      <c r="R39" s="6">
        <f t="shared" si="26"/>
        <v>0</v>
      </c>
      <c r="S39" s="2"/>
      <c r="T39" s="7">
        <v>9543.02</v>
      </c>
      <c r="U39" s="2"/>
      <c r="V39" s="6">
        <f t="shared" si="27"/>
        <v>7.0418951668187013E-2</v>
      </c>
      <c r="W39" s="2"/>
      <c r="X39" s="7">
        <f t="shared" si="28"/>
        <v>-9543.02</v>
      </c>
      <c r="Y39" s="2"/>
      <c r="Z39" s="6">
        <f t="shared" si="29"/>
        <v>-1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83.25</v>
      </c>
      <c r="I40" s="2"/>
      <c r="J40" s="6">
        <f t="shared" si="23"/>
        <v>9.8793321168008782E-4</v>
      </c>
      <c r="K40" s="2"/>
      <c r="L40" s="7">
        <f t="shared" si="24"/>
        <v>-83.25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3393.48</v>
      </c>
      <c r="U40" s="2"/>
      <c r="V40" s="6">
        <f t="shared" si="27"/>
        <v>2.5040847038669021E-2</v>
      </c>
      <c r="W40" s="2"/>
      <c r="X40" s="7">
        <f t="shared" si="28"/>
        <v>-3393.48</v>
      </c>
      <c r="Y40" s="2"/>
      <c r="Z40" s="6">
        <f t="shared" si="29"/>
        <v>-1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6" si="30">IF(D$12=0,0,D41/D$12)</f>
        <v>0</v>
      </c>
      <c r="G41" s="1"/>
      <c r="H41" s="1">
        <f>SUM(OSRRefH22_2x_0)</f>
        <v>11.07</v>
      </c>
      <c r="I41" s="1"/>
      <c r="J41" s="5">
        <f t="shared" ref="J41:J56" si="31">IF(H$12=0,0,H41/H$12)</f>
        <v>1.3136841625583872E-4</v>
      </c>
      <c r="K41" s="1"/>
      <c r="L41" s="1">
        <f t="shared" ref="L41:L56" si="32">+D41-H41</f>
        <v>-11.07</v>
      </c>
      <c r="M41" s="1"/>
      <c r="N41" s="5">
        <f t="shared" ref="N41:N56" si="33">IF(H41=0,0,L41/H41)</f>
        <v>-1</v>
      </c>
      <c r="O41" s="14"/>
      <c r="P41" s="1">
        <f>SUM(OSRRefP22_2x_0)</f>
        <v>0</v>
      </c>
      <c r="Q41" s="1"/>
      <c r="R41" s="5">
        <f t="shared" ref="R41:R56" si="34">IF(P$12=0,0,P41/P$12)</f>
        <v>0</v>
      </c>
      <c r="S41" s="1"/>
      <c r="T41" s="1">
        <f>SUM(OSRRefT22_2x_0)</f>
        <v>158.30000000000001</v>
      </c>
      <c r="U41" s="1"/>
      <c r="V41" s="5">
        <f t="shared" ref="V41:V56" si="35">IF(T$12=0,0,T41/T$12)</f>
        <v>1.1681124056193955E-3</v>
      </c>
      <c r="W41" s="1"/>
      <c r="X41" s="1">
        <f t="shared" ref="X41:X56" si="36">+P41-T41</f>
        <v>-158.30000000000001</v>
      </c>
      <c r="Y41" s="1"/>
      <c r="Z41" s="5">
        <f t="shared" ref="Z41:Z56" si="37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30"/>
        <v>0</v>
      </c>
      <c r="G42" s="2"/>
      <c r="H42" s="7">
        <v>11.07</v>
      </c>
      <c r="I42" s="2"/>
      <c r="J42" s="6">
        <f t="shared" si="31"/>
        <v>1.3136841625583872E-4</v>
      </c>
      <c r="K42" s="2"/>
      <c r="L42" s="7">
        <f t="shared" si="32"/>
        <v>-11.07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158.30000000000001</v>
      </c>
      <c r="U42" s="2"/>
      <c r="V42" s="6">
        <f t="shared" si="35"/>
        <v>1.1681124056193955E-3</v>
      </c>
      <c r="W42" s="2"/>
      <c r="X42" s="7">
        <f t="shared" si="36"/>
        <v>-158.30000000000001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-47.45</v>
      </c>
      <c r="I43" s="1"/>
      <c r="J43" s="5">
        <f t="shared" si="31"/>
        <v>-5.6309226299363572E-4</v>
      </c>
      <c r="K43" s="1"/>
      <c r="L43" s="1">
        <f t="shared" si="32"/>
        <v>47.45</v>
      </c>
      <c r="M43" s="1"/>
      <c r="N43" s="5">
        <f t="shared" si="33"/>
        <v>-1</v>
      </c>
      <c r="O43" s="14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-60.18</v>
      </c>
      <c r="U43" s="1"/>
      <c r="V43" s="5">
        <f t="shared" si="35"/>
        <v>-4.4407457087918646E-4</v>
      </c>
      <c r="W43" s="1"/>
      <c r="X43" s="1">
        <f t="shared" si="36"/>
        <v>60.18</v>
      </c>
      <c r="Y43" s="1"/>
      <c r="Z43" s="5">
        <f t="shared" si="37"/>
        <v>-1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-47.45</v>
      </c>
      <c r="I44" s="2"/>
      <c r="J44" s="6">
        <f t="shared" si="31"/>
        <v>-5.6309226299363572E-4</v>
      </c>
      <c r="K44" s="2"/>
      <c r="L44" s="7">
        <f t="shared" si="32"/>
        <v>47.45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-60.18</v>
      </c>
      <c r="U44" s="2"/>
      <c r="V44" s="6">
        <f t="shared" si="35"/>
        <v>-4.4407457087918646E-4</v>
      </c>
      <c r="W44" s="2"/>
      <c r="X44" s="7">
        <f t="shared" si="36"/>
        <v>60.18</v>
      </c>
      <c r="Y44" s="2"/>
      <c r="Z44" s="6">
        <f t="shared" si="37"/>
        <v>-1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60</v>
      </c>
      <c r="E45" s="1"/>
      <c r="F45" s="5">
        <f t="shared" si="30"/>
        <v>0</v>
      </c>
      <c r="G45" s="1"/>
      <c r="H45" s="1">
        <f>SUM(OSRRefH22_4x_0)</f>
        <v>2835.26</v>
      </c>
      <c r="I45" s="1"/>
      <c r="J45" s="5">
        <f t="shared" si="31"/>
        <v>3.3646216429406441E-2</v>
      </c>
      <c r="K45" s="1"/>
      <c r="L45" s="1">
        <f t="shared" si="32"/>
        <v>-2775.26</v>
      </c>
      <c r="M45" s="1"/>
      <c r="N45" s="5">
        <f t="shared" si="33"/>
        <v>-0.97883791962641875</v>
      </c>
      <c r="O45" s="14"/>
      <c r="P45" s="1">
        <f>SUM(OSRRefP22_4x_0)</f>
        <v>180</v>
      </c>
      <c r="Q45" s="1"/>
      <c r="R45" s="5">
        <f t="shared" si="34"/>
        <v>0</v>
      </c>
      <c r="S45" s="1"/>
      <c r="T45" s="1">
        <f>SUM(OSRRefT22_4x_0)</f>
        <v>4394.16</v>
      </c>
      <c r="U45" s="1"/>
      <c r="V45" s="5">
        <f t="shared" si="35"/>
        <v>3.2424970361822632E-2</v>
      </c>
      <c r="W45" s="1"/>
      <c r="X45" s="1">
        <f t="shared" si="36"/>
        <v>-4214.16</v>
      </c>
      <c r="Y45" s="1"/>
      <c r="Z45" s="5">
        <f t="shared" si="37"/>
        <v>-0.95903653940684908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>
        <v>60</v>
      </c>
      <c r="E46" s="2"/>
      <c r="F46" s="6">
        <f t="shared" si="30"/>
        <v>0</v>
      </c>
      <c r="G46" s="2"/>
      <c r="H46" s="7">
        <v>2835.26</v>
      </c>
      <c r="I46" s="2"/>
      <c r="J46" s="6">
        <f t="shared" si="31"/>
        <v>3.3646216429406441E-2</v>
      </c>
      <c r="K46" s="2"/>
      <c r="L46" s="7">
        <f t="shared" si="32"/>
        <v>-2775.26</v>
      </c>
      <c r="M46" s="2"/>
      <c r="N46" s="6">
        <f t="shared" si="33"/>
        <v>-0.97883791962641875</v>
      </c>
      <c r="O46" s="11"/>
      <c r="P46" s="7">
        <v>180</v>
      </c>
      <c r="Q46" s="2"/>
      <c r="R46" s="6">
        <f t="shared" si="34"/>
        <v>0</v>
      </c>
      <c r="S46" s="2"/>
      <c r="T46" s="7">
        <v>4394.16</v>
      </c>
      <c r="U46" s="2"/>
      <c r="V46" s="6">
        <f t="shared" si="35"/>
        <v>3.2424970361822632E-2</v>
      </c>
      <c r="W46" s="2"/>
      <c r="X46" s="7">
        <f t="shared" si="36"/>
        <v>-4214.16</v>
      </c>
      <c r="Y46" s="2"/>
      <c r="Z46" s="6">
        <f t="shared" si="37"/>
        <v>-0.95903653940684908</v>
      </c>
    </row>
    <row r="47" spans="1:26" s="27" customFormat="1" outlineLevel="1" collapsed="1" x14ac:dyDescent="0.25">
      <c r="A47" s="29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SUM(OSRRefD22_5x_0)</f>
        <v>0</v>
      </c>
      <c r="E47" s="1"/>
      <c r="F47" s="5">
        <f t="shared" si="30"/>
        <v>0</v>
      </c>
      <c r="G47" s="1"/>
      <c r="H47" s="1">
        <f>SUM(OSRRefH22_5x_0)</f>
        <v>11.81</v>
      </c>
      <c r="I47" s="1"/>
      <c r="J47" s="5">
        <f t="shared" si="31"/>
        <v>1.4015004480410616E-4</v>
      </c>
      <c r="K47" s="1"/>
      <c r="L47" s="1">
        <f t="shared" si="32"/>
        <v>-11.81</v>
      </c>
      <c r="M47" s="1"/>
      <c r="N47" s="5">
        <f t="shared" si="33"/>
        <v>-1</v>
      </c>
      <c r="O47" s="14"/>
      <c r="P47" s="1">
        <f>SUM(OSRRefP22_5x_0)</f>
        <v>0</v>
      </c>
      <c r="Q47" s="1"/>
      <c r="R47" s="5">
        <f t="shared" si="34"/>
        <v>0</v>
      </c>
      <c r="S47" s="1"/>
      <c r="T47" s="1">
        <f>SUM(OSRRefT22_5x_0)</f>
        <v>31.9</v>
      </c>
      <c r="U47" s="1"/>
      <c r="V47" s="5">
        <f t="shared" si="35"/>
        <v>2.3539346645141322E-4</v>
      </c>
      <c r="W47" s="1"/>
      <c r="X47" s="1">
        <f t="shared" si="36"/>
        <v>-31.9</v>
      </c>
      <c r="Y47" s="1"/>
      <c r="Z47" s="5">
        <f t="shared" si="37"/>
        <v>-1</v>
      </c>
    </row>
    <row r="48" spans="1:26" s="24" customFormat="1" hidden="1" outlineLevel="2" x14ac:dyDescent="0.25">
      <c r="A48" s="28"/>
      <c r="B48" s="11" t="str">
        <f>CONCATENATE("          ", "6382", " - ", "DISCOUNTS/MARK DOWNS")</f>
        <v xml:space="preserve">          6382 - DISCOUNTS/MARK DOWNS</v>
      </c>
      <c r="C48" s="11"/>
      <c r="D48" s="7"/>
      <c r="E48" s="2"/>
      <c r="F48" s="6">
        <f t="shared" si="30"/>
        <v>0</v>
      </c>
      <c r="G48" s="2"/>
      <c r="H48" s="7">
        <v>11.81</v>
      </c>
      <c r="I48" s="2"/>
      <c r="J48" s="6">
        <f t="shared" si="31"/>
        <v>1.4015004480410616E-4</v>
      </c>
      <c r="K48" s="2"/>
      <c r="L48" s="7">
        <f t="shared" si="32"/>
        <v>-11.81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31.9</v>
      </c>
      <c r="U48" s="2"/>
      <c r="V48" s="6">
        <f t="shared" si="35"/>
        <v>2.3539346645141322E-4</v>
      </c>
      <c r="W48" s="2"/>
      <c r="X48" s="7">
        <f t="shared" si="36"/>
        <v>-31.9</v>
      </c>
      <c r="Y48" s="2"/>
      <c r="Z48" s="6">
        <f t="shared" si="37"/>
        <v>-1</v>
      </c>
    </row>
    <row r="49" spans="1:26" s="27" customFormat="1" outlineLevel="1" collapsed="1" x14ac:dyDescent="0.25">
      <c r="A49" s="29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6.06</v>
      </c>
      <c r="E49" s="1"/>
      <c r="F49" s="5">
        <f t="shared" si="30"/>
        <v>0</v>
      </c>
      <c r="G49" s="1"/>
      <c r="H49" s="1">
        <f>SUM(OSRRefH22_6x_0)</f>
        <v>28.87</v>
      </c>
      <c r="I49" s="1"/>
      <c r="J49" s="5">
        <f t="shared" si="31"/>
        <v>3.4260218403848818E-4</v>
      </c>
      <c r="K49" s="1"/>
      <c r="L49" s="1">
        <f t="shared" si="32"/>
        <v>-22.810000000000002</v>
      </c>
      <c r="M49" s="1"/>
      <c r="N49" s="5">
        <f t="shared" si="33"/>
        <v>-0.79009352268791133</v>
      </c>
      <c r="O49" s="14"/>
      <c r="P49" s="1">
        <f>SUM(OSRRefP22_6x_0)</f>
        <v>10</v>
      </c>
      <c r="Q49" s="1"/>
      <c r="R49" s="5">
        <f t="shared" si="34"/>
        <v>0</v>
      </c>
      <c r="S49" s="1"/>
      <c r="T49" s="1">
        <f>SUM(OSRRefT22_6x_0)</f>
        <v>145.52000000000001</v>
      </c>
      <c r="U49" s="1"/>
      <c r="V49" s="5">
        <f t="shared" si="35"/>
        <v>1.0738074369282024E-3</v>
      </c>
      <c r="W49" s="1"/>
      <c r="X49" s="1">
        <f t="shared" si="36"/>
        <v>-135.52000000000001</v>
      </c>
      <c r="Y49" s="1"/>
      <c r="Z49" s="5">
        <f t="shared" si="37"/>
        <v>-0.93128092358438708</v>
      </c>
    </row>
    <row r="50" spans="1:26" s="24" customFormat="1" hidden="1" outlineLevel="2" x14ac:dyDescent="0.25">
      <c r="A50" s="28"/>
      <c r="B50" s="11" t="str">
        <f>CONCATENATE("          ", "6305", " - ", "FREIGHT OUT")</f>
        <v xml:space="preserve">          6305 - FREIGHT OUT</v>
      </c>
      <c r="C50" s="11"/>
      <c r="D50" s="7">
        <v>6.06</v>
      </c>
      <c r="E50" s="2"/>
      <c r="F50" s="6">
        <f t="shared" si="30"/>
        <v>0</v>
      </c>
      <c r="G50" s="2"/>
      <c r="H50" s="7">
        <v>28.87</v>
      </c>
      <c r="I50" s="2"/>
      <c r="J50" s="6">
        <f t="shared" si="31"/>
        <v>3.4260218403848818E-4</v>
      </c>
      <c r="K50" s="2"/>
      <c r="L50" s="7">
        <f t="shared" si="32"/>
        <v>-22.810000000000002</v>
      </c>
      <c r="M50" s="2"/>
      <c r="N50" s="6">
        <f t="shared" si="33"/>
        <v>-0.79009352268791133</v>
      </c>
      <c r="O50" s="11"/>
      <c r="P50" s="7">
        <v>10</v>
      </c>
      <c r="Q50" s="2"/>
      <c r="R50" s="6">
        <f t="shared" si="34"/>
        <v>0</v>
      </c>
      <c r="S50" s="2"/>
      <c r="T50" s="7">
        <v>145.52000000000001</v>
      </c>
      <c r="U50" s="2"/>
      <c r="V50" s="6">
        <f t="shared" si="35"/>
        <v>1.0738074369282024E-3</v>
      </c>
      <c r="W50" s="2"/>
      <c r="X50" s="7">
        <f t="shared" si="36"/>
        <v>-135.52000000000001</v>
      </c>
      <c r="Y50" s="2"/>
      <c r="Z50" s="6">
        <f t="shared" si="37"/>
        <v>-0.93128092358438708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50.8</v>
      </c>
      <c r="I51" s="1"/>
      <c r="J51" s="5">
        <f t="shared" si="31"/>
        <v>6.0284693277295456E-4</v>
      </c>
      <c r="K51" s="1"/>
      <c r="L51" s="1">
        <f t="shared" si="32"/>
        <v>-50.8</v>
      </c>
      <c r="M51" s="1"/>
      <c r="N51" s="5">
        <f t="shared" si="33"/>
        <v>-1</v>
      </c>
      <c r="O51" s="14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860.6</v>
      </c>
      <c r="U51" s="1"/>
      <c r="V51" s="5">
        <f t="shared" si="35"/>
        <v>6.3504582203161835E-3</v>
      </c>
      <c r="W51" s="1"/>
      <c r="X51" s="1">
        <f t="shared" si="36"/>
        <v>-860.6</v>
      </c>
      <c r="Y51" s="1"/>
      <c r="Z51" s="5">
        <f t="shared" si="37"/>
        <v>-1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0"/>
        <v>0</v>
      </c>
      <c r="G52" s="2"/>
      <c r="H52" s="7">
        <v>50.8</v>
      </c>
      <c r="I52" s="2"/>
      <c r="J52" s="6">
        <f t="shared" si="31"/>
        <v>6.0284693277295456E-4</v>
      </c>
      <c r="K52" s="2"/>
      <c r="L52" s="7">
        <f t="shared" si="32"/>
        <v>-50.8</v>
      </c>
      <c r="M52" s="2"/>
      <c r="N52" s="6">
        <f t="shared" si="33"/>
        <v>-1</v>
      </c>
      <c r="O52" s="11"/>
      <c r="P52" s="7"/>
      <c r="Q52" s="2"/>
      <c r="R52" s="6">
        <f t="shared" si="34"/>
        <v>0</v>
      </c>
      <c r="S52" s="2"/>
      <c r="T52" s="7">
        <v>860.6</v>
      </c>
      <c r="U52" s="2"/>
      <c r="V52" s="6">
        <f t="shared" si="35"/>
        <v>6.3504582203161835E-3</v>
      </c>
      <c r="W52" s="2"/>
      <c r="X52" s="7">
        <f t="shared" si="36"/>
        <v>-860.6</v>
      </c>
      <c r="Y52" s="2"/>
      <c r="Z52" s="6">
        <f t="shared" si="37"/>
        <v>-1</v>
      </c>
    </row>
    <row r="53" spans="1:26" s="27" customFormat="1" outlineLevel="1" collapsed="1" x14ac:dyDescent="0.25">
      <c r="A53" s="29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24.12</v>
      </c>
      <c r="E53" s="1"/>
      <c r="F53" s="5">
        <f t="shared" si="30"/>
        <v>0</v>
      </c>
      <c r="G53" s="1"/>
      <c r="H53" s="1">
        <f>SUM(OSRRefH22_8x_0)</f>
        <v>437.31</v>
      </c>
      <c r="I53" s="1"/>
      <c r="J53" s="5">
        <f t="shared" si="31"/>
        <v>5.1895864600578889E-3</v>
      </c>
      <c r="K53" s="1"/>
      <c r="L53" s="1">
        <f t="shared" si="32"/>
        <v>-413.19</v>
      </c>
      <c r="M53" s="1"/>
      <c r="N53" s="5">
        <f t="shared" si="33"/>
        <v>-0.94484461823420451</v>
      </c>
      <c r="O53" s="14"/>
      <c r="P53" s="1">
        <f>SUM(OSRRefP22_8x_0)</f>
        <v>24.12</v>
      </c>
      <c r="Q53" s="1"/>
      <c r="R53" s="5">
        <f t="shared" si="34"/>
        <v>0</v>
      </c>
      <c r="S53" s="1"/>
      <c r="T53" s="1">
        <f>SUM(OSRRefT22_8x_0)</f>
        <v>1017.8900000000001</v>
      </c>
      <c r="U53" s="1"/>
      <c r="V53" s="5">
        <f t="shared" si="35"/>
        <v>7.5111177293488733E-3</v>
      </c>
      <c r="W53" s="1"/>
      <c r="X53" s="1">
        <f t="shared" si="36"/>
        <v>-993.7700000000001</v>
      </c>
      <c r="Y53" s="1"/>
      <c r="Z53" s="5">
        <f t="shared" si="37"/>
        <v>-0.97630392282073697</v>
      </c>
    </row>
    <row r="54" spans="1:26" s="24" customFormat="1" hidden="1" outlineLevel="2" x14ac:dyDescent="0.25">
      <c r="A54" s="28"/>
      <c r="B54" s="11" t="str">
        <f>CONCATENATE("          ", "6371", " - ", "COMPUTER SOFTWARE MAINTENANCE")</f>
        <v xml:space="preserve">          6371 - COMPUTER SOFTWARE MAINTENANCE</v>
      </c>
      <c r="C54" s="11"/>
      <c r="D54" s="7"/>
      <c r="E54" s="2"/>
      <c r="F54" s="6">
        <f t="shared" si="30"/>
        <v>0</v>
      </c>
      <c r="G54" s="2"/>
      <c r="H54" s="7">
        <v>437.31</v>
      </c>
      <c r="I54" s="2"/>
      <c r="J54" s="6">
        <f t="shared" si="31"/>
        <v>5.1895864600578889E-3</v>
      </c>
      <c r="K54" s="2"/>
      <c r="L54" s="7">
        <f t="shared" si="32"/>
        <v>-437.31</v>
      </c>
      <c r="M54" s="2"/>
      <c r="N54" s="6">
        <f t="shared" si="33"/>
        <v>-1</v>
      </c>
      <c r="O54" s="11"/>
      <c r="P54" s="7"/>
      <c r="Q54" s="2"/>
      <c r="R54" s="6">
        <f t="shared" si="34"/>
        <v>0</v>
      </c>
      <c r="S54" s="2"/>
      <c r="T54" s="7">
        <v>437.31</v>
      </c>
      <c r="U54" s="2"/>
      <c r="V54" s="6">
        <f t="shared" si="35"/>
        <v>3.2269566399331512E-3</v>
      </c>
      <c r="W54" s="2"/>
      <c r="X54" s="7">
        <f t="shared" si="36"/>
        <v>-437.31</v>
      </c>
      <c r="Y54" s="2"/>
      <c r="Z54" s="6">
        <f t="shared" si="37"/>
        <v>-1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7">
        <v>24.12</v>
      </c>
      <c r="E55" s="2"/>
      <c r="F55" s="6">
        <f t="shared" si="30"/>
        <v>0</v>
      </c>
      <c r="G55" s="2"/>
      <c r="H55" s="7"/>
      <c r="I55" s="2"/>
      <c r="J55" s="6">
        <f t="shared" si="31"/>
        <v>0</v>
      </c>
      <c r="K55" s="2"/>
      <c r="L55" s="7">
        <f t="shared" si="32"/>
        <v>24.12</v>
      </c>
      <c r="M55" s="2"/>
      <c r="N55" s="6">
        <f t="shared" si="33"/>
        <v>0</v>
      </c>
      <c r="O55" s="11"/>
      <c r="P55" s="7">
        <v>24.12</v>
      </c>
      <c r="Q55" s="2"/>
      <c r="R55" s="6">
        <f t="shared" si="34"/>
        <v>0</v>
      </c>
      <c r="S55" s="2"/>
      <c r="T55" s="7"/>
      <c r="U55" s="2"/>
      <c r="V55" s="6">
        <f t="shared" si="35"/>
        <v>0</v>
      </c>
      <c r="W55" s="2"/>
      <c r="X55" s="7">
        <f t="shared" si="36"/>
        <v>24.12</v>
      </c>
      <c r="Y55" s="2"/>
      <c r="Z55" s="6">
        <f t="shared" si="37"/>
        <v>0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30"/>
        <v>0</v>
      </c>
      <c r="G56" s="2"/>
      <c r="H56" s="7"/>
      <c r="I56" s="2"/>
      <c r="J56" s="6">
        <f t="shared" si="31"/>
        <v>0</v>
      </c>
      <c r="K56" s="2"/>
      <c r="L56" s="7">
        <f t="shared" si="32"/>
        <v>0</v>
      </c>
      <c r="M56" s="2"/>
      <c r="N56" s="6">
        <f t="shared" si="33"/>
        <v>0</v>
      </c>
      <c r="O56" s="11"/>
      <c r="P56" s="7"/>
      <c r="Q56" s="2"/>
      <c r="R56" s="6">
        <f t="shared" si="34"/>
        <v>0</v>
      </c>
      <c r="S56" s="2"/>
      <c r="T56" s="7">
        <v>580.58000000000004</v>
      </c>
      <c r="U56" s="2"/>
      <c r="V56" s="6">
        <f t="shared" si="35"/>
        <v>4.2841610894157212E-3</v>
      </c>
      <c r="W56" s="2"/>
      <c r="X56" s="7">
        <f t="shared" si="36"/>
        <v>-580.58000000000004</v>
      </c>
      <c r="Y56" s="2"/>
      <c r="Z56" s="6">
        <f t="shared" si="37"/>
        <v>-1</v>
      </c>
    </row>
    <row r="57" spans="1:26" s="27" customFormat="1" outlineLevel="1" collapsed="1" x14ac:dyDescent="0.25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SUM(OSRRefD22_9x_0)</f>
        <v>0</v>
      </c>
      <c r="E57" s="1"/>
      <c r="F57" s="5">
        <f t="shared" ref="F57:F64" si="38">IF(D$12=0,0,D57/D$12)</f>
        <v>0</v>
      </c>
      <c r="G57" s="1"/>
      <c r="H57" s="1">
        <f>SUM(OSRRefH22_9x_0)</f>
        <v>137.80000000000001</v>
      </c>
      <c r="I57" s="1"/>
      <c r="J57" s="5">
        <f t="shared" ref="J57:J64" si="39">IF(H$12=0,0,H57/H$12)</f>
        <v>1.6352816404746682E-3</v>
      </c>
      <c r="K57" s="1"/>
      <c r="L57" s="1">
        <f t="shared" ref="L57:L64" si="40">+D57-H57</f>
        <v>-137.80000000000001</v>
      </c>
      <c r="M57" s="1"/>
      <c r="N57" s="5">
        <f t="shared" ref="N57:N64" si="41">IF(H57=0,0,L57/H57)</f>
        <v>-1</v>
      </c>
      <c r="O57" s="14"/>
      <c r="P57" s="1">
        <f>SUM(OSRRefP22_9x_0)</f>
        <v>0</v>
      </c>
      <c r="Q57" s="1"/>
      <c r="R57" s="5">
        <f t="shared" ref="R57:R64" si="42">IF(P$12=0,0,P57/P$12)</f>
        <v>0</v>
      </c>
      <c r="S57" s="1"/>
      <c r="T57" s="1">
        <f>SUM(OSRRefT22_9x_0)</f>
        <v>456.86</v>
      </c>
      <c r="U57" s="1"/>
      <c r="V57" s="5">
        <f t="shared" ref="V57:V64" si="43">IF(T$12=0,0,T57/T$12)</f>
        <v>3.3712181530718699E-3</v>
      </c>
      <c r="W57" s="1"/>
      <c r="X57" s="1">
        <f t="shared" ref="X57:X64" si="44">+P57-T57</f>
        <v>-456.86</v>
      </c>
      <c r="Y57" s="1"/>
      <c r="Z57" s="5">
        <f t="shared" ref="Z57:Z64" si="45">IF(T57=0,0,X57/T57)</f>
        <v>-1</v>
      </c>
    </row>
    <row r="58" spans="1:26" s="24" customFormat="1" hidden="1" outlineLevel="2" x14ac:dyDescent="0.25">
      <c r="A58" s="28"/>
      <c r="B58" s="11" t="str">
        <f>CONCATENATE("          ", "6286", " - ", "LAUNDRY EXPENSE")</f>
        <v xml:space="preserve">          6286 - LAUNDRY EXPENSE</v>
      </c>
      <c r="C58" s="11"/>
      <c r="D58" s="7"/>
      <c r="E58" s="2"/>
      <c r="F58" s="6">
        <f t="shared" si="38"/>
        <v>0</v>
      </c>
      <c r="G58" s="2"/>
      <c r="H58" s="7">
        <v>137.80000000000001</v>
      </c>
      <c r="I58" s="2"/>
      <c r="J58" s="6">
        <f t="shared" si="39"/>
        <v>1.6352816404746682E-3</v>
      </c>
      <c r="K58" s="2"/>
      <c r="L58" s="7">
        <f t="shared" si="40"/>
        <v>-137.80000000000001</v>
      </c>
      <c r="M58" s="2"/>
      <c r="N58" s="6">
        <f t="shared" si="41"/>
        <v>-1</v>
      </c>
      <c r="O58" s="11"/>
      <c r="P58" s="7"/>
      <c r="Q58" s="2"/>
      <c r="R58" s="6">
        <f t="shared" si="42"/>
        <v>0</v>
      </c>
      <c r="S58" s="2"/>
      <c r="T58" s="7">
        <v>456.86</v>
      </c>
      <c r="U58" s="2"/>
      <c r="V58" s="6">
        <f t="shared" si="43"/>
        <v>3.3712181530718699E-3</v>
      </c>
      <c r="W58" s="2"/>
      <c r="X58" s="7">
        <f t="shared" si="44"/>
        <v>-456.86</v>
      </c>
      <c r="Y58" s="2"/>
      <c r="Z58" s="6">
        <f t="shared" si="45"/>
        <v>-1</v>
      </c>
    </row>
    <row r="59" spans="1:26" s="27" customFormat="1" outlineLevel="1" collapsed="1" x14ac:dyDescent="0.25">
      <c r="A59" s="29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SUM(OSRRefD22_10x_0)</f>
        <v>0</v>
      </c>
      <c r="E59" s="1"/>
      <c r="F59" s="5">
        <f t="shared" si="38"/>
        <v>0</v>
      </c>
      <c r="G59" s="1"/>
      <c r="H59" s="1">
        <f>SUM(OSRRefH22_10x_0)</f>
        <v>382.42</v>
      </c>
      <c r="I59" s="1"/>
      <c r="J59" s="5">
        <f t="shared" si="39"/>
        <v>4.5382032289573481E-3</v>
      </c>
      <c r="K59" s="1"/>
      <c r="L59" s="1">
        <f t="shared" si="40"/>
        <v>-382.42</v>
      </c>
      <c r="M59" s="1"/>
      <c r="N59" s="5">
        <f t="shared" si="41"/>
        <v>-1</v>
      </c>
      <c r="O59" s="14"/>
      <c r="P59" s="1">
        <f>SUM(OSRRefP22_10x_0)</f>
        <v>0</v>
      </c>
      <c r="Q59" s="1"/>
      <c r="R59" s="5">
        <f t="shared" si="42"/>
        <v>0</v>
      </c>
      <c r="S59" s="1"/>
      <c r="T59" s="1">
        <f>SUM(OSRRefT22_10x_0)</f>
        <v>2728.99</v>
      </c>
      <c r="U59" s="1"/>
      <c r="V59" s="5">
        <f t="shared" si="43"/>
        <v>2.0137505204114173E-2</v>
      </c>
      <c r="W59" s="1"/>
      <c r="X59" s="1">
        <f t="shared" si="44"/>
        <v>-2728.99</v>
      </c>
      <c r="Y59" s="1"/>
      <c r="Z59" s="5">
        <f t="shared" si="45"/>
        <v>-1</v>
      </c>
    </row>
    <row r="60" spans="1:26" s="24" customFormat="1" hidden="1" outlineLevel="2" x14ac:dyDescent="0.25">
      <c r="A60" s="28"/>
      <c r="B60" s="11" t="str">
        <f>CONCATENATE("          ", "6234", " - ", "EXPENDABLE SUPPLIES &amp; EQUIPMEN")</f>
        <v xml:space="preserve">          6234 - EXPENDABLE SUPPLIES &amp; EQUIPMEN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/>
      <c r="Q60" s="2"/>
      <c r="R60" s="6">
        <f t="shared" si="42"/>
        <v>0</v>
      </c>
      <c r="S60" s="2"/>
      <c r="T60" s="7">
        <v>354.82</v>
      </c>
      <c r="U60" s="2"/>
      <c r="V60" s="6">
        <f t="shared" si="43"/>
        <v>2.6182542246486031E-3</v>
      </c>
      <c r="W60" s="2"/>
      <c r="X60" s="7">
        <f t="shared" si="44"/>
        <v>-354.82</v>
      </c>
      <c r="Y60" s="2"/>
      <c r="Z60" s="6">
        <f t="shared" si="45"/>
        <v>-1</v>
      </c>
    </row>
    <row r="61" spans="1:26" s="24" customFormat="1" hidden="1" outlineLevel="2" x14ac:dyDescent="0.25">
      <c r="A61" s="28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111.27</v>
      </c>
      <c r="U61" s="2"/>
      <c r="V61" s="6">
        <f t="shared" si="43"/>
        <v>8.2107307247801726E-4</v>
      </c>
      <c r="W61" s="2"/>
      <c r="X61" s="7">
        <f t="shared" si="44"/>
        <v>-111.27</v>
      </c>
      <c r="Y61" s="2"/>
      <c r="Z61" s="6">
        <f t="shared" si="45"/>
        <v>-1</v>
      </c>
    </row>
    <row r="62" spans="1:26" s="24" customFormat="1" hidden="1" outlineLevel="2" x14ac:dyDescent="0.25">
      <c r="A62" s="28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38"/>
        <v>0</v>
      </c>
      <c r="G62" s="2"/>
      <c r="H62" s="7">
        <v>22.45</v>
      </c>
      <c r="I62" s="2"/>
      <c r="J62" s="6">
        <f t="shared" si="39"/>
        <v>2.6641562284946514E-4</v>
      </c>
      <c r="K62" s="2"/>
      <c r="L62" s="7">
        <f t="shared" si="40"/>
        <v>-22.45</v>
      </c>
      <c r="M62" s="2"/>
      <c r="N62" s="6">
        <f t="shared" si="41"/>
        <v>-1</v>
      </c>
      <c r="O62" s="11"/>
      <c r="P62" s="7"/>
      <c r="Q62" s="2"/>
      <c r="R62" s="6">
        <f t="shared" si="42"/>
        <v>0</v>
      </c>
      <c r="S62" s="2"/>
      <c r="T62" s="7">
        <v>130.19</v>
      </c>
      <c r="U62" s="2"/>
      <c r="V62" s="6">
        <f t="shared" si="43"/>
        <v>9.6068574913195891E-4</v>
      </c>
      <c r="W62" s="2"/>
      <c r="X62" s="7">
        <f t="shared" si="44"/>
        <v>-130.19</v>
      </c>
      <c r="Y62" s="2"/>
      <c r="Z62" s="6">
        <f t="shared" si="45"/>
        <v>-1</v>
      </c>
    </row>
    <row r="63" spans="1:26" s="24" customFormat="1" hidden="1" outlineLevel="2" x14ac:dyDescent="0.25">
      <c r="A63" s="28"/>
      <c r="B63" s="11" t="str">
        <f>CONCATENATE("          ", "6245", " - ", "PRINTING")</f>
        <v xml:space="preserve">          6245 - PRINTING</v>
      </c>
      <c r="C63" s="11"/>
      <c r="D63" s="7"/>
      <c r="E63" s="2"/>
      <c r="F63" s="6">
        <f t="shared" si="38"/>
        <v>0</v>
      </c>
      <c r="G63" s="2"/>
      <c r="H63" s="7">
        <v>35.54</v>
      </c>
      <c r="I63" s="2"/>
      <c r="J63" s="6">
        <f t="shared" si="39"/>
        <v>4.2175551162895286E-4</v>
      </c>
      <c r="K63" s="2"/>
      <c r="L63" s="7">
        <f t="shared" si="40"/>
        <v>-35.54</v>
      </c>
      <c r="M63" s="2"/>
      <c r="N63" s="6">
        <f t="shared" si="41"/>
        <v>-1</v>
      </c>
      <c r="O63" s="11"/>
      <c r="P63" s="7"/>
      <c r="Q63" s="2"/>
      <c r="R63" s="6">
        <f t="shared" si="42"/>
        <v>0</v>
      </c>
      <c r="S63" s="2"/>
      <c r="T63" s="7">
        <v>35.54</v>
      </c>
      <c r="U63" s="2"/>
      <c r="V63" s="6">
        <f t="shared" si="43"/>
        <v>2.6225341058568107E-4</v>
      </c>
      <c r="W63" s="2"/>
      <c r="X63" s="7">
        <f t="shared" si="44"/>
        <v>-35.54</v>
      </c>
      <c r="Y63" s="2"/>
      <c r="Z63" s="6">
        <f t="shared" si="45"/>
        <v>-1</v>
      </c>
    </row>
    <row r="64" spans="1:26" s="24" customFormat="1" hidden="1" outlineLevel="2" x14ac:dyDescent="0.25">
      <c r="A64" s="28"/>
      <c r="B64" s="11" t="str">
        <f>CONCATENATE("          ", "6247", " - ", "STORE SUPPLIES")</f>
        <v xml:space="preserve">          6247 - STORE SUPPLIES</v>
      </c>
      <c r="C64" s="11"/>
      <c r="D64" s="7"/>
      <c r="E64" s="2"/>
      <c r="F64" s="6">
        <f t="shared" si="38"/>
        <v>0</v>
      </c>
      <c r="G64" s="2"/>
      <c r="H64" s="7">
        <v>324.43</v>
      </c>
      <c r="I64" s="2"/>
      <c r="J64" s="6">
        <f t="shared" si="39"/>
        <v>3.8500320944789301E-3</v>
      </c>
      <c r="K64" s="2"/>
      <c r="L64" s="7">
        <f t="shared" si="40"/>
        <v>-324.43</v>
      </c>
      <c r="M64" s="2"/>
      <c r="N64" s="6">
        <f t="shared" si="41"/>
        <v>-1</v>
      </c>
      <c r="O64" s="11"/>
      <c r="P64" s="7"/>
      <c r="Q64" s="2"/>
      <c r="R64" s="6">
        <f t="shared" si="42"/>
        <v>0</v>
      </c>
      <c r="S64" s="2"/>
      <c r="T64" s="7">
        <v>2097.17</v>
      </c>
      <c r="U64" s="2"/>
      <c r="V64" s="6">
        <f t="shared" si="43"/>
        <v>1.5475238747269917E-2</v>
      </c>
      <c r="W64" s="2"/>
      <c r="X64" s="7">
        <f t="shared" si="44"/>
        <v>-2097.17</v>
      </c>
      <c r="Y64" s="2"/>
      <c r="Z64" s="6">
        <f t="shared" si="45"/>
        <v>-1</v>
      </c>
    </row>
    <row r="65" spans="1:26" s="27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SUM(OSRRefD22_11x_0)</f>
        <v>170</v>
      </c>
      <c r="E65" s="1"/>
      <c r="F65" s="5">
        <f t="shared" ref="F65:F68" si="46">IF(D$12=0,0,D65/D$12)</f>
        <v>0</v>
      </c>
      <c r="G65" s="1"/>
      <c r="H65" s="1">
        <f>SUM(OSRRefH22_11x_0)</f>
        <v>125</v>
      </c>
      <c r="I65" s="1"/>
      <c r="J65" s="5">
        <f t="shared" ref="J65:J68" si="47">IF(H$12=0,0,H65/H$12)</f>
        <v>1.4833832007208527E-3</v>
      </c>
      <c r="K65" s="1"/>
      <c r="L65" s="1">
        <f t="shared" ref="L65:L68" si="48">+D65-H65</f>
        <v>45</v>
      </c>
      <c r="M65" s="1"/>
      <c r="N65" s="5">
        <f t="shared" ref="N65:N68" si="49">IF(H65=0,0,L65/H65)</f>
        <v>0.36</v>
      </c>
      <c r="O65" s="14"/>
      <c r="P65" s="1">
        <f>SUM(OSRRefP22_11x_0)</f>
        <v>414.35</v>
      </c>
      <c r="Q65" s="1"/>
      <c r="R65" s="5">
        <f t="shared" ref="R65:R68" si="50">IF(P$12=0,0,P65/P$12)</f>
        <v>0</v>
      </c>
      <c r="S65" s="1"/>
      <c r="T65" s="1">
        <f>SUM(OSRRefT22_11x_0)</f>
        <v>323.60000000000002</v>
      </c>
      <c r="U65" s="1"/>
      <c r="V65" s="5">
        <f t="shared" ref="V65:V68" si="51">IF(T$12=0,0,T65/T$12)</f>
        <v>2.387878549958537E-3</v>
      </c>
      <c r="W65" s="1"/>
      <c r="X65" s="1">
        <f t="shared" ref="X65:X68" si="52">+P65-T65</f>
        <v>90.75</v>
      </c>
      <c r="Y65" s="1"/>
      <c r="Z65" s="5">
        <f t="shared" ref="Z65:Z68" si="53">IF(T65=0,0,X65/T65)</f>
        <v>0.28043881334981458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7">
        <v>170</v>
      </c>
      <c r="E66" s="2"/>
      <c r="F66" s="6">
        <f t="shared" si="46"/>
        <v>0</v>
      </c>
      <c r="G66" s="2"/>
      <c r="H66" s="7">
        <v>125</v>
      </c>
      <c r="I66" s="2"/>
      <c r="J66" s="6">
        <f t="shared" si="47"/>
        <v>1.4833832007208527E-3</v>
      </c>
      <c r="K66" s="2"/>
      <c r="L66" s="7">
        <f t="shared" si="48"/>
        <v>45</v>
      </c>
      <c r="M66" s="2"/>
      <c r="N66" s="6">
        <f t="shared" si="49"/>
        <v>0.36</v>
      </c>
      <c r="O66" s="11"/>
      <c r="P66" s="7">
        <v>414.35</v>
      </c>
      <c r="Q66" s="2"/>
      <c r="R66" s="6">
        <f t="shared" si="50"/>
        <v>0</v>
      </c>
      <c r="S66" s="2"/>
      <c r="T66" s="7">
        <v>323.60000000000002</v>
      </c>
      <c r="U66" s="2"/>
      <c r="V66" s="6">
        <f t="shared" si="51"/>
        <v>2.387878549958537E-3</v>
      </c>
      <c r="W66" s="2"/>
      <c r="X66" s="7">
        <f t="shared" si="52"/>
        <v>90.75</v>
      </c>
      <c r="Y66" s="2"/>
      <c r="Z66" s="6">
        <f t="shared" si="53"/>
        <v>0.28043881334981458</v>
      </c>
    </row>
    <row r="67" spans="1:26" s="27" customFormat="1" outlineLevel="1" collapsed="1" x14ac:dyDescent="0.25">
      <c r="A67" s="29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SUM(OSRRefD22_12x_0)</f>
        <v>0</v>
      </c>
      <c r="E67" s="1"/>
      <c r="F67" s="5">
        <f t="shared" si="46"/>
        <v>0</v>
      </c>
      <c r="G67" s="1"/>
      <c r="H67" s="1">
        <f>SUM(OSRRefH22_12x_0)</f>
        <v>96</v>
      </c>
      <c r="I67" s="1"/>
      <c r="J67" s="5">
        <f t="shared" si="47"/>
        <v>1.139238298153615E-3</v>
      </c>
      <c r="K67" s="1"/>
      <c r="L67" s="1">
        <f t="shared" si="48"/>
        <v>-96</v>
      </c>
      <c r="M67" s="1"/>
      <c r="N67" s="5">
        <f t="shared" si="49"/>
        <v>-1</v>
      </c>
      <c r="O67" s="14"/>
      <c r="P67" s="1">
        <f>SUM(OSRRefP22_12x_0)</f>
        <v>0</v>
      </c>
      <c r="Q67" s="1"/>
      <c r="R67" s="5">
        <f t="shared" si="50"/>
        <v>0</v>
      </c>
      <c r="S67" s="1"/>
      <c r="T67" s="1">
        <f>SUM(OSRRefT22_12x_0)</f>
        <v>96</v>
      </c>
      <c r="U67" s="1"/>
      <c r="V67" s="5">
        <f t="shared" si="51"/>
        <v>7.0839413101365738E-4</v>
      </c>
      <c r="W67" s="1"/>
      <c r="X67" s="1">
        <f t="shared" si="52"/>
        <v>-96</v>
      </c>
      <c r="Y67" s="1"/>
      <c r="Z67" s="5">
        <f t="shared" si="53"/>
        <v>-1</v>
      </c>
    </row>
    <row r="68" spans="1:26" s="24" customFormat="1" hidden="1" outlineLevel="2" x14ac:dyDescent="0.25">
      <c r="A68" s="28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6"/>
        <v>0</v>
      </c>
      <c r="G68" s="2"/>
      <c r="H68" s="7">
        <v>96</v>
      </c>
      <c r="I68" s="2"/>
      <c r="J68" s="6">
        <f t="shared" si="47"/>
        <v>1.139238298153615E-3</v>
      </c>
      <c r="K68" s="2"/>
      <c r="L68" s="7">
        <f t="shared" si="48"/>
        <v>-96</v>
      </c>
      <c r="M68" s="2"/>
      <c r="N68" s="6">
        <f t="shared" si="49"/>
        <v>-1</v>
      </c>
      <c r="O68" s="11"/>
      <c r="P68" s="7"/>
      <c r="Q68" s="2"/>
      <c r="R68" s="6">
        <f t="shared" si="50"/>
        <v>0</v>
      </c>
      <c r="S68" s="2"/>
      <c r="T68" s="7">
        <v>96</v>
      </c>
      <c r="U68" s="2"/>
      <c r="V68" s="6">
        <f t="shared" si="51"/>
        <v>7.0839413101365738E-4</v>
      </c>
      <c r="W68" s="2"/>
      <c r="X68" s="7">
        <f t="shared" si="52"/>
        <v>-96</v>
      </c>
      <c r="Y68" s="2"/>
      <c r="Z68" s="6">
        <f t="shared" si="53"/>
        <v>-1</v>
      </c>
    </row>
    <row r="69" spans="1:26" s="60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6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5" t="s">
        <v>3</v>
      </c>
      <c r="C72" s="25"/>
      <c r="D72" s="22">
        <f>+D23-D25+D70</f>
        <v>-9582.5499999999993</v>
      </c>
      <c r="E72" s="13"/>
      <c r="F72" s="21">
        <f>IF(D$12=0,0,D72/D$12)</f>
        <v>0</v>
      </c>
      <c r="G72" s="13"/>
      <c r="H72" s="22">
        <f>+H23-H25+H70</f>
        <v>25418.410000000011</v>
      </c>
      <c r="I72" s="13"/>
      <c r="J72" s="21">
        <f>IF(H$12=0,0,H72/H$12)</f>
        <v>0.30164193906427955</v>
      </c>
      <c r="K72" s="15"/>
      <c r="L72" s="22">
        <f>+D72-H72</f>
        <v>-35000.960000000006</v>
      </c>
      <c r="M72" s="15"/>
      <c r="N72" s="21">
        <f>IF(H72=0,0,L72/H72)</f>
        <v>-1.3769925026781766</v>
      </c>
      <c r="O72" s="26"/>
      <c r="P72" s="22">
        <f>+P23-P25+P70</f>
        <v>-28324.19</v>
      </c>
      <c r="Q72" s="13"/>
      <c r="R72" s="21">
        <f>IF(P$12=0,0,P72/P$12)</f>
        <v>0</v>
      </c>
      <c r="S72" s="13"/>
      <c r="T72" s="22">
        <f>+T23-T25+T70</f>
        <v>18710.080000000024</v>
      </c>
      <c r="U72" s="13"/>
      <c r="V72" s="21">
        <f>IF(T$12=0,0,T72/T$12)</f>
        <v>0.13806365482079194</v>
      </c>
      <c r="W72" s="15"/>
      <c r="X72" s="22">
        <f>+P72-T72</f>
        <v>-47034.270000000019</v>
      </c>
      <c r="Y72" s="15"/>
      <c r="Z72" s="21">
        <f>IF(T72=0,0,X72/T72)</f>
        <v>-2.5138465468880922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8166.34</v>
      </c>
      <c r="I74" s="4"/>
      <c r="J74" s="12">
        <f>IF(H$12=0,0,H74/H$12)</f>
        <v>9.6910492538997833E-2</v>
      </c>
      <c r="K74" s="4"/>
      <c r="L74" s="4">
        <f>+D74-H74</f>
        <v>-8166.34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14556.4</v>
      </c>
      <c r="U74" s="4"/>
      <c r="V74" s="12">
        <f>IF(T$12=0,0,T74/T$12)</f>
        <v>0.10741321175715836</v>
      </c>
      <c r="W74" s="4"/>
      <c r="X74" s="4">
        <f>+P74-T74</f>
        <v>-14556.4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4</v>
      </c>
      <c r="C76" s="25"/>
      <c r="D76" s="33">
        <f>+D72-D74</f>
        <v>-9582.5499999999993</v>
      </c>
      <c r="E76" s="13"/>
      <c r="F76" s="32">
        <f>IF(D$12=0,0,D76/D$12)</f>
        <v>0</v>
      </c>
      <c r="G76" s="13"/>
      <c r="H76" s="33">
        <f>+H72-H74</f>
        <v>17252.070000000011</v>
      </c>
      <c r="I76" s="13"/>
      <c r="J76" s="32">
        <f>IF(H$12=0,0,H76/H$12)</f>
        <v>0.20473144652528175</v>
      </c>
      <c r="K76" s="15"/>
      <c r="L76" s="33">
        <f>D76-H76</f>
        <v>-26834.62000000001</v>
      </c>
      <c r="M76" s="15"/>
      <c r="N76" s="32">
        <f>IF(H76=0,0,L76/H76)</f>
        <v>-1.5554434917085309</v>
      </c>
      <c r="O76" s="26"/>
      <c r="P76" s="33">
        <f>+P72-P74</f>
        <v>-28324.19</v>
      </c>
      <c r="Q76" s="13"/>
      <c r="R76" s="32">
        <f>IF(P$12=0,0,P76/P$12)</f>
        <v>0</v>
      </c>
      <c r="S76" s="13"/>
      <c r="T76" s="33">
        <f>+T72-T74</f>
        <v>4153.6800000000239</v>
      </c>
      <c r="U76" s="13"/>
      <c r="V76" s="32">
        <f>IF(T$12=0,0,T76/T$12)</f>
        <v>3.0650443063633598E-2</v>
      </c>
      <c r="W76" s="15"/>
      <c r="X76" s="33">
        <f>P76-T76</f>
        <v>-32477.870000000024</v>
      </c>
      <c r="Y76" s="15"/>
      <c r="Z76" s="32">
        <f>IF(T76=0,0,X76/T76)</f>
        <v>-7.8190592438511963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5</v>
      </c>
      <c r="C79" s="25"/>
      <c r="D79" s="34">
        <f>SUM(D76:D78)</f>
        <v>-9582.5499999999993</v>
      </c>
      <c r="E79" s="13"/>
      <c r="F79" s="31">
        <f>IF(D$12=0,0,D79/D$12)</f>
        <v>0</v>
      </c>
      <c r="G79" s="13"/>
      <c r="H79" s="34">
        <f>SUM(H76:H78)</f>
        <v>17252.070000000011</v>
      </c>
      <c r="I79" s="13"/>
      <c r="J79" s="31">
        <f>IF(H$12=0,0,H79/H$12)</f>
        <v>0.20473144652528175</v>
      </c>
      <c r="K79" s="15"/>
      <c r="L79" s="34">
        <f>+D79-H79</f>
        <v>-26834.62000000001</v>
      </c>
      <c r="M79" s="15"/>
      <c r="N79" s="31">
        <f>IF(H79=0,0,L79/H79)</f>
        <v>-1.5554434917085309</v>
      </c>
      <c r="O79" s="26"/>
      <c r="P79" s="34">
        <f>SUM(P76:P78)</f>
        <v>-28324.19</v>
      </c>
      <c r="Q79" s="13"/>
      <c r="R79" s="31">
        <f>IF(P$12=0,0,P79/P$12)</f>
        <v>0</v>
      </c>
      <c r="S79" s="13"/>
      <c r="T79" s="34">
        <f>SUM(T76:T78)</f>
        <v>4153.6800000000239</v>
      </c>
      <c r="U79" s="13"/>
      <c r="V79" s="31">
        <f>IF(T$12=0,0,T79/T$12)</f>
        <v>3.0650443063633598E-2</v>
      </c>
      <c r="W79" s="15"/>
      <c r="X79" s="34">
        <f>+P79-T79</f>
        <v>-32477.870000000024</v>
      </c>
      <c r="Y79" s="15"/>
      <c r="Z79" s="31">
        <f>IF(T79=0,0,X79/T79)</f>
        <v>-7.8190592438511963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4">
        <v>44123.565257326387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 t="s">
        <v>313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8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","321", " - ", "Student Union C-Store")</f>
        <v>Department 321 - Student Union C-Store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1762.4699999999998</v>
      </c>
      <c r="E12" s="4"/>
      <c r="F12" s="12"/>
      <c r="G12" s="4"/>
      <c r="H12" s="4">
        <f>SUM(OSRRefH13x_0)</f>
        <v>49419.18</v>
      </c>
      <c r="I12" s="4"/>
      <c r="J12" s="12"/>
      <c r="K12" s="4"/>
      <c r="L12" s="4">
        <f t="shared" ref="L12:L14" si="0">+D12-H12</f>
        <v>-47656.71</v>
      </c>
      <c r="M12" s="4"/>
      <c r="N12" s="12">
        <f t="shared" ref="N12:N14" si="1">IF(H12=0,0,L12/H12)</f>
        <v>-0.96433631638566242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71935.31</v>
      </c>
      <c r="U12" s="4"/>
      <c r="V12" s="12"/>
      <c r="W12" s="4"/>
      <c r="X12" s="4">
        <f t="shared" ref="X12:X14" si="2">+P12-T12</f>
        <v>-69458.84</v>
      </c>
      <c r="Y12" s="4"/>
      <c r="Z12" s="12">
        <f t="shared" ref="Z12:Z14" si="3">IF(T12=0,0,X12/T12)</f>
        <v>-0.965573652216137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--356.39</f>
        <v>356.39</v>
      </c>
      <c r="E13" s="2"/>
      <c r="F13" s="19"/>
      <c r="G13" s="2"/>
      <c r="H13" s="2">
        <f>--12163.44</f>
        <v>12163.44</v>
      </c>
      <c r="I13" s="2"/>
      <c r="J13" s="19"/>
      <c r="K13" s="2"/>
      <c r="L13" s="2">
        <f t="shared" si="0"/>
        <v>-11807.050000000001</v>
      </c>
      <c r="M13" s="2"/>
      <c r="N13" s="19">
        <f t="shared" si="1"/>
        <v>-0.97069990068599021</v>
      </c>
      <c r="O13" s="11"/>
      <c r="P13" s="2">
        <f>--444.59</f>
        <v>444.59</v>
      </c>
      <c r="Q13" s="2"/>
      <c r="R13" s="19"/>
      <c r="S13" s="2"/>
      <c r="T13" s="2">
        <f>--17522.28</f>
        <v>17522.28</v>
      </c>
      <c r="U13" s="2"/>
      <c r="V13" s="19"/>
      <c r="W13" s="2"/>
      <c r="X13" s="2">
        <f t="shared" si="2"/>
        <v>-17077.689999999999</v>
      </c>
      <c r="Y13" s="2"/>
      <c r="Z13" s="19">
        <f t="shared" si="3"/>
        <v>-0.97462716039236907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--1406.08</f>
        <v>1406.08</v>
      </c>
      <c r="E14" s="2"/>
      <c r="F14" s="19"/>
      <c r="G14" s="2"/>
      <c r="H14" s="2">
        <f>--37255.74</f>
        <v>37255.74</v>
      </c>
      <c r="I14" s="2"/>
      <c r="J14" s="19"/>
      <c r="K14" s="2"/>
      <c r="L14" s="2">
        <f t="shared" si="0"/>
        <v>-35849.659999999996</v>
      </c>
      <c r="M14" s="2"/>
      <c r="N14" s="19">
        <f t="shared" si="1"/>
        <v>-0.96225870161215421</v>
      </c>
      <c r="O14" s="11"/>
      <c r="P14" s="2">
        <f>--2031.88</f>
        <v>2031.88</v>
      </c>
      <c r="Q14" s="2"/>
      <c r="R14" s="19"/>
      <c r="S14" s="2"/>
      <c r="T14" s="2">
        <f>--54413.03</f>
        <v>54413.03</v>
      </c>
      <c r="U14" s="2"/>
      <c r="V14" s="19"/>
      <c r="W14" s="2"/>
      <c r="X14" s="2">
        <f t="shared" si="2"/>
        <v>-52381.15</v>
      </c>
      <c r="Y14" s="2"/>
      <c r="Z14" s="19">
        <f t="shared" si="3"/>
        <v>-0.96265820888856957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53.15</v>
      </c>
      <c r="E16" s="4"/>
      <c r="F16" s="12">
        <f t="shared" ref="F16:F18" si="4">IF(D$12=0,0,D16/D$12)</f>
        <v>3.0156541671631294E-2</v>
      </c>
      <c r="G16" s="4"/>
      <c r="H16" s="4">
        <f>SUM(OSRRefH16x_0)</f>
        <v>23163.639999999996</v>
      </c>
      <c r="I16" s="4"/>
      <c r="J16" s="12">
        <f t="shared" ref="J16:J18" si="5">IF(H$12=0,0,H16/H$12)</f>
        <v>0.46871761125943401</v>
      </c>
      <c r="K16" s="4"/>
      <c r="L16" s="4">
        <f t="shared" ref="L16:L18" si="6">+D16-H16</f>
        <v>-23110.489999999994</v>
      </c>
      <c r="M16" s="4"/>
      <c r="N16" s="12">
        <f t="shared" ref="N16:N18" si="7">IF(H16=0,0,L16/H16)</f>
        <v>-0.99770545561923762</v>
      </c>
      <c r="O16" s="10"/>
      <c r="P16" s="4">
        <f>SUM(OSRRefP16x_0)</f>
        <v>239.48</v>
      </c>
      <c r="Q16" s="4"/>
      <c r="R16" s="12">
        <f t="shared" ref="R16:R18" si="8">IF(P$12=0,0,P16/P$12)</f>
        <v>9.6702160736855267E-2</v>
      </c>
      <c r="S16" s="4"/>
      <c r="T16" s="4">
        <f>SUM(OSRRefT16x_0)</f>
        <v>33923.17</v>
      </c>
      <c r="U16" s="4"/>
      <c r="V16" s="12">
        <f t="shared" ref="V16:V18" si="9">IF(T$12=0,0,T16/T$12)</f>
        <v>0.47157883937665662</v>
      </c>
      <c r="W16" s="4"/>
      <c r="X16" s="4">
        <f t="shared" ref="X16:X18" si="10">+P16-T16</f>
        <v>-33683.689999999995</v>
      </c>
      <c r="Y16" s="4"/>
      <c r="Z16" s="12">
        <f t="shared" ref="Z16:Z18" si="11">IF(T16=0,0,X16/T16)</f>
        <v>-0.99294051823576623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53.15</v>
      </c>
      <c r="E17" s="2"/>
      <c r="F17" s="19">
        <f t="shared" si="4"/>
        <v>3.0156541671631294E-2</v>
      </c>
      <c r="G17" s="2"/>
      <c r="H17" s="2">
        <v>22056.929999999997</v>
      </c>
      <c r="I17" s="2"/>
      <c r="J17" s="19">
        <f t="shared" si="5"/>
        <v>0.44632326962932201</v>
      </c>
      <c r="K17" s="2"/>
      <c r="L17" s="2">
        <f t="shared" si="6"/>
        <v>-22003.779999999995</v>
      </c>
      <c r="M17" s="2"/>
      <c r="N17" s="19">
        <f t="shared" si="7"/>
        <v>-0.99759032648695889</v>
      </c>
      <c r="O17" s="11"/>
      <c r="P17" s="2">
        <v>239.48</v>
      </c>
      <c r="Q17" s="2"/>
      <c r="R17" s="19">
        <f t="shared" si="8"/>
        <v>9.6702160736855267E-2</v>
      </c>
      <c r="S17" s="2"/>
      <c r="T17" s="2">
        <v>38830.400000000001</v>
      </c>
      <c r="U17" s="2"/>
      <c r="V17" s="19">
        <f t="shared" si="9"/>
        <v>0.53979610291524427</v>
      </c>
      <c r="W17" s="2"/>
      <c r="X17" s="2">
        <f t="shared" si="10"/>
        <v>-38590.92</v>
      </c>
      <c r="Y17" s="2"/>
      <c r="Z17" s="19">
        <f t="shared" si="11"/>
        <v>-0.99383266718859442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4"/>
        <v>0</v>
      </c>
      <c r="G18" s="2"/>
      <c r="H18" s="2">
        <v>1106.71</v>
      </c>
      <c r="I18" s="2"/>
      <c r="J18" s="19">
        <f t="shared" si="5"/>
        <v>2.2394341630112034E-2</v>
      </c>
      <c r="K18" s="2"/>
      <c r="L18" s="2">
        <f t="shared" si="6"/>
        <v>-1106.71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-4907.2299999999996</v>
      </c>
      <c r="U18" s="2"/>
      <c r="V18" s="19">
        <f t="shared" si="9"/>
        <v>-6.8217263538587647E-2</v>
      </c>
      <c r="W18" s="2"/>
      <c r="X18" s="2">
        <f t="shared" si="10"/>
        <v>4907.2299999999996</v>
      </c>
      <c r="Y18" s="2"/>
      <c r="Z18" s="19">
        <f t="shared" si="11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1709.3199999999997</v>
      </c>
      <c r="E20" s="13"/>
      <c r="F20" s="21">
        <f>IF(D$12=0,0,D20/D$12)</f>
        <v>0.9698434583283686</v>
      </c>
      <c r="G20" s="13"/>
      <c r="H20" s="22">
        <f>H12-H16</f>
        <v>26255.540000000005</v>
      </c>
      <c r="I20" s="13"/>
      <c r="J20" s="21">
        <f>IF(H$12=0,0,H20/H$12)</f>
        <v>0.53128238874056599</v>
      </c>
      <c r="K20" s="15"/>
      <c r="L20" s="22">
        <f>+D20-H20</f>
        <v>-24546.220000000005</v>
      </c>
      <c r="M20" s="15"/>
      <c r="N20" s="21">
        <f>IF(H20=0,0,L20/H20)</f>
        <v>-0.93489678749703875</v>
      </c>
      <c r="O20" s="26"/>
      <c r="P20" s="22">
        <f>P12-P16</f>
        <v>2236.9900000000002</v>
      </c>
      <c r="Q20" s="13"/>
      <c r="R20" s="21">
        <f>IF(P$12=0,0,P20/P$12)</f>
        <v>0.90329783926314478</v>
      </c>
      <c r="S20" s="13"/>
      <c r="T20" s="22">
        <f>T12-T16</f>
        <v>38012.14</v>
      </c>
      <c r="U20" s="13"/>
      <c r="V20" s="21">
        <f>IF(T$12=0,0,T20/T$12)</f>
        <v>0.52842116062334343</v>
      </c>
      <c r="W20" s="15"/>
      <c r="X20" s="22">
        <f>+P20-T20</f>
        <v>-35775.15</v>
      </c>
      <c r="Y20" s="15"/>
      <c r="Z20" s="21">
        <f>IF(T20=0,0,X20/T20)</f>
        <v>-0.941150642926181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9141.619999999999</v>
      </c>
      <c r="E22" s="20"/>
      <c r="F22" s="36">
        <f t="shared" ref="F22:F31" si="12">IF(D$12=0,0,D22/D$12)</f>
        <v>5.1868230381226343</v>
      </c>
      <c r="G22" s="20"/>
      <c r="H22" s="20">
        <f>SUM(OSRRefH22x_0)</f>
        <v>18647.96</v>
      </c>
      <c r="I22" s="20"/>
      <c r="J22" s="36">
        <f t="shared" ref="J22:J31" si="13">IF(H$12=0,0,H22/H$12)</f>
        <v>0.3773425621388295</v>
      </c>
      <c r="K22" s="4"/>
      <c r="L22" s="20">
        <f t="shared" ref="L22:L31" si="14">+D22-H22</f>
        <v>-9506.34</v>
      </c>
      <c r="M22" s="4"/>
      <c r="N22" s="36">
        <f t="shared" ref="N22:N31" si="15">IF(H22=0,0,L22/H22)</f>
        <v>-0.50977908575522468</v>
      </c>
      <c r="O22" s="10"/>
      <c r="P22" s="20">
        <f>SUM(OSRRefP22x_0)</f>
        <v>22816.83</v>
      </c>
      <c r="Q22" s="20"/>
      <c r="R22" s="36">
        <f t="shared" ref="R22:R31" si="16">IF(P$12=0,0,P22/P$12)</f>
        <v>9.2134489818168603</v>
      </c>
      <c r="S22" s="20"/>
      <c r="T22" s="20">
        <f>SUM(OSRRefT22x_0)</f>
        <v>36957.360000000008</v>
      </c>
      <c r="U22" s="20"/>
      <c r="V22" s="36">
        <f t="shared" ref="V22:V31" si="17">IF(T$12=0,0,T22/T$12)</f>
        <v>0.51375826419598403</v>
      </c>
      <c r="W22" s="4"/>
      <c r="X22" s="20">
        <f t="shared" ref="X22:X31" si="18">+P22-T22</f>
        <v>-14140.530000000006</v>
      </c>
      <c r="Y22" s="4"/>
      <c r="Z22" s="36">
        <f t="shared" ref="Z22:Z31" si="19">IF(T22=0,0,X22/T22)</f>
        <v>-0.38261742721882741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2095.62</v>
      </c>
      <c r="E23" s="1"/>
      <c r="F23" s="5">
        <f t="shared" si="12"/>
        <v>1.1890244940339412</v>
      </c>
      <c r="G23" s="1"/>
      <c r="H23" s="1">
        <f>SUM(OSRRefH22_0x_0)</f>
        <v>1652.27</v>
      </c>
      <c r="I23" s="1"/>
      <c r="J23" s="5">
        <f t="shared" si="13"/>
        <v>3.3433780163895879E-2</v>
      </c>
      <c r="K23" s="1"/>
      <c r="L23" s="1">
        <f t="shared" si="14"/>
        <v>443.34999999999991</v>
      </c>
      <c r="M23" s="1"/>
      <c r="N23" s="5">
        <f t="shared" si="15"/>
        <v>0.26832781567177272</v>
      </c>
      <c r="O23" s="14"/>
      <c r="P23" s="1">
        <f>SUM(OSRRefP22_0x_0)</f>
        <v>4520.96</v>
      </c>
      <c r="Q23" s="1"/>
      <c r="R23" s="5">
        <f t="shared" si="16"/>
        <v>1.8255662293506481</v>
      </c>
      <c r="S23" s="1"/>
      <c r="T23" s="1">
        <f>SUM(OSRRefT22_0x_0)</f>
        <v>4674.1400000000003</v>
      </c>
      <c r="U23" s="1"/>
      <c r="V23" s="5">
        <f t="shared" si="17"/>
        <v>6.4976991132727452E-2</v>
      </c>
      <c r="W23" s="1"/>
      <c r="X23" s="1">
        <f t="shared" si="18"/>
        <v>-153.18000000000029</v>
      </c>
      <c r="Y23" s="1"/>
      <c r="Z23" s="5">
        <f t="shared" si="19"/>
        <v>-3.2771804011005295E-2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>
        <v>454.71</v>
      </c>
      <c r="E24" s="2"/>
      <c r="F24" s="6">
        <f t="shared" si="12"/>
        <v>0.25799588078094948</v>
      </c>
      <c r="G24" s="2"/>
      <c r="H24" s="7">
        <v>253.31</v>
      </c>
      <c r="I24" s="2"/>
      <c r="J24" s="6">
        <f t="shared" si="13"/>
        <v>5.125742677235842E-3</v>
      </c>
      <c r="K24" s="2"/>
      <c r="L24" s="7">
        <f t="shared" si="14"/>
        <v>201.39999999999998</v>
      </c>
      <c r="M24" s="2"/>
      <c r="N24" s="6">
        <f t="shared" si="15"/>
        <v>0.79507323042911837</v>
      </c>
      <c r="O24" s="11"/>
      <c r="P24" s="7">
        <v>932.07</v>
      </c>
      <c r="Q24" s="2"/>
      <c r="R24" s="6">
        <f t="shared" si="16"/>
        <v>0.37637039818774304</v>
      </c>
      <c r="S24" s="2"/>
      <c r="T24" s="7">
        <v>854.31</v>
      </c>
      <c r="U24" s="2"/>
      <c r="V24" s="6">
        <f t="shared" si="17"/>
        <v>1.1876087000945711E-2</v>
      </c>
      <c r="W24" s="2"/>
      <c r="X24" s="7">
        <f t="shared" si="18"/>
        <v>77.760000000000105</v>
      </c>
      <c r="Y24" s="2"/>
      <c r="Z24" s="6">
        <f t="shared" si="19"/>
        <v>9.102082382273427E-2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>
        <v>76.959999999999994</v>
      </c>
      <c r="E25" s="2"/>
      <c r="F25" s="6">
        <f t="shared" si="12"/>
        <v>4.3665991477869127E-2</v>
      </c>
      <c r="G25" s="2"/>
      <c r="H25" s="7">
        <v>146.96</v>
      </c>
      <c r="I25" s="2"/>
      <c r="J25" s="6">
        <f t="shared" si="13"/>
        <v>2.9737442021498537E-3</v>
      </c>
      <c r="K25" s="2"/>
      <c r="L25" s="7">
        <f t="shared" si="14"/>
        <v>-70.000000000000014</v>
      </c>
      <c r="M25" s="2"/>
      <c r="N25" s="6">
        <f t="shared" si="15"/>
        <v>-0.4763200870985303</v>
      </c>
      <c r="O25" s="11"/>
      <c r="P25" s="7">
        <v>230.88</v>
      </c>
      <c r="Q25" s="2"/>
      <c r="R25" s="6">
        <f t="shared" si="16"/>
        <v>9.3229475826478808E-2</v>
      </c>
      <c r="S25" s="2"/>
      <c r="T25" s="7">
        <v>252.43</v>
      </c>
      <c r="U25" s="2"/>
      <c r="V25" s="6">
        <f t="shared" si="17"/>
        <v>3.5091250736251781E-3</v>
      </c>
      <c r="W25" s="2"/>
      <c r="X25" s="7">
        <f t="shared" si="18"/>
        <v>-21.550000000000011</v>
      </c>
      <c r="Y25" s="2"/>
      <c r="Z25" s="6">
        <f t="shared" si="19"/>
        <v>-8.5370201640058679E-2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>
        <v>683.68</v>
      </c>
      <c r="E26" s="2"/>
      <c r="F26" s="6">
        <f t="shared" si="12"/>
        <v>0.38791014882522823</v>
      </c>
      <c r="G26" s="2"/>
      <c r="H26" s="7">
        <v>935.3</v>
      </c>
      <c r="I26" s="2"/>
      <c r="J26" s="6">
        <f t="shared" si="13"/>
        <v>1.8925850246807006E-2</v>
      </c>
      <c r="K26" s="2"/>
      <c r="L26" s="7">
        <f t="shared" si="14"/>
        <v>-251.62</v>
      </c>
      <c r="M26" s="2"/>
      <c r="N26" s="6">
        <f t="shared" si="15"/>
        <v>-0.2690259809686732</v>
      </c>
      <c r="O26" s="11"/>
      <c r="P26" s="7">
        <v>1367.36</v>
      </c>
      <c r="Q26" s="2"/>
      <c r="R26" s="6">
        <f t="shared" si="16"/>
        <v>0.55214074872701857</v>
      </c>
      <c r="S26" s="2"/>
      <c r="T26" s="7">
        <v>2805.9</v>
      </c>
      <c r="U26" s="2"/>
      <c r="V26" s="6">
        <f t="shared" si="17"/>
        <v>3.9005879032147077E-2</v>
      </c>
      <c r="W26" s="2"/>
      <c r="X26" s="7">
        <f t="shared" si="18"/>
        <v>-1438.5400000000002</v>
      </c>
      <c r="Y26" s="2"/>
      <c r="Z26" s="6">
        <f t="shared" si="19"/>
        <v>-0.5126839873124488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10.82</v>
      </c>
      <c r="E27" s="2"/>
      <c r="F27" s="6">
        <f t="shared" si="12"/>
        <v>6.1391115877149688E-3</v>
      </c>
      <c r="G27" s="2"/>
      <c r="H27" s="7">
        <v>20.11</v>
      </c>
      <c r="I27" s="2"/>
      <c r="J27" s="6">
        <f t="shared" si="13"/>
        <v>4.0692702711781132E-4</v>
      </c>
      <c r="K27" s="2"/>
      <c r="L27" s="7">
        <f t="shared" si="14"/>
        <v>-9.2899999999999991</v>
      </c>
      <c r="M27" s="2"/>
      <c r="N27" s="6">
        <f t="shared" si="15"/>
        <v>-0.46195922426653402</v>
      </c>
      <c r="O27" s="11"/>
      <c r="P27" s="7">
        <v>32.46</v>
      </c>
      <c r="Q27" s="2"/>
      <c r="R27" s="6">
        <f t="shared" si="16"/>
        <v>1.3107366533816278E-2</v>
      </c>
      <c r="S27" s="2"/>
      <c r="T27" s="7">
        <v>34.21</v>
      </c>
      <c r="U27" s="2"/>
      <c r="V27" s="6">
        <f t="shared" si="17"/>
        <v>4.7556617188415537E-4</v>
      </c>
      <c r="W27" s="2"/>
      <c r="X27" s="7">
        <f t="shared" si="18"/>
        <v>-1.75</v>
      </c>
      <c r="Y27" s="2"/>
      <c r="Z27" s="6">
        <f t="shared" si="19"/>
        <v>-5.1154633148202282E-2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>
        <v>321.57</v>
      </c>
      <c r="E28" s="2"/>
      <c r="F28" s="6">
        <f t="shared" si="12"/>
        <v>0.1824541694326712</v>
      </c>
      <c r="G28" s="2"/>
      <c r="H28" s="7">
        <v>134.11000000000001</v>
      </c>
      <c r="I28" s="2"/>
      <c r="J28" s="6">
        <f t="shared" si="13"/>
        <v>2.7137236999885471E-3</v>
      </c>
      <c r="K28" s="2"/>
      <c r="L28" s="7">
        <f t="shared" si="14"/>
        <v>187.45999999999998</v>
      </c>
      <c r="M28" s="2"/>
      <c r="N28" s="6">
        <f t="shared" si="15"/>
        <v>1.397807769741257</v>
      </c>
      <c r="O28" s="11"/>
      <c r="P28" s="7">
        <v>803.92</v>
      </c>
      <c r="Q28" s="2"/>
      <c r="R28" s="6">
        <f t="shared" si="16"/>
        <v>0.32462335501742395</v>
      </c>
      <c r="S28" s="2"/>
      <c r="T28" s="7">
        <v>402.33</v>
      </c>
      <c r="U28" s="2"/>
      <c r="V28" s="6">
        <f t="shared" si="17"/>
        <v>5.5929417694870571E-3</v>
      </c>
      <c r="W28" s="2"/>
      <c r="X28" s="7">
        <f t="shared" si="18"/>
        <v>401.59</v>
      </c>
      <c r="Y28" s="2"/>
      <c r="Z28" s="6">
        <f t="shared" si="19"/>
        <v>0.99816071384187111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>
        <v>239.72</v>
      </c>
      <c r="E29" s="2"/>
      <c r="F29" s="6">
        <f t="shared" si="12"/>
        <v>0.13601366264390316</v>
      </c>
      <c r="G29" s="2"/>
      <c r="H29" s="7">
        <v>73.92</v>
      </c>
      <c r="I29" s="2"/>
      <c r="J29" s="6">
        <f t="shared" si="13"/>
        <v>1.4957755268298666E-3</v>
      </c>
      <c r="K29" s="2"/>
      <c r="L29" s="7">
        <f t="shared" si="14"/>
        <v>165.8</v>
      </c>
      <c r="M29" s="2"/>
      <c r="N29" s="6">
        <f t="shared" si="15"/>
        <v>2.2429653679653683</v>
      </c>
      <c r="O29" s="11"/>
      <c r="P29" s="7">
        <v>479.44</v>
      </c>
      <c r="Q29" s="2"/>
      <c r="R29" s="6">
        <f t="shared" si="16"/>
        <v>0.19359814574777806</v>
      </c>
      <c r="S29" s="2"/>
      <c r="T29" s="7">
        <v>147.84</v>
      </c>
      <c r="U29" s="2"/>
      <c r="V29" s="6">
        <f t="shared" si="17"/>
        <v>2.0551798553450316E-3</v>
      </c>
      <c r="W29" s="2"/>
      <c r="X29" s="7">
        <f t="shared" si="18"/>
        <v>331.6</v>
      </c>
      <c r="Y29" s="2"/>
      <c r="Z29" s="6">
        <f t="shared" si="19"/>
        <v>2.2429653679653683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2"/>
        <v>0.10886993821171426</v>
      </c>
      <c r="G30" s="2"/>
      <c r="H30" s="7">
        <v>88.56</v>
      </c>
      <c r="I30" s="2"/>
      <c r="J30" s="6">
        <f t="shared" si="13"/>
        <v>1.7920167837669504E-3</v>
      </c>
      <c r="K30" s="2"/>
      <c r="L30" s="7">
        <f t="shared" si="14"/>
        <v>103.32</v>
      </c>
      <c r="M30" s="2"/>
      <c r="N30" s="6">
        <f t="shared" si="15"/>
        <v>1.1666666666666665</v>
      </c>
      <c r="O30" s="11"/>
      <c r="P30" s="7">
        <v>383.76</v>
      </c>
      <c r="Q30" s="2"/>
      <c r="R30" s="6">
        <f t="shared" si="16"/>
        <v>0.15496250711698503</v>
      </c>
      <c r="S30" s="2"/>
      <c r="T30" s="7">
        <v>177.12</v>
      </c>
      <c r="U30" s="2"/>
      <c r="V30" s="6">
        <f t="shared" si="17"/>
        <v>2.462212229293236E-3</v>
      </c>
      <c r="W30" s="2"/>
      <c r="X30" s="7">
        <f t="shared" si="18"/>
        <v>206.64</v>
      </c>
      <c r="Y30" s="2"/>
      <c r="Z30" s="6">
        <f t="shared" si="19"/>
        <v>1.1666666666666665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>
        <v>116.28</v>
      </c>
      <c r="E31" s="2"/>
      <c r="F31" s="6">
        <f t="shared" si="12"/>
        <v>6.597559107389063E-2</v>
      </c>
      <c r="G31" s="2"/>
      <c r="H31" s="7"/>
      <c r="I31" s="2"/>
      <c r="J31" s="6">
        <f t="shared" si="13"/>
        <v>0</v>
      </c>
      <c r="K31" s="2"/>
      <c r="L31" s="7">
        <f t="shared" si="14"/>
        <v>116.28</v>
      </c>
      <c r="M31" s="2"/>
      <c r="N31" s="6">
        <f t="shared" si="15"/>
        <v>0</v>
      </c>
      <c r="O31" s="11"/>
      <c r="P31" s="7">
        <v>291.07</v>
      </c>
      <c r="Q31" s="2"/>
      <c r="R31" s="6">
        <f t="shared" si="16"/>
        <v>0.11753423219340431</v>
      </c>
      <c r="S31" s="2"/>
      <c r="T31" s="7"/>
      <c r="U31" s="2"/>
      <c r="V31" s="6">
        <f t="shared" si="17"/>
        <v>0</v>
      </c>
      <c r="W31" s="2"/>
      <c r="X31" s="7">
        <f t="shared" si="18"/>
        <v>291.07</v>
      </c>
      <c r="Y31" s="2"/>
      <c r="Z31" s="6">
        <f t="shared" si="19"/>
        <v>0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5429.1</v>
      </c>
      <c r="E32" s="1"/>
      <c r="F32" s="5">
        <f t="shared" ref="F32:F37" si="20">IF(D$12=0,0,D32/D$12)</f>
        <v>3.0803928577507707</v>
      </c>
      <c r="G32" s="1"/>
      <c r="H32" s="1">
        <f>SUM(OSRRefH22_1x_0)</f>
        <v>7097.04</v>
      </c>
      <c r="I32" s="1"/>
      <c r="J32" s="5">
        <f t="shared" ref="J32:J37" si="21">IF(H$12=0,0,H32/H$12)</f>
        <v>0.14360901981781163</v>
      </c>
      <c r="K32" s="1"/>
      <c r="L32" s="1">
        <f t="shared" ref="L32:L37" si="22">+D32-H32</f>
        <v>-1667.9399999999996</v>
      </c>
      <c r="M32" s="1"/>
      <c r="N32" s="5">
        <f t="shared" ref="N32:N37" si="23">IF(H32=0,0,L32/H32)</f>
        <v>-0.23501910655709982</v>
      </c>
      <c r="O32" s="14"/>
      <c r="P32" s="1">
        <f>SUM(OSRRefP22_1x_0)</f>
        <v>13156.1</v>
      </c>
      <c r="Q32" s="1"/>
      <c r="R32" s="5">
        <f t="shared" ref="R32:R37" si="24">IF(P$12=0,0,P32/P$12)</f>
        <v>5.3124406917911378</v>
      </c>
      <c r="S32" s="1"/>
      <c r="T32" s="1">
        <f>SUM(OSRRefT22_1x_0)</f>
        <v>16696.689999999999</v>
      </c>
      <c r="U32" s="1"/>
      <c r="V32" s="5">
        <f t="shared" ref="V32:V37" si="25">IF(T$12=0,0,T32/T$12)</f>
        <v>0.2321070139268184</v>
      </c>
      <c r="W32" s="1"/>
      <c r="X32" s="1">
        <f t="shared" ref="X32:X37" si="26">+P32-T32</f>
        <v>-3540.5899999999983</v>
      </c>
      <c r="Y32" s="1"/>
      <c r="Z32" s="5">
        <f t="shared" ref="Z32:Z37" si="27">IF(T32=0,0,X32/T32)</f>
        <v>-0.21205340699264336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3952</v>
      </c>
      <c r="E33" s="2"/>
      <c r="F33" s="6">
        <f t="shared" si="20"/>
        <v>2.2423076704851717</v>
      </c>
      <c r="G33" s="2"/>
      <c r="H33" s="7">
        <v>1920</v>
      </c>
      <c r="I33" s="2"/>
      <c r="J33" s="6">
        <f t="shared" si="21"/>
        <v>3.8851312385191336E-2</v>
      </c>
      <c r="K33" s="2"/>
      <c r="L33" s="7">
        <f t="shared" si="22"/>
        <v>2032</v>
      </c>
      <c r="M33" s="2"/>
      <c r="N33" s="6">
        <f t="shared" si="23"/>
        <v>1.0583333333333333</v>
      </c>
      <c r="O33" s="11"/>
      <c r="P33" s="7">
        <v>11024</v>
      </c>
      <c r="Q33" s="2"/>
      <c r="R33" s="6">
        <f t="shared" si="24"/>
        <v>4.451497494417457</v>
      </c>
      <c r="S33" s="2"/>
      <c r="T33" s="7">
        <v>6048</v>
      </c>
      <c r="U33" s="2"/>
      <c r="V33" s="6">
        <f t="shared" si="25"/>
        <v>8.40755395368422E-2</v>
      </c>
      <c r="W33" s="2"/>
      <c r="X33" s="7">
        <f t="shared" si="26"/>
        <v>4976</v>
      </c>
      <c r="Y33" s="2"/>
      <c r="Z33" s="6">
        <f t="shared" si="27"/>
        <v>0.82275132275132279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>
        <v>1784.1</v>
      </c>
      <c r="E34" s="2"/>
      <c r="F34" s="6">
        <f t="shared" si="20"/>
        <v>1.0122725493199884</v>
      </c>
      <c r="G34" s="2"/>
      <c r="H34" s="7"/>
      <c r="I34" s="2"/>
      <c r="J34" s="6">
        <f t="shared" si="21"/>
        <v>0</v>
      </c>
      <c r="K34" s="2"/>
      <c r="L34" s="7">
        <f t="shared" si="22"/>
        <v>1784.1</v>
      </c>
      <c r="M34" s="2"/>
      <c r="N34" s="6">
        <f t="shared" si="23"/>
        <v>0</v>
      </c>
      <c r="O34" s="11"/>
      <c r="P34" s="7">
        <v>1784.1</v>
      </c>
      <c r="Q34" s="2"/>
      <c r="R34" s="6">
        <f t="shared" si="24"/>
        <v>0.72042059867472641</v>
      </c>
      <c r="S34" s="2"/>
      <c r="T34" s="7">
        <v>1708.78</v>
      </c>
      <c r="U34" s="2"/>
      <c r="V34" s="6">
        <f t="shared" si="25"/>
        <v>2.375439822251409E-2</v>
      </c>
      <c r="W34" s="2"/>
      <c r="X34" s="7">
        <f t="shared" si="26"/>
        <v>75.319999999999936</v>
      </c>
      <c r="Y34" s="2"/>
      <c r="Z34" s="6">
        <f t="shared" si="27"/>
        <v>4.4078231252706573E-2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1391.35</v>
      </c>
      <c r="I35" s="2"/>
      <c r="J35" s="6">
        <f t="shared" si="21"/>
        <v>2.8154048691216647E-2</v>
      </c>
      <c r="K35" s="2"/>
      <c r="L35" s="7">
        <f t="shared" si="22"/>
        <v>-1391.35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2299.7800000000002</v>
      </c>
      <c r="U35" s="2"/>
      <c r="V35" s="6">
        <f t="shared" si="25"/>
        <v>3.1970113147493213E-2</v>
      </c>
      <c r="W35" s="2"/>
      <c r="X35" s="7">
        <f t="shared" si="26"/>
        <v>-2299.7800000000002</v>
      </c>
      <c r="Y35" s="2"/>
      <c r="Z35" s="6">
        <f t="shared" si="27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>
        <v>-307</v>
      </c>
      <c r="E36" s="2"/>
      <c r="F36" s="6">
        <f t="shared" si="20"/>
        <v>-0.17418736205438959</v>
      </c>
      <c r="G36" s="2"/>
      <c r="H36" s="7">
        <v>3665.69</v>
      </c>
      <c r="I36" s="2"/>
      <c r="J36" s="6">
        <f t="shared" si="21"/>
        <v>7.4175451717329186E-2</v>
      </c>
      <c r="K36" s="2"/>
      <c r="L36" s="7">
        <f t="shared" si="22"/>
        <v>-3972.69</v>
      </c>
      <c r="M36" s="2"/>
      <c r="N36" s="6">
        <f t="shared" si="23"/>
        <v>-1.0837495805700974</v>
      </c>
      <c r="O36" s="11"/>
      <c r="P36" s="7">
        <v>348</v>
      </c>
      <c r="Q36" s="2"/>
      <c r="R36" s="6">
        <f t="shared" si="24"/>
        <v>0.14052259869895456</v>
      </c>
      <c r="S36" s="2"/>
      <c r="T36" s="7">
        <v>6446.82</v>
      </c>
      <c r="U36" s="2"/>
      <c r="V36" s="6">
        <f t="shared" si="25"/>
        <v>8.9619687466419476E-2</v>
      </c>
      <c r="W36" s="2"/>
      <c r="X36" s="7">
        <f t="shared" si="26"/>
        <v>-6098.82</v>
      </c>
      <c r="Y36" s="2"/>
      <c r="Z36" s="6">
        <f t="shared" si="27"/>
        <v>-0.94601989818235965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120</v>
      </c>
      <c r="I37" s="2"/>
      <c r="J37" s="6">
        <f t="shared" si="21"/>
        <v>2.4282070240744585E-3</v>
      </c>
      <c r="K37" s="2"/>
      <c r="L37" s="7">
        <f t="shared" si="22"/>
        <v>-120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193.31</v>
      </c>
      <c r="U37" s="2"/>
      <c r="V37" s="6">
        <f t="shared" si="25"/>
        <v>2.6872755535494322E-3</v>
      </c>
      <c r="W37" s="2"/>
      <c r="X37" s="7">
        <f t="shared" si="26"/>
        <v>-193.31</v>
      </c>
      <c r="Y37" s="2"/>
      <c r="Z37" s="6">
        <f t="shared" si="27"/>
        <v>-1</v>
      </c>
    </row>
    <row r="38" spans="1:26" s="27" customFormat="1" outlineLevel="1" collapsed="1" x14ac:dyDescent="0.25">
      <c r="A38" s="29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SUM(OSRRefD22_2x_0)</f>
        <v>-0.44</v>
      </c>
      <c r="E38" s="1"/>
      <c r="F38" s="5">
        <f t="shared" ref="F38:F49" si="28">IF(D$12=0,0,D38/D$12)</f>
        <v>-2.496496394264867E-4</v>
      </c>
      <c r="G38" s="1"/>
      <c r="H38" s="1">
        <f>SUM(OSRRefH22_2x_0)</f>
        <v>-28.23</v>
      </c>
      <c r="I38" s="1"/>
      <c r="J38" s="5">
        <f t="shared" ref="J38:J49" si="29">IF(H$12=0,0,H38/H$12)</f>
        <v>-5.7123570241351636E-4</v>
      </c>
      <c r="K38" s="1"/>
      <c r="L38" s="1">
        <f t="shared" ref="L38:L49" si="30">+D38-H38</f>
        <v>27.79</v>
      </c>
      <c r="M38" s="1"/>
      <c r="N38" s="5">
        <f t="shared" ref="N38:N49" si="31">IF(H38=0,0,L38/H38)</f>
        <v>-0.98441374424371231</v>
      </c>
      <c r="O38" s="14"/>
      <c r="P38" s="1">
        <f>SUM(OSRRefP22_2x_0)</f>
        <v>3.31</v>
      </c>
      <c r="Q38" s="1"/>
      <c r="R38" s="5">
        <f t="shared" ref="R38:R49" si="32">IF(P$12=0,0,P38/P$12)</f>
        <v>1.3365798899239642E-3</v>
      </c>
      <c r="S38" s="1"/>
      <c r="T38" s="1">
        <f>SUM(OSRRefT22_2x_0)</f>
        <v>-26.32</v>
      </c>
      <c r="U38" s="1"/>
      <c r="V38" s="5">
        <f t="shared" ref="V38:V49" si="33">IF(T$12=0,0,T38/T$12)</f>
        <v>-3.6588429242885031E-4</v>
      </c>
      <c r="W38" s="1"/>
      <c r="X38" s="1">
        <f t="shared" ref="X38:X49" si="34">+P38-T38</f>
        <v>29.63</v>
      </c>
      <c r="Y38" s="1"/>
      <c r="Z38" s="5">
        <f t="shared" ref="Z38:Z49" si="35">IF(T38=0,0,X38/T38)</f>
        <v>-1.1257598784194529</v>
      </c>
    </row>
    <row r="39" spans="1:26" s="24" customFormat="1" hidden="1" outlineLevel="2" x14ac:dyDescent="0.25">
      <c r="A39" s="28"/>
      <c r="B39" s="11" t="str">
        <f>CONCATENATE("          ", "6272", " - ", "CASH (OVER/SHORT)")</f>
        <v xml:space="preserve">          6272 - CASH (OVER/SHORT)</v>
      </c>
      <c r="C39" s="11"/>
      <c r="D39" s="7">
        <v>-0.44</v>
      </c>
      <c r="E39" s="2"/>
      <c r="F39" s="6">
        <f t="shared" si="28"/>
        <v>-2.496496394264867E-4</v>
      </c>
      <c r="G39" s="2"/>
      <c r="H39" s="7">
        <v>-28.23</v>
      </c>
      <c r="I39" s="2"/>
      <c r="J39" s="6">
        <f t="shared" si="29"/>
        <v>-5.7123570241351636E-4</v>
      </c>
      <c r="K39" s="2"/>
      <c r="L39" s="7">
        <f t="shared" si="30"/>
        <v>27.79</v>
      </c>
      <c r="M39" s="2"/>
      <c r="N39" s="6">
        <f t="shared" si="31"/>
        <v>-0.98441374424371231</v>
      </c>
      <c r="O39" s="11"/>
      <c r="P39" s="7">
        <v>3.31</v>
      </c>
      <c r="Q39" s="2"/>
      <c r="R39" s="6">
        <f t="shared" si="32"/>
        <v>1.3365798899239642E-3</v>
      </c>
      <c r="S39" s="2"/>
      <c r="T39" s="7">
        <v>-26.32</v>
      </c>
      <c r="U39" s="2"/>
      <c r="V39" s="6">
        <f t="shared" si="33"/>
        <v>-3.6588429242885031E-4</v>
      </c>
      <c r="W39" s="2"/>
      <c r="X39" s="7">
        <f t="shared" si="34"/>
        <v>29.63</v>
      </c>
      <c r="Y39" s="2"/>
      <c r="Z39" s="6">
        <f t="shared" si="35"/>
        <v>-1.1257598784194529</v>
      </c>
    </row>
    <row r="40" spans="1:26" s="27" customFormat="1" outlineLevel="1" collapsed="1" x14ac:dyDescent="0.25">
      <c r="A40" s="29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50.18</v>
      </c>
      <c r="E40" s="1"/>
      <c r="F40" s="5">
        <f t="shared" si="28"/>
        <v>2.8471406605502507E-2</v>
      </c>
      <c r="G40" s="1"/>
      <c r="H40" s="1">
        <f>SUM(OSRRefH22_3x_0)</f>
        <v>1684.92</v>
      </c>
      <c r="I40" s="1"/>
      <c r="J40" s="5">
        <f t="shared" si="29"/>
        <v>3.4094454825029472E-2</v>
      </c>
      <c r="K40" s="1"/>
      <c r="L40" s="1">
        <f t="shared" si="30"/>
        <v>-1634.74</v>
      </c>
      <c r="M40" s="1"/>
      <c r="N40" s="5">
        <f t="shared" si="31"/>
        <v>-0.97021817059563653</v>
      </c>
      <c r="O40" s="14"/>
      <c r="P40" s="1">
        <f>SUM(OSRRefP22_3x_0)</f>
        <v>50.18</v>
      </c>
      <c r="Q40" s="1"/>
      <c r="R40" s="5">
        <f t="shared" si="32"/>
        <v>2.0262712651475688E-2</v>
      </c>
      <c r="S40" s="1"/>
      <c r="T40" s="1">
        <f>SUM(OSRRefT22_3x_0)</f>
        <v>2434.0100000000002</v>
      </c>
      <c r="U40" s="1"/>
      <c r="V40" s="5">
        <f t="shared" si="33"/>
        <v>3.3836095236122569E-2</v>
      </c>
      <c r="W40" s="1"/>
      <c r="X40" s="1">
        <f t="shared" si="34"/>
        <v>-2383.8300000000004</v>
      </c>
      <c r="Y40" s="1"/>
      <c r="Z40" s="5">
        <f t="shared" si="35"/>
        <v>-0.97938381518564022</v>
      </c>
    </row>
    <row r="41" spans="1:26" s="24" customFormat="1" hidden="1" outlineLevel="2" x14ac:dyDescent="0.25">
      <c r="A41" s="28"/>
      <c r="B41" s="11" t="str">
        <f>CONCATENATE("          ", "6381", " - ", "BANK/CREDIT CARD FEES")</f>
        <v xml:space="preserve">          6381 - BANK/CREDIT CARD FEES</v>
      </c>
      <c r="C41" s="11"/>
      <c r="D41" s="7">
        <v>50.18</v>
      </c>
      <c r="E41" s="2"/>
      <c r="F41" s="6">
        <f t="shared" si="28"/>
        <v>2.8471406605502507E-2</v>
      </c>
      <c r="G41" s="2"/>
      <c r="H41" s="7">
        <v>1684.92</v>
      </c>
      <c r="I41" s="2"/>
      <c r="J41" s="6">
        <f t="shared" si="29"/>
        <v>3.4094454825029472E-2</v>
      </c>
      <c r="K41" s="2"/>
      <c r="L41" s="7">
        <f t="shared" si="30"/>
        <v>-1634.74</v>
      </c>
      <c r="M41" s="2"/>
      <c r="N41" s="6">
        <f t="shared" si="31"/>
        <v>-0.97021817059563653</v>
      </c>
      <c r="O41" s="11"/>
      <c r="P41" s="7">
        <v>50.18</v>
      </c>
      <c r="Q41" s="2"/>
      <c r="R41" s="6">
        <f t="shared" si="32"/>
        <v>2.0262712651475688E-2</v>
      </c>
      <c r="S41" s="2"/>
      <c r="T41" s="7">
        <v>2434.0100000000002</v>
      </c>
      <c r="U41" s="2"/>
      <c r="V41" s="6">
        <f t="shared" si="33"/>
        <v>3.3836095236122569E-2</v>
      </c>
      <c r="W41" s="2"/>
      <c r="X41" s="7">
        <f t="shared" si="34"/>
        <v>-2383.8300000000004</v>
      </c>
      <c r="Y41" s="2"/>
      <c r="Z41" s="6">
        <f t="shared" si="35"/>
        <v>-0.97938381518564022</v>
      </c>
    </row>
    <row r="42" spans="1:26" s="27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1075.3699999999999</v>
      </c>
      <c r="E42" s="1"/>
      <c r="F42" s="5">
        <f t="shared" si="28"/>
        <v>0.61014939261377499</v>
      </c>
      <c r="G42" s="1"/>
      <c r="H42" s="1">
        <f>SUM(OSRRefH22_4x_0)</f>
        <v>968.86</v>
      </c>
      <c r="I42" s="1"/>
      <c r="J42" s="5">
        <f t="shared" si="29"/>
        <v>1.96049388112065E-2</v>
      </c>
      <c r="K42" s="1"/>
      <c r="L42" s="1">
        <f t="shared" si="30"/>
        <v>106.50999999999988</v>
      </c>
      <c r="M42" s="1"/>
      <c r="N42" s="5">
        <f t="shared" si="31"/>
        <v>0.10993332370001845</v>
      </c>
      <c r="O42" s="14"/>
      <c r="P42" s="1">
        <f>SUM(OSRRefP22_4x_0)</f>
        <v>3226.11</v>
      </c>
      <c r="Q42" s="1"/>
      <c r="R42" s="5">
        <f t="shared" si="32"/>
        <v>1.3027050600249548</v>
      </c>
      <c r="S42" s="1"/>
      <c r="T42" s="1">
        <f>SUM(OSRRefT22_4x_0)</f>
        <v>2906.58</v>
      </c>
      <c r="U42" s="1"/>
      <c r="V42" s="5">
        <f t="shared" si="33"/>
        <v>4.0405469858960784E-2</v>
      </c>
      <c r="W42" s="1"/>
      <c r="X42" s="1">
        <f t="shared" si="34"/>
        <v>319.5300000000002</v>
      </c>
      <c r="Y42" s="1"/>
      <c r="Z42" s="5">
        <f t="shared" si="35"/>
        <v>0.10993332370001865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1075.3699999999999</v>
      </c>
      <c r="E43" s="2"/>
      <c r="F43" s="6">
        <f t="shared" si="28"/>
        <v>0.61014939261377499</v>
      </c>
      <c r="G43" s="2"/>
      <c r="H43" s="7">
        <v>968.86</v>
      </c>
      <c r="I43" s="2"/>
      <c r="J43" s="6">
        <f t="shared" si="29"/>
        <v>1.96049388112065E-2</v>
      </c>
      <c r="K43" s="2"/>
      <c r="L43" s="7">
        <f t="shared" si="30"/>
        <v>106.50999999999988</v>
      </c>
      <c r="M43" s="2"/>
      <c r="N43" s="6">
        <f t="shared" si="31"/>
        <v>0.10993332370001845</v>
      </c>
      <c r="O43" s="11"/>
      <c r="P43" s="7">
        <v>3226.11</v>
      </c>
      <c r="Q43" s="2"/>
      <c r="R43" s="6">
        <f t="shared" si="32"/>
        <v>1.3027050600249548</v>
      </c>
      <c r="S43" s="2"/>
      <c r="T43" s="7">
        <v>2906.58</v>
      </c>
      <c r="U43" s="2"/>
      <c r="V43" s="6">
        <f t="shared" si="33"/>
        <v>4.0405469858960784E-2</v>
      </c>
      <c r="W43" s="2"/>
      <c r="X43" s="7">
        <f t="shared" si="34"/>
        <v>319.5300000000002</v>
      </c>
      <c r="Y43" s="2"/>
      <c r="Z43" s="6">
        <f t="shared" si="35"/>
        <v>0.10993332370001865</v>
      </c>
    </row>
    <row r="44" spans="1:26" s="27" customFormat="1" outlineLevel="1" collapsed="1" x14ac:dyDescent="0.25">
      <c r="A44" s="29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SUM(OSRRefD22_5x_0)</f>
        <v>0</v>
      </c>
      <c r="E44" s="1"/>
      <c r="F44" s="5">
        <f t="shared" si="28"/>
        <v>0</v>
      </c>
      <c r="G44" s="1"/>
      <c r="H44" s="1">
        <f>SUM(OSRRefH22_5x_0)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SUM(OSRRefP22_5x_0)</f>
        <v>754.55</v>
      </c>
      <c r="Q44" s="1"/>
      <c r="R44" s="5">
        <f t="shared" si="32"/>
        <v>0.3046877208284372</v>
      </c>
      <c r="S44" s="1"/>
      <c r="T44" s="1">
        <f>SUM(OSRRefT22_5x_0)</f>
        <v>746.3</v>
      </c>
      <c r="U44" s="1"/>
      <c r="V44" s="5">
        <f t="shared" si="33"/>
        <v>1.037459906685604E-2</v>
      </c>
      <c r="W44" s="1"/>
      <c r="X44" s="1">
        <f t="shared" si="34"/>
        <v>8.25</v>
      </c>
      <c r="Y44" s="1"/>
      <c r="Z44" s="5">
        <f t="shared" si="35"/>
        <v>1.1054535709500202E-2</v>
      </c>
    </row>
    <row r="45" spans="1:26" s="24" customFormat="1" hidden="1" outlineLevel="2" x14ac:dyDescent="0.25">
      <c r="A45" s="28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28"/>
        <v>0</v>
      </c>
      <c r="G45" s="2"/>
      <c r="H45" s="7"/>
      <c r="I45" s="2"/>
      <c r="J45" s="6">
        <f t="shared" si="29"/>
        <v>0</v>
      </c>
      <c r="K45" s="2"/>
      <c r="L45" s="7">
        <f t="shared" si="30"/>
        <v>0</v>
      </c>
      <c r="M45" s="2"/>
      <c r="N45" s="6">
        <f t="shared" si="31"/>
        <v>0</v>
      </c>
      <c r="O45" s="11"/>
      <c r="P45" s="7">
        <v>754.55</v>
      </c>
      <c r="Q45" s="2"/>
      <c r="R45" s="6">
        <f t="shared" si="32"/>
        <v>0.3046877208284372</v>
      </c>
      <c r="S45" s="2"/>
      <c r="T45" s="7">
        <v>746.3</v>
      </c>
      <c r="U45" s="2"/>
      <c r="V45" s="6">
        <f t="shared" si="33"/>
        <v>1.037459906685604E-2</v>
      </c>
      <c r="W45" s="2"/>
      <c r="X45" s="7">
        <f t="shared" si="34"/>
        <v>8.25</v>
      </c>
      <c r="Y45" s="2"/>
      <c r="Z45" s="6">
        <f t="shared" si="35"/>
        <v>1.1054535709500202E-2</v>
      </c>
    </row>
    <row r="46" spans="1:26" s="27" customFormat="1" outlineLevel="1" collapsed="1" x14ac:dyDescent="0.25">
      <c r="A46" s="29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SUM(OSRRefD22_6x_0)</f>
        <v>275.79000000000002</v>
      </c>
      <c r="E46" s="1"/>
      <c r="F46" s="5">
        <f t="shared" si="28"/>
        <v>0.15647925922143358</v>
      </c>
      <c r="G46" s="1"/>
      <c r="H46" s="1">
        <f>SUM(OSRRefH22_6x_0)</f>
        <v>437.31</v>
      </c>
      <c r="I46" s="1"/>
      <c r="J46" s="5">
        <f t="shared" si="29"/>
        <v>8.848993447483345E-3</v>
      </c>
      <c r="K46" s="1"/>
      <c r="L46" s="1">
        <f t="shared" si="30"/>
        <v>-161.51999999999998</v>
      </c>
      <c r="M46" s="1"/>
      <c r="N46" s="5">
        <f t="shared" si="31"/>
        <v>-0.36934897441174447</v>
      </c>
      <c r="O46" s="14"/>
      <c r="P46" s="1">
        <f>SUM(OSRRefP22_6x_0)</f>
        <v>444.39</v>
      </c>
      <c r="Q46" s="1"/>
      <c r="R46" s="5">
        <f t="shared" si="32"/>
        <v>0.17944493573513912</v>
      </c>
      <c r="S46" s="1"/>
      <c r="T46" s="1">
        <f>SUM(OSRRefT22_6x_0)</f>
        <v>473.73</v>
      </c>
      <c r="U46" s="1"/>
      <c r="V46" s="5">
        <f t="shared" si="33"/>
        <v>6.5855002223525558E-3</v>
      </c>
      <c r="W46" s="1"/>
      <c r="X46" s="1">
        <f t="shared" si="34"/>
        <v>-29.340000000000032</v>
      </c>
      <c r="Y46" s="1"/>
      <c r="Z46" s="5">
        <f t="shared" si="35"/>
        <v>-6.1934013045405675E-2</v>
      </c>
    </row>
    <row r="47" spans="1:26" s="24" customFormat="1" hidden="1" outlineLevel="2" x14ac:dyDescent="0.25">
      <c r="A47" s="28"/>
      <c r="B47" s="11" t="str">
        <f>CONCATENATE("          ", "6371", " - ", "COMPUTER SOFTWARE MAINTENANCE")</f>
        <v xml:space="preserve">          6371 - COMPUTER SOFTWARE MAINTENANCE</v>
      </c>
      <c r="C47" s="11"/>
      <c r="D47" s="7"/>
      <c r="E47" s="2"/>
      <c r="F47" s="6">
        <f t="shared" si="28"/>
        <v>0</v>
      </c>
      <c r="G47" s="2"/>
      <c r="H47" s="7">
        <v>437.31</v>
      </c>
      <c r="I47" s="2"/>
      <c r="J47" s="6">
        <f t="shared" si="29"/>
        <v>8.848993447483345E-3</v>
      </c>
      <c r="K47" s="2"/>
      <c r="L47" s="7">
        <f t="shared" si="30"/>
        <v>-437.31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437.31</v>
      </c>
      <c r="U47" s="2"/>
      <c r="V47" s="6">
        <f t="shared" si="33"/>
        <v>6.0792120031178017E-3</v>
      </c>
      <c r="W47" s="2"/>
      <c r="X47" s="7">
        <f t="shared" si="34"/>
        <v>-437.31</v>
      </c>
      <c r="Y47" s="2"/>
      <c r="Z47" s="6">
        <f t="shared" si="35"/>
        <v>-1</v>
      </c>
    </row>
    <row r="48" spans="1:26" s="24" customFormat="1" hidden="1" outlineLevel="2" x14ac:dyDescent="0.25">
      <c r="A48" s="28"/>
      <c r="B48" s="11" t="str">
        <f>CONCATENATE("          ", "6373", " - ", "MAINTENANCE CONTRACTS")</f>
        <v xml:space="preserve">          6373 - MAINTENANCE CONTRACTS</v>
      </c>
      <c r="C48" s="11"/>
      <c r="D48" s="7">
        <v>48.23</v>
      </c>
      <c r="E48" s="2"/>
      <c r="F48" s="6">
        <f t="shared" si="28"/>
        <v>2.736500479440785E-2</v>
      </c>
      <c r="G48" s="2"/>
      <c r="H48" s="7"/>
      <c r="I48" s="2"/>
      <c r="J48" s="6">
        <f t="shared" si="29"/>
        <v>0</v>
      </c>
      <c r="K48" s="2"/>
      <c r="L48" s="7">
        <f t="shared" si="30"/>
        <v>48.23</v>
      </c>
      <c r="M48" s="2"/>
      <c r="N48" s="6">
        <f t="shared" si="31"/>
        <v>0</v>
      </c>
      <c r="O48" s="11"/>
      <c r="P48" s="7">
        <v>126.83</v>
      </c>
      <c r="Q48" s="2"/>
      <c r="R48" s="6">
        <f t="shared" si="32"/>
        <v>5.1214026416633349E-2</v>
      </c>
      <c r="S48" s="2"/>
      <c r="T48" s="7"/>
      <c r="U48" s="2"/>
      <c r="V48" s="6">
        <f t="shared" si="33"/>
        <v>0</v>
      </c>
      <c r="W48" s="2"/>
      <c r="X48" s="7">
        <f t="shared" si="34"/>
        <v>126.83</v>
      </c>
      <c r="Y48" s="2"/>
      <c r="Z48" s="6">
        <f t="shared" si="35"/>
        <v>0</v>
      </c>
    </row>
    <row r="49" spans="1:26" s="24" customFormat="1" hidden="1" outlineLevel="2" x14ac:dyDescent="0.25">
      <c r="A49" s="28"/>
      <c r="B49" s="11" t="str">
        <f>CONCATENATE("          ", "6375", " - ", "OUTSIDE REPAIRS &amp; MAINTENANCE")</f>
        <v xml:space="preserve">          6375 - OUTSIDE REPAIRS &amp; MAINTENANCE</v>
      </c>
      <c r="C49" s="11"/>
      <c r="D49" s="7">
        <v>227.56</v>
      </c>
      <c r="E49" s="2"/>
      <c r="F49" s="6">
        <f t="shared" si="28"/>
        <v>0.12911425442702573</v>
      </c>
      <c r="G49" s="2"/>
      <c r="H49" s="7"/>
      <c r="I49" s="2"/>
      <c r="J49" s="6">
        <f t="shared" si="29"/>
        <v>0</v>
      </c>
      <c r="K49" s="2"/>
      <c r="L49" s="7">
        <f t="shared" si="30"/>
        <v>227.56</v>
      </c>
      <c r="M49" s="2"/>
      <c r="N49" s="6">
        <f t="shared" si="31"/>
        <v>0</v>
      </c>
      <c r="O49" s="11"/>
      <c r="P49" s="7">
        <v>317.56</v>
      </c>
      <c r="Q49" s="2"/>
      <c r="R49" s="6">
        <f t="shared" si="32"/>
        <v>0.12823090931850575</v>
      </c>
      <c r="S49" s="2"/>
      <c r="T49" s="7">
        <v>36.42</v>
      </c>
      <c r="U49" s="2"/>
      <c r="V49" s="6">
        <f t="shared" si="33"/>
        <v>5.0628821923475419E-4</v>
      </c>
      <c r="W49" s="2"/>
      <c r="X49" s="7">
        <f t="shared" si="34"/>
        <v>281.14</v>
      </c>
      <c r="Y49" s="2"/>
      <c r="Z49" s="6">
        <f t="shared" si="35"/>
        <v>7.7193849533223498</v>
      </c>
    </row>
    <row r="50" spans="1:26" s="27" customFormat="1" outlineLevel="1" collapsed="1" x14ac:dyDescent="0.25">
      <c r="A50" s="29"/>
      <c r="B50" s="14" t="str">
        <f>CONCATENATE("     ","Royalty &amp; Commissions                             ")</f>
        <v xml:space="preserve">     Royalty &amp; Commissions                             </v>
      </c>
      <c r="C50" s="14"/>
      <c r="D50" s="1">
        <f>SUM(OSRRefD22_7x_0)</f>
        <v>0</v>
      </c>
      <c r="E50" s="1"/>
      <c r="F50" s="5">
        <f t="shared" ref="F50:F55" si="36">IF(D$12=0,0,D50/D$12)</f>
        <v>0</v>
      </c>
      <c r="G50" s="1"/>
      <c r="H50" s="1">
        <f>SUM(OSRRefH22_7x_0)</f>
        <v>5673.45</v>
      </c>
      <c r="I50" s="1"/>
      <c r="J50" s="5">
        <f t="shared" ref="J50:J55" si="37">IF(H$12=0,0,H50/H$12)</f>
        <v>0.1148025928394603</v>
      </c>
      <c r="K50" s="1"/>
      <c r="L50" s="1">
        <f t="shared" ref="L50:L55" si="38">+D50-H50</f>
        <v>-5673.45</v>
      </c>
      <c r="M50" s="1"/>
      <c r="N50" s="5">
        <f t="shared" ref="N50:N55" si="39">IF(H50=0,0,L50/H50)</f>
        <v>-1</v>
      </c>
      <c r="O50" s="14"/>
      <c r="P50" s="1">
        <f>SUM(OSRRefP22_7x_0)</f>
        <v>0</v>
      </c>
      <c r="Q50" s="1"/>
      <c r="R50" s="5">
        <f t="shared" ref="R50:R55" si="40">IF(P$12=0,0,P50/P$12)</f>
        <v>0</v>
      </c>
      <c r="S50" s="1"/>
      <c r="T50" s="1">
        <f>SUM(OSRRefT22_7x_0)</f>
        <v>5673.45</v>
      </c>
      <c r="U50" s="1"/>
      <c r="V50" s="5">
        <f t="shared" ref="V50:V55" si="41">IF(T$12=0,0,T50/T$12)</f>
        <v>7.8868778072965842E-2</v>
      </c>
      <c r="W50" s="1"/>
      <c r="X50" s="1">
        <f t="shared" ref="X50:X55" si="42">+P50-T50</f>
        <v>-5673.45</v>
      </c>
      <c r="Y50" s="1"/>
      <c r="Z50" s="5">
        <f t="shared" ref="Z50:Z55" si="43">IF(T50=0,0,X50/T50)</f>
        <v>-1</v>
      </c>
    </row>
    <row r="51" spans="1:26" s="24" customFormat="1" hidden="1" outlineLevel="2" x14ac:dyDescent="0.25">
      <c r="A51" s="28"/>
      <c r="B51" s="11" t="str">
        <f>CONCATENATE("          ", "6254", " - ", "ROYALTY &amp; COMMISSIONS")</f>
        <v xml:space="preserve">          6254 - ROYALTY &amp; COMMISSIONS</v>
      </c>
      <c r="C51" s="11"/>
      <c r="D51" s="7"/>
      <c r="E51" s="2"/>
      <c r="F51" s="6">
        <f t="shared" si="36"/>
        <v>0</v>
      </c>
      <c r="G51" s="2"/>
      <c r="H51" s="7">
        <v>5673.45</v>
      </c>
      <c r="I51" s="2"/>
      <c r="J51" s="6">
        <f t="shared" si="37"/>
        <v>0.1148025928394603</v>
      </c>
      <c r="K51" s="2"/>
      <c r="L51" s="7">
        <f t="shared" si="38"/>
        <v>-5673.45</v>
      </c>
      <c r="M51" s="2"/>
      <c r="N51" s="6">
        <f t="shared" si="39"/>
        <v>-1</v>
      </c>
      <c r="O51" s="11"/>
      <c r="P51" s="7"/>
      <c r="Q51" s="2"/>
      <c r="R51" s="6">
        <f t="shared" si="40"/>
        <v>0</v>
      </c>
      <c r="S51" s="2"/>
      <c r="T51" s="7">
        <v>5673.45</v>
      </c>
      <c r="U51" s="2"/>
      <c r="V51" s="6">
        <f t="shared" si="41"/>
        <v>7.8868778072965842E-2</v>
      </c>
      <c r="W51" s="2"/>
      <c r="X51" s="7">
        <f t="shared" si="42"/>
        <v>-5673.45</v>
      </c>
      <c r="Y51" s="2"/>
      <c r="Z51" s="6">
        <f t="shared" si="43"/>
        <v>-1</v>
      </c>
    </row>
    <row r="52" spans="1:26" s="27" customFormat="1" outlineLevel="1" collapsed="1" x14ac:dyDescent="0.25">
      <c r="A52" s="29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SUM(OSRRefD22_8x_0)</f>
        <v>41</v>
      </c>
      <c r="E52" s="1"/>
      <c r="F52" s="5">
        <f t="shared" si="36"/>
        <v>2.3262807310195352E-2</v>
      </c>
      <c r="G52" s="1"/>
      <c r="H52" s="1">
        <f>SUM(OSRRefH22_8x_0)</f>
        <v>272.36</v>
      </c>
      <c r="I52" s="1"/>
      <c r="J52" s="5">
        <f t="shared" si="37"/>
        <v>5.511220542307663E-3</v>
      </c>
      <c r="K52" s="1"/>
      <c r="L52" s="1">
        <f t="shared" si="38"/>
        <v>-231.36</v>
      </c>
      <c r="M52" s="1"/>
      <c r="N52" s="5">
        <f t="shared" si="39"/>
        <v>-0.84946394477896903</v>
      </c>
      <c r="O52" s="14"/>
      <c r="P52" s="1">
        <f>SUM(OSRRefP22_8x_0)</f>
        <v>-104.32</v>
      </c>
      <c r="Q52" s="1"/>
      <c r="R52" s="5">
        <f t="shared" si="40"/>
        <v>-4.2124475564008439E-2</v>
      </c>
      <c r="S52" s="1"/>
      <c r="T52" s="1">
        <f>SUM(OSRRefT22_8x_0)</f>
        <v>563.54</v>
      </c>
      <c r="U52" s="1"/>
      <c r="V52" s="5">
        <f t="shared" si="41"/>
        <v>7.833983060613765E-3</v>
      </c>
      <c r="W52" s="1"/>
      <c r="X52" s="1">
        <f t="shared" si="42"/>
        <v>-667.8599999999999</v>
      </c>
      <c r="Y52" s="1"/>
      <c r="Z52" s="5">
        <f t="shared" si="43"/>
        <v>-1.1851155197501508</v>
      </c>
    </row>
    <row r="53" spans="1:26" s="24" customFormat="1" hidden="1" outlineLevel="2" x14ac:dyDescent="0.25">
      <c r="A53" s="28"/>
      <c r="B53" s="11" t="str">
        <f>CONCATENATE("          ", "6282", " - ", "JANITORIAL/EXTERMINATOR EXPENS")</f>
        <v xml:space="preserve">          6282 - JANITORIAL/EXTERMINATOR EXPENS</v>
      </c>
      <c r="C53" s="11"/>
      <c r="D53" s="7">
        <v>41</v>
      </c>
      <c r="E53" s="2"/>
      <c r="F53" s="6">
        <f t="shared" si="36"/>
        <v>2.3262807310195352E-2</v>
      </c>
      <c r="G53" s="2"/>
      <c r="H53" s="7">
        <v>41</v>
      </c>
      <c r="I53" s="2"/>
      <c r="J53" s="6">
        <f t="shared" si="37"/>
        <v>8.2963739989210666E-4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>
        <v>41</v>
      </c>
      <c r="Q53" s="2"/>
      <c r="R53" s="6">
        <f t="shared" si="40"/>
        <v>1.6555823409934299E-2</v>
      </c>
      <c r="S53" s="2"/>
      <c r="T53" s="7">
        <v>41</v>
      </c>
      <c r="U53" s="2"/>
      <c r="V53" s="6">
        <f t="shared" si="41"/>
        <v>5.6995653455861942E-4</v>
      </c>
      <c r="W53" s="2"/>
      <c r="X53" s="7">
        <f t="shared" si="42"/>
        <v>0</v>
      </c>
      <c r="Y53" s="2"/>
      <c r="Z53" s="6">
        <f t="shared" si="43"/>
        <v>0</v>
      </c>
    </row>
    <row r="54" spans="1:26" s="24" customFormat="1" hidden="1" outlineLevel="2" x14ac:dyDescent="0.25">
      <c r="A54" s="28"/>
      <c r="B54" s="11" t="str">
        <f>CONCATENATE("          ", "6285", " - ", "JANITORIAL SERVICES")</f>
        <v xml:space="preserve">          6285 - JANITORIAL SERVICES</v>
      </c>
      <c r="C54" s="11"/>
      <c r="D54" s="7"/>
      <c r="E54" s="2"/>
      <c r="F54" s="6">
        <f t="shared" si="36"/>
        <v>0</v>
      </c>
      <c r="G54" s="2"/>
      <c r="H54" s="7">
        <v>22.62</v>
      </c>
      <c r="I54" s="2"/>
      <c r="J54" s="6">
        <f t="shared" si="37"/>
        <v>4.5771702403803546E-4</v>
      </c>
      <c r="K54" s="2"/>
      <c r="L54" s="7">
        <f t="shared" si="38"/>
        <v>-22.62</v>
      </c>
      <c r="M54" s="2"/>
      <c r="N54" s="6">
        <f t="shared" si="39"/>
        <v>-1</v>
      </c>
      <c r="O54" s="11"/>
      <c r="P54" s="7">
        <v>-145.32</v>
      </c>
      <c r="Q54" s="2"/>
      <c r="R54" s="6">
        <f t="shared" si="40"/>
        <v>-5.8680298973942738E-2</v>
      </c>
      <c r="S54" s="2"/>
      <c r="T54" s="7">
        <v>67.86</v>
      </c>
      <c r="U54" s="2"/>
      <c r="V54" s="6">
        <f t="shared" si="41"/>
        <v>9.4334757158897351E-4</v>
      </c>
      <c r="W54" s="2"/>
      <c r="X54" s="7">
        <f t="shared" si="42"/>
        <v>-213.18</v>
      </c>
      <c r="Y54" s="2"/>
      <c r="Z54" s="6">
        <f t="shared" si="43"/>
        <v>-3.1414677276746246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6"/>
        <v>0</v>
      </c>
      <c r="G55" s="2"/>
      <c r="H55" s="7">
        <v>208.74</v>
      </c>
      <c r="I55" s="2"/>
      <c r="J55" s="6">
        <f t="shared" si="37"/>
        <v>4.2238661183775211E-3</v>
      </c>
      <c r="K55" s="2"/>
      <c r="L55" s="7">
        <f t="shared" si="38"/>
        <v>-208.74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454.68</v>
      </c>
      <c r="U55" s="2"/>
      <c r="V55" s="6">
        <f t="shared" si="41"/>
        <v>6.3206789544661725E-3</v>
      </c>
      <c r="W55" s="2"/>
      <c r="X55" s="7">
        <f t="shared" si="42"/>
        <v>-454.68</v>
      </c>
      <c r="Y55" s="2"/>
      <c r="Z55" s="6">
        <f t="shared" si="43"/>
        <v>-1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0</v>
      </c>
      <c r="E56" s="1"/>
      <c r="F56" s="5">
        <f t="shared" ref="F56:F60" si="44">IF(D$12=0,0,D56/D$12)</f>
        <v>0</v>
      </c>
      <c r="G56" s="1"/>
      <c r="H56" s="1">
        <f>SUM(OSRRefH22_9x_0)</f>
        <v>768.98</v>
      </c>
      <c r="I56" s="1"/>
      <c r="J56" s="5">
        <f t="shared" ref="J56:J60" si="45">IF(H$12=0,0,H56/H$12)</f>
        <v>1.5560355311439809E-2</v>
      </c>
      <c r="K56" s="1"/>
      <c r="L56" s="1">
        <f t="shared" ref="L56:L60" si="46">+D56-H56</f>
        <v>-768.98</v>
      </c>
      <c r="M56" s="1"/>
      <c r="N56" s="5">
        <f t="shared" ref="N56:N60" si="47">IF(H56=0,0,L56/H56)</f>
        <v>-1</v>
      </c>
      <c r="O56" s="14"/>
      <c r="P56" s="1">
        <f>SUM(OSRRefP22_9x_0)</f>
        <v>287.55</v>
      </c>
      <c r="Q56" s="1"/>
      <c r="R56" s="5">
        <f t="shared" ref="R56:R60" si="48">IF(P$12=0,0,P56/P$12)</f>
        <v>0.11611285418357581</v>
      </c>
      <c r="S56" s="1"/>
      <c r="T56" s="1">
        <f>SUM(OSRRefT22_9x_0)</f>
        <v>3493.62</v>
      </c>
      <c r="U56" s="1"/>
      <c r="V56" s="5">
        <f t="shared" ref="V56:V60" si="49">IF(T$12=0,0,T56/T$12)</f>
        <v>4.8566135323528874E-2</v>
      </c>
      <c r="W56" s="1"/>
      <c r="X56" s="1">
        <f t="shared" ref="X56:X60" si="50">+P56-T56</f>
        <v>-3206.0699999999997</v>
      </c>
      <c r="Y56" s="1"/>
      <c r="Z56" s="5">
        <f t="shared" ref="Z56:Z60" si="51">IF(T56=0,0,X56/T56)</f>
        <v>-0.91769282291720333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44"/>
        <v>0</v>
      </c>
      <c r="G57" s="2"/>
      <c r="H57" s="7"/>
      <c r="I57" s="2"/>
      <c r="J57" s="6">
        <f t="shared" si="45"/>
        <v>0</v>
      </c>
      <c r="K57" s="2"/>
      <c r="L57" s="7">
        <f t="shared" si="46"/>
        <v>0</v>
      </c>
      <c r="M57" s="2"/>
      <c r="N57" s="6">
        <f t="shared" si="47"/>
        <v>0</v>
      </c>
      <c r="O57" s="11"/>
      <c r="P57" s="7"/>
      <c r="Q57" s="2"/>
      <c r="R57" s="6">
        <f t="shared" si="48"/>
        <v>0</v>
      </c>
      <c r="S57" s="2"/>
      <c r="T57" s="7">
        <v>354.71</v>
      </c>
      <c r="U57" s="2"/>
      <c r="V57" s="6">
        <f t="shared" si="49"/>
        <v>4.9309581066655584E-3</v>
      </c>
      <c r="W57" s="2"/>
      <c r="X57" s="7">
        <f t="shared" si="50"/>
        <v>-354.71</v>
      </c>
      <c r="Y57" s="2"/>
      <c r="Z57" s="6">
        <f t="shared" si="51"/>
        <v>-1</v>
      </c>
    </row>
    <row r="58" spans="1:26" s="24" customFormat="1" hidden="1" outlineLevel="2" x14ac:dyDescent="0.25">
      <c r="A58" s="28"/>
      <c r="B58" s="11" t="str">
        <f>CONCATENATE("          ", "6235", " - ", "COVID-19 EXPENSES")</f>
        <v xml:space="preserve">          6235 - COVID-19 EXPENSES</v>
      </c>
      <c r="C58" s="11"/>
      <c r="D58" s="7"/>
      <c r="E58" s="2"/>
      <c r="F58" s="6">
        <f t="shared" si="44"/>
        <v>0</v>
      </c>
      <c r="G58" s="2"/>
      <c r="H58" s="7"/>
      <c r="I58" s="2"/>
      <c r="J58" s="6">
        <f t="shared" si="45"/>
        <v>0</v>
      </c>
      <c r="K58" s="2"/>
      <c r="L58" s="7">
        <f t="shared" si="46"/>
        <v>0</v>
      </c>
      <c r="M58" s="2"/>
      <c r="N58" s="6">
        <f t="shared" si="47"/>
        <v>0</v>
      </c>
      <c r="O58" s="11"/>
      <c r="P58" s="7">
        <v>207.27</v>
      </c>
      <c r="Q58" s="2"/>
      <c r="R58" s="6">
        <f t="shared" si="48"/>
        <v>8.3695744345782502E-2</v>
      </c>
      <c r="S58" s="2"/>
      <c r="T58" s="7"/>
      <c r="U58" s="2"/>
      <c r="V58" s="6">
        <f t="shared" si="49"/>
        <v>0</v>
      </c>
      <c r="W58" s="2"/>
      <c r="X58" s="7">
        <f t="shared" si="50"/>
        <v>207.27</v>
      </c>
      <c r="Y58" s="2"/>
      <c r="Z58" s="6">
        <f t="shared" si="51"/>
        <v>0</v>
      </c>
    </row>
    <row r="59" spans="1:26" s="24" customFormat="1" hidden="1" outlineLevel="2" x14ac:dyDescent="0.25">
      <c r="A59" s="28"/>
      <c r="B59" s="11" t="str">
        <f>CONCATENATE("          ", "6237", " - ", "JANITORIAL SUPPLIES")</f>
        <v xml:space="preserve">          6237 - JANITORIAL SUPPLIES</v>
      </c>
      <c r="C59" s="11"/>
      <c r="D59" s="7"/>
      <c r="E59" s="2"/>
      <c r="F59" s="6">
        <f t="shared" si="44"/>
        <v>0</v>
      </c>
      <c r="G59" s="2"/>
      <c r="H59" s="7"/>
      <c r="I59" s="2"/>
      <c r="J59" s="6">
        <f t="shared" si="45"/>
        <v>0</v>
      </c>
      <c r="K59" s="2"/>
      <c r="L59" s="7">
        <f t="shared" si="46"/>
        <v>0</v>
      </c>
      <c r="M59" s="2"/>
      <c r="N59" s="6">
        <f t="shared" si="47"/>
        <v>0</v>
      </c>
      <c r="O59" s="11"/>
      <c r="P59" s="7"/>
      <c r="Q59" s="2"/>
      <c r="R59" s="6">
        <f t="shared" si="48"/>
        <v>0</v>
      </c>
      <c r="S59" s="2"/>
      <c r="T59" s="7">
        <v>20.93</v>
      </c>
      <c r="U59" s="2"/>
      <c r="V59" s="6">
        <f t="shared" si="49"/>
        <v>2.9095586020272938E-4</v>
      </c>
      <c r="W59" s="2"/>
      <c r="X59" s="7">
        <f t="shared" si="50"/>
        <v>-20.93</v>
      </c>
      <c r="Y59" s="2"/>
      <c r="Z59" s="6">
        <f t="shared" si="51"/>
        <v>-1</v>
      </c>
    </row>
    <row r="60" spans="1:26" s="24" customFormat="1" hidden="1" outlineLevel="2" x14ac:dyDescent="0.25">
      <c r="A60" s="28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44"/>
        <v>0</v>
      </c>
      <c r="G60" s="2"/>
      <c r="H60" s="7">
        <v>768.98</v>
      </c>
      <c r="I60" s="2"/>
      <c r="J60" s="6">
        <f t="shared" si="45"/>
        <v>1.5560355311439809E-2</v>
      </c>
      <c r="K60" s="2"/>
      <c r="L60" s="7">
        <f t="shared" si="46"/>
        <v>-768.98</v>
      </c>
      <c r="M60" s="2"/>
      <c r="N60" s="6">
        <f t="shared" si="47"/>
        <v>-1</v>
      </c>
      <c r="O60" s="11"/>
      <c r="P60" s="7">
        <v>80.28</v>
      </c>
      <c r="Q60" s="2"/>
      <c r="R60" s="6">
        <f t="shared" si="48"/>
        <v>3.2417109837793306E-2</v>
      </c>
      <c r="S60" s="2"/>
      <c r="T60" s="7">
        <v>3117.98</v>
      </c>
      <c r="U60" s="2"/>
      <c r="V60" s="6">
        <f t="shared" si="49"/>
        <v>4.3344221356660592E-2</v>
      </c>
      <c r="W60" s="2"/>
      <c r="X60" s="7">
        <f t="shared" si="50"/>
        <v>-3037.7</v>
      </c>
      <c r="Y60" s="2"/>
      <c r="Z60" s="6">
        <f t="shared" si="51"/>
        <v>-0.97425256095292456</v>
      </c>
    </row>
    <row r="61" spans="1:26" s="27" customFormat="1" outlineLevel="1" collapsed="1" x14ac:dyDescent="0.25">
      <c r="A61" s="29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125</v>
      </c>
      <c r="E61" s="1"/>
      <c r="F61" s="5">
        <f t="shared" ref="F61:F64" si="52">IF(D$12=0,0,D61/D$12)</f>
        <v>7.0923193018888275E-2</v>
      </c>
      <c r="G61" s="1"/>
      <c r="H61" s="1">
        <f>SUM(OSRRefH22_10x_0)</f>
        <v>75</v>
      </c>
      <c r="I61" s="1"/>
      <c r="J61" s="5">
        <f t="shared" ref="J61:J64" si="53">IF(H$12=0,0,H61/H$12)</f>
        <v>1.5176293900465367E-3</v>
      </c>
      <c r="K61" s="1"/>
      <c r="L61" s="1">
        <f t="shared" ref="L61:L64" si="54">+D61-H61</f>
        <v>50</v>
      </c>
      <c r="M61" s="1"/>
      <c r="N61" s="5">
        <f t="shared" ref="N61:N64" si="55">IF(H61=0,0,L61/H61)</f>
        <v>0.66666666666666663</v>
      </c>
      <c r="O61" s="14"/>
      <c r="P61" s="1">
        <f>SUM(OSRRefP22_10x_0)</f>
        <v>328</v>
      </c>
      <c r="Q61" s="1"/>
      <c r="R61" s="5">
        <f t="shared" ref="R61:R64" si="56">IF(P$12=0,0,P61/P$12)</f>
        <v>0.13244658727947439</v>
      </c>
      <c r="S61" s="1"/>
      <c r="T61" s="1">
        <f>SUM(OSRRefT22_10x_0)</f>
        <v>172.5</v>
      </c>
      <c r="U61" s="1"/>
      <c r="V61" s="5">
        <f t="shared" ref="V61:V64" si="57">IF(T$12=0,0,T61/T$12)</f>
        <v>2.3979878588137036E-3</v>
      </c>
      <c r="W61" s="1"/>
      <c r="X61" s="1">
        <f t="shared" ref="X61:X64" si="58">+P61-T61</f>
        <v>155.5</v>
      </c>
      <c r="Y61" s="1"/>
      <c r="Z61" s="5">
        <f t="shared" ref="Z61:Z64" si="59">IF(T61=0,0,X61/T61)</f>
        <v>0.90144927536231889</v>
      </c>
    </row>
    <row r="62" spans="1:26" s="24" customFormat="1" hidden="1" outlineLevel="2" x14ac:dyDescent="0.25">
      <c r="A62" s="28"/>
      <c r="B62" s="11" t="str">
        <f>CONCATENATE("          ", "6309", " - ", "TELEPHONE")</f>
        <v xml:space="preserve">          6309 - TELEPHONE</v>
      </c>
      <c r="C62" s="11"/>
      <c r="D62" s="7">
        <v>125</v>
      </c>
      <c r="E62" s="2"/>
      <c r="F62" s="6">
        <f t="shared" si="52"/>
        <v>7.0923193018888275E-2</v>
      </c>
      <c r="G62" s="2"/>
      <c r="H62" s="7">
        <v>75</v>
      </c>
      <c r="I62" s="2"/>
      <c r="J62" s="6">
        <f t="shared" si="53"/>
        <v>1.5176293900465367E-3</v>
      </c>
      <c r="K62" s="2"/>
      <c r="L62" s="7">
        <f t="shared" si="54"/>
        <v>50</v>
      </c>
      <c r="M62" s="2"/>
      <c r="N62" s="6">
        <f t="shared" si="55"/>
        <v>0.66666666666666663</v>
      </c>
      <c r="O62" s="11"/>
      <c r="P62" s="7">
        <v>328</v>
      </c>
      <c r="Q62" s="2"/>
      <c r="R62" s="6">
        <f t="shared" si="56"/>
        <v>0.13244658727947439</v>
      </c>
      <c r="S62" s="2"/>
      <c r="T62" s="7">
        <v>172.5</v>
      </c>
      <c r="U62" s="2"/>
      <c r="V62" s="6">
        <f t="shared" si="57"/>
        <v>2.3979878588137036E-3</v>
      </c>
      <c r="W62" s="2"/>
      <c r="X62" s="7">
        <f t="shared" si="58"/>
        <v>155.5</v>
      </c>
      <c r="Y62" s="2"/>
      <c r="Z62" s="6">
        <f t="shared" si="59"/>
        <v>0.90144927536231889</v>
      </c>
    </row>
    <row r="63" spans="1:26" s="27" customFormat="1" outlineLevel="1" collapsed="1" x14ac:dyDescent="0.25">
      <c r="A63" s="29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SUM(OSRRefD22_11x_0)</f>
        <v>50</v>
      </c>
      <c r="E63" s="1"/>
      <c r="F63" s="5">
        <f t="shared" si="52"/>
        <v>2.8369277207555308E-2</v>
      </c>
      <c r="G63" s="1"/>
      <c r="H63" s="1">
        <f>SUM(OSRRefH22_11x_0)</f>
        <v>46</v>
      </c>
      <c r="I63" s="1"/>
      <c r="J63" s="5">
        <f t="shared" si="53"/>
        <v>9.3081269256187573E-4</v>
      </c>
      <c r="K63" s="1"/>
      <c r="L63" s="1">
        <f t="shared" si="54"/>
        <v>4</v>
      </c>
      <c r="M63" s="1"/>
      <c r="N63" s="5">
        <f t="shared" si="55"/>
        <v>8.6956521739130432E-2</v>
      </c>
      <c r="O63" s="14"/>
      <c r="P63" s="1">
        <f>SUM(OSRRefP22_11x_0)</f>
        <v>150</v>
      </c>
      <c r="Q63" s="1"/>
      <c r="R63" s="5">
        <f t="shared" si="56"/>
        <v>6.0570085646101099E-2</v>
      </c>
      <c r="S63" s="1"/>
      <c r="T63" s="1">
        <f>SUM(OSRRefT22_11x_0)</f>
        <v>-850.88</v>
      </c>
      <c r="U63" s="1"/>
      <c r="V63" s="5">
        <f t="shared" si="57"/>
        <v>-1.1828405271347271E-2</v>
      </c>
      <c r="W63" s="1"/>
      <c r="X63" s="1">
        <f t="shared" si="58"/>
        <v>1000.88</v>
      </c>
      <c r="Y63" s="1"/>
      <c r="Z63" s="5">
        <f t="shared" si="59"/>
        <v>-1.1762880782248966</v>
      </c>
    </row>
    <row r="64" spans="1:26" s="24" customFormat="1" hidden="1" outlineLevel="2" x14ac:dyDescent="0.25">
      <c r="A64" s="28"/>
      <c r="B64" s="11" t="str">
        <f>CONCATENATE("          ", "6274", " - ", "UTILITIES")</f>
        <v xml:space="preserve">          6274 - UTILITIES</v>
      </c>
      <c r="C64" s="11"/>
      <c r="D64" s="7">
        <v>50</v>
      </c>
      <c r="E64" s="2"/>
      <c r="F64" s="6">
        <f t="shared" si="52"/>
        <v>2.8369277207555308E-2</v>
      </c>
      <c r="G64" s="2"/>
      <c r="H64" s="7">
        <v>46</v>
      </c>
      <c r="I64" s="2"/>
      <c r="J64" s="6">
        <f t="shared" si="53"/>
        <v>9.3081269256187573E-4</v>
      </c>
      <c r="K64" s="2"/>
      <c r="L64" s="7">
        <f t="shared" si="54"/>
        <v>4</v>
      </c>
      <c r="M64" s="2"/>
      <c r="N64" s="6">
        <f t="shared" si="55"/>
        <v>8.6956521739130432E-2</v>
      </c>
      <c r="O64" s="11"/>
      <c r="P64" s="7">
        <v>150</v>
      </c>
      <c r="Q64" s="2"/>
      <c r="R64" s="6">
        <f t="shared" si="56"/>
        <v>6.0570085646101099E-2</v>
      </c>
      <c r="S64" s="2"/>
      <c r="T64" s="7">
        <v>-850.88</v>
      </c>
      <c r="U64" s="2"/>
      <c r="V64" s="6">
        <f t="shared" si="57"/>
        <v>-1.1828405271347271E-2</v>
      </c>
      <c r="W64" s="2"/>
      <c r="X64" s="7">
        <f t="shared" si="58"/>
        <v>1000.88</v>
      </c>
      <c r="Y64" s="2"/>
      <c r="Z64" s="6">
        <f t="shared" si="59"/>
        <v>-1.1762880782248966</v>
      </c>
    </row>
    <row r="65" spans="1:26" s="60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6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5" t="s">
        <v>3</v>
      </c>
      <c r="C68" s="25"/>
      <c r="D68" s="22">
        <f>+D20-D22+D66</f>
        <v>-7432.2999999999993</v>
      </c>
      <c r="E68" s="13"/>
      <c r="F68" s="21">
        <f>IF(D$12=0,0,D68/D$12)</f>
        <v>-4.2169795797942662</v>
      </c>
      <c r="G68" s="13"/>
      <c r="H68" s="22">
        <f>+H20-H22+H66</f>
        <v>7607.5800000000054</v>
      </c>
      <c r="I68" s="13"/>
      <c r="J68" s="21">
        <f>IF(H$12=0,0,H68/H$12)</f>
        <v>0.15393982660173652</v>
      </c>
      <c r="K68" s="15"/>
      <c r="L68" s="22">
        <f>+D68-H68</f>
        <v>-15039.880000000005</v>
      </c>
      <c r="M68" s="15"/>
      <c r="N68" s="21">
        <f>IF(H68=0,0,L68/H68)</f>
        <v>-1.9769598216515625</v>
      </c>
      <c r="O68" s="26"/>
      <c r="P68" s="22">
        <f>+P20-P22+P66</f>
        <v>-20579.84</v>
      </c>
      <c r="Q68" s="13"/>
      <c r="R68" s="21">
        <f>IF(P$12=0,0,P68/P$12)</f>
        <v>-8.310151142553714</v>
      </c>
      <c r="S68" s="13"/>
      <c r="T68" s="22">
        <f>+T20-T22+T66</f>
        <v>1054.7799999999916</v>
      </c>
      <c r="U68" s="13"/>
      <c r="V68" s="21">
        <f>IF(T$12=0,0,T68/T$12)</f>
        <v>1.466289642735941E-2</v>
      </c>
      <c r="W68" s="15"/>
      <c r="X68" s="22">
        <f>+P68-T68</f>
        <v>-21634.619999999992</v>
      </c>
      <c r="Y68" s="15"/>
      <c r="Z68" s="21">
        <f>IF(T68=0,0,X68/T68)</f>
        <v>-20.51102599594244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>
        <v>338.23</v>
      </c>
      <c r="E70" s="4"/>
      <c r="F70" s="12">
        <f>IF(D$12=0,0,D70/D$12)</f>
        <v>0.19190681259822864</v>
      </c>
      <c r="G70" s="4"/>
      <c r="H70" s="4">
        <v>4919.46</v>
      </c>
      <c r="I70" s="4"/>
      <c r="J70" s="12">
        <f>IF(H$12=0,0,H70/H$12)</f>
        <v>9.9545561055444459E-2</v>
      </c>
      <c r="K70" s="4"/>
      <c r="L70" s="4">
        <f>+D70-H70</f>
        <v>-4581.2299999999996</v>
      </c>
      <c r="M70" s="4"/>
      <c r="N70" s="12">
        <f>IF(H70=0,0,L70/H70)</f>
        <v>-0.93124651892687405</v>
      </c>
      <c r="O70" s="10"/>
      <c r="P70" s="4">
        <v>458.78</v>
      </c>
      <c r="Q70" s="4"/>
      <c r="R70" s="12">
        <f>IF(P$12=0,0,P70/P$12)</f>
        <v>0.18525562595145506</v>
      </c>
      <c r="S70" s="4"/>
      <c r="T70" s="4">
        <v>7726.81</v>
      </c>
      <c r="U70" s="4"/>
      <c r="V70" s="12">
        <f>IF(T$12=0,0,T70/T$12)</f>
        <v>0.10741331343397284</v>
      </c>
      <c r="W70" s="4"/>
      <c r="X70" s="4">
        <f>+P70-T70</f>
        <v>-7268.0300000000007</v>
      </c>
      <c r="Y70" s="4"/>
      <c r="Z70" s="12">
        <f>IF(T70=0,0,X70/T70)</f>
        <v>-0.94062491506844359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4</v>
      </c>
      <c r="C72" s="25"/>
      <c r="D72" s="33">
        <f>+D68-D70</f>
        <v>-7770.5299999999988</v>
      </c>
      <c r="E72" s="13"/>
      <c r="F72" s="32">
        <f>IF(D$12=0,0,D72/D$12)</f>
        <v>-4.4088863923924944</v>
      </c>
      <c r="G72" s="13"/>
      <c r="H72" s="33">
        <f>+H68-H70</f>
        <v>2688.1200000000053</v>
      </c>
      <c r="I72" s="13"/>
      <c r="J72" s="32">
        <f>IF(H$12=0,0,H72/H$12)</f>
        <v>5.439426554629205E-2</v>
      </c>
      <c r="K72" s="15"/>
      <c r="L72" s="33">
        <f>D72-H72</f>
        <v>-10458.650000000005</v>
      </c>
      <c r="M72" s="15"/>
      <c r="N72" s="32">
        <f>IF(H72=0,0,L72/H72)</f>
        <v>-3.8906931238188713</v>
      </c>
      <c r="O72" s="26"/>
      <c r="P72" s="33">
        <f>+P68-P70</f>
        <v>-21038.62</v>
      </c>
      <c r="Q72" s="13"/>
      <c r="R72" s="32">
        <f>IF(P$12=0,0,P72/P$12)</f>
        <v>-8.4954067685051697</v>
      </c>
      <c r="S72" s="13"/>
      <c r="T72" s="33">
        <f>+T68-T70</f>
        <v>-6672.0300000000088</v>
      </c>
      <c r="U72" s="13"/>
      <c r="V72" s="32">
        <f>IF(T$12=0,0,T72/T$12)</f>
        <v>-9.2750417006613434E-2</v>
      </c>
      <c r="W72" s="15"/>
      <c r="X72" s="33">
        <f>P72-T72</f>
        <v>-14366.589999999989</v>
      </c>
      <c r="Y72" s="15"/>
      <c r="Z72" s="32">
        <f>IF(T72=0,0,X72/T72)</f>
        <v>2.1532562053827653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5" t="s">
        <v>5</v>
      </c>
      <c r="C75" s="25"/>
      <c r="D75" s="34">
        <f>SUM(D72:D74)</f>
        <v>-7770.5299999999988</v>
      </c>
      <c r="E75" s="13"/>
      <c r="F75" s="31">
        <f>IF(D$12=0,0,D75/D$12)</f>
        <v>-4.4088863923924944</v>
      </c>
      <c r="G75" s="13"/>
      <c r="H75" s="34">
        <f>SUM(H72:H74)</f>
        <v>2688.1200000000053</v>
      </c>
      <c r="I75" s="13"/>
      <c r="J75" s="31">
        <f>IF(H$12=0,0,H75/H$12)</f>
        <v>5.439426554629205E-2</v>
      </c>
      <c r="K75" s="15"/>
      <c r="L75" s="34">
        <f>+D75-H75</f>
        <v>-10458.650000000005</v>
      </c>
      <c r="M75" s="15"/>
      <c r="N75" s="31">
        <f>IF(H75=0,0,L75/H75)</f>
        <v>-3.8906931238188713</v>
      </c>
      <c r="O75" s="26"/>
      <c r="P75" s="34">
        <f>SUM(P72:P74)</f>
        <v>-21038.62</v>
      </c>
      <c r="Q75" s="13"/>
      <c r="R75" s="31">
        <f>IF(P$12=0,0,P75/P$12)</f>
        <v>-8.4954067685051697</v>
      </c>
      <c r="S75" s="13"/>
      <c r="T75" s="34">
        <f>SUM(T72:T74)</f>
        <v>-6672.0300000000088</v>
      </c>
      <c r="U75" s="13"/>
      <c r="V75" s="31">
        <f>IF(T$12=0,0,T75/T$12)</f>
        <v>-9.2750417006613434E-2</v>
      </c>
      <c r="W75" s="15"/>
      <c r="X75" s="34">
        <f>+P75-T75</f>
        <v>-14366.589999999989</v>
      </c>
      <c r="Y75" s="15"/>
      <c r="Z75" s="31">
        <f>IF(T75=0,0,X75/T75)</f>
        <v>2.1532562053827653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A77" s="9"/>
      <c r="B77" s="54">
        <v>44123.565380821761</v>
      </c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9" t="s">
        <v>313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8"/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114695.58</v>
      </c>
      <c r="I12" s="4"/>
      <c r="J12" s="12"/>
      <c r="K12" s="4"/>
      <c r="L12" s="4">
        <f t="shared" ref="L12:L14" si="0">+D12-H12</f>
        <v>-114695.58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162111.57</v>
      </c>
      <c r="U12" s="4"/>
      <c r="V12" s="12"/>
      <c r="W12" s="4"/>
      <c r="X12" s="4">
        <f t="shared" ref="X12:X14" si="2">+P12-T12</f>
        <v>-162111.57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--15778.52</f>
        <v>15778.52</v>
      </c>
      <c r="I13" s="2"/>
      <c r="J13" s="19"/>
      <c r="K13" s="2"/>
      <c r="L13" s="2">
        <f t="shared" si="0"/>
        <v>-15778.52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--23258.1</f>
        <v>23258.1</v>
      </c>
      <c r="U13" s="2"/>
      <c r="V13" s="19"/>
      <c r="W13" s="2"/>
      <c r="X13" s="2">
        <f t="shared" si="2"/>
        <v>-23258.1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--98917.06</f>
        <v>98917.06</v>
      </c>
      <c r="I14" s="2"/>
      <c r="J14" s="19"/>
      <c r="K14" s="2"/>
      <c r="L14" s="2">
        <f t="shared" si="0"/>
        <v>-98917.06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--138853.47</f>
        <v>138853.47</v>
      </c>
      <c r="U14" s="2"/>
      <c r="V14" s="19"/>
      <c r="W14" s="2"/>
      <c r="X14" s="2">
        <f t="shared" si="2"/>
        <v>-138853.47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54599.94</v>
      </c>
      <c r="I16" s="4"/>
      <c r="J16" s="12">
        <f t="shared" ref="J16:J18" si="7">IF(H$12=0,0,H16/H$12)</f>
        <v>0.47604223283931257</v>
      </c>
      <c r="K16" s="4"/>
      <c r="L16" s="4">
        <f t="shared" ref="L16:L18" si="8">+D16-H16</f>
        <v>-54599.94</v>
      </c>
      <c r="M16" s="4"/>
      <c r="N16" s="12">
        <f t="shared" ref="N16:N18" si="9">IF(H16=0,0,L16/H16)</f>
        <v>-1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80500.27</v>
      </c>
      <c r="U16" s="4"/>
      <c r="V16" s="12">
        <f t="shared" ref="V16:V18" si="11">IF(T$12=0,0,T16/T$12)</f>
        <v>0.4965732550736508</v>
      </c>
      <c r="W16" s="4"/>
      <c r="X16" s="4">
        <f t="shared" ref="X16:X18" si="12">+P16-T16</f>
        <v>-81722.600000000006</v>
      </c>
      <c r="Y16" s="4"/>
      <c r="Z16" s="12">
        <f t="shared" ref="Z16:Z18" si="13">IF(T16=0,0,X16/T16)</f>
        <v>-1.0151841726742035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59761.51</v>
      </c>
      <c r="I17" s="2"/>
      <c r="J17" s="19">
        <f t="shared" si="7"/>
        <v>0.52104457730629206</v>
      </c>
      <c r="K17" s="2"/>
      <c r="L17" s="2">
        <f t="shared" si="8"/>
        <v>-59761.51</v>
      </c>
      <c r="M17" s="2"/>
      <c r="N17" s="19">
        <f t="shared" si="9"/>
        <v>-1</v>
      </c>
      <c r="O17" s="11"/>
      <c r="P17" s="2">
        <v>-1222.33</v>
      </c>
      <c r="Q17" s="2"/>
      <c r="R17" s="19">
        <f t="shared" si="10"/>
        <v>0</v>
      </c>
      <c r="S17" s="2"/>
      <c r="T17" s="2">
        <v>101382.21</v>
      </c>
      <c r="U17" s="2"/>
      <c r="V17" s="19">
        <f t="shared" si="11"/>
        <v>0.62538540586584912</v>
      </c>
      <c r="W17" s="2"/>
      <c r="X17" s="2">
        <f t="shared" si="12"/>
        <v>-102604.54000000001</v>
      </c>
      <c r="Y17" s="2"/>
      <c r="Z17" s="19">
        <f t="shared" si="13"/>
        <v>-1.0120566517537939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-5161.57</v>
      </c>
      <c r="I18" s="2"/>
      <c r="J18" s="19">
        <f t="shared" si="7"/>
        <v>-4.5002344466979455E-2</v>
      </c>
      <c r="K18" s="2"/>
      <c r="L18" s="2">
        <f t="shared" si="8"/>
        <v>5161.57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-20881.939999999999</v>
      </c>
      <c r="U18" s="2"/>
      <c r="V18" s="19">
        <f t="shared" si="11"/>
        <v>-0.12881215079219821</v>
      </c>
      <c r="W18" s="2"/>
      <c r="X18" s="2">
        <f t="shared" si="12"/>
        <v>20881.939999999999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60095.64</v>
      </c>
      <c r="I20" s="13"/>
      <c r="J20" s="21">
        <f>IF(H$12=0,0,H20/H$12)</f>
        <v>0.52395776716068743</v>
      </c>
      <c r="K20" s="15"/>
      <c r="L20" s="22">
        <f>+D20-H20</f>
        <v>-60095.64</v>
      </c>
      <c r="M20" s="15"/>
      <c r="N20" s="21">
        <f>IF(H20=0,0,L20/H20)</f>
        <v>-1</v>
      </c>
      <c r="O20" s="26"/>
      <c r="P20" s="22">
        <f>P12-P16</f>
        <v>1222.33</v>
      </c>
      <c r="Q20" s="13"/>
      <c r="R20" s="21">
        <f>IF(P$12=0,0,P20/P$12)</f>
        <v>0</v>
      </c>
      <c r="S20" s="13"/>
      <c r="T20" s="22">
        <f>T12-T16</f>
        <v>81611.3</v>
      </c>
      <c r="U20" s="13"/>
      <c r="V20" s="21">
        <f>IF(T$12=0,0,T20/T$12)</f>
        <v>0.5034267449263492</v>
      </c>
      <c r="W20" s="15"/>
      <c r="X20" s="22">
        <f>+P20-T20</f>
        <v>-80388.97</v>
      </c>
      <c r="Y20" s="15"/>
      <c r="Z20" s="21">
        <f>IF(T20=0,0,X20/T20)</f>
        <v>-0.98502253977084053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2179.67</v>
      </c>
      <c r="E22" s="20"/>
      <c r="F22" s="36">
        <f t="shared" ref="F22:F31" si="14">IF(D$12=0,0,D22/D$12)</f>
        <v>0</v>
      </c>
      <c r="G22" s="20"/>
      <c r="H22" s="20">
        <f>SUM(OSRRefH22x_0)</f>
        <v>30810.43</v>
      </c>
      <c r="I22" s="20"/>
      <c r="J22" s="36">
        <f t="shared" ref="J22:J31" si="15">IF(H$12=0,0,H22/H$12)</f>
        <v>0.26862787563391721</v>
      </c>
      <c r="K22" s="4"/>
      <c r="L22" s="20">
        <f t="shared" ref="L22:L31" si="16">+D22-H22</f>
        <v>-28630.760000000002</v>
      </c>
      <c r="M22" s="4"/>
      <c r="N22" s="36">
        <f t="shared" ref="N22:N31" si="17">IF(H22=0,0,L22/H22)</f>
        <v>-0.92925545018359046</v>
      </c>
      <c r="O22" s="10"/>
      <c r="P22" s="20">
        <f>SUM(OSRRefP22x_0)</f>
        <v>9028.7199999999993</v>
      </c>
      <c r="Q22" s="20"/>
      <c r="R22" s="36">
        <f t="shared" ref="R22:R31" si="18">IF(P$12=0,0,P22/P$12)</f>
        <v>0</v>
      </c>
      <c r="S22" s="20"/>
      <c r="T22" s="20">
        <f>SUM(OSRRefT22x_0)</f>
        <v>76134.790000000023</v>
      </c>
      <c r="U22" s="20"/>
      <c r="V22" s="36">
        <f t="shared" ref="V22:V31" si="19">IF(T$12=0,0,T22/T$12)</f>
        <v>0.46964439367282679</v>
      </c>
      <c r="W22" s="4"/>
      <c r="X22" s="20">
        <f t="shared" ref="X22:X31" si="20">+P22-T22</f>
        <v>-67106.070000000022</v>
      </c>
      <c r="Y22" s="4"/>
      <c r="Z22" s="36">
        <f t="shared" ref="Z22:Z31" si="21">IF(T22=0,0,X22/T22)</f>
        <v>-0.88141137579810758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2340.6000000000004</v>
      </c>
      <c r="I23" s="1"/>
      <c r="J23" s="5">
        <f t="shared" si="15"/>
        <v>2.0407063637500243E-2</v>
      </c>
      <c r="K23" s="1"/>
      <c r="L23" s="1">
        <f t="shared" si="16"/>
        <v>-2340.6000000000004</v>
      </c>
      <c r="M23" s="1"/>
      <c r="N23" s="5">
        <f t="shared" si="17"/>
        <v>-1</v>
      </c>
      <c r="O23" s="14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7186.7799999999988</v>
      </c>
      <c r="U23" s="1"/>
      <c r="V23" s="5">
        <f t="shared" si="19"/>
        <v>4.4332307681678729E-2</v>
      </c>
      <c r="W23" s="1"/>
      <c r="X23" s="1">
        <f t="shared" si="20"/>
        <v>-5590.8099999999995</v>
      </c>
      <c r="Y23" s="1"/>
      <c r="Z23" s="5">
        <f t="shared" si="21"/>
        <v>-0.77792975435452327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417.72</v>
      </c>
      <c r="I24" s="2"/>
      <c r="J24" s="6">
        <f t="shared" si="15"/>
        <v>3.6419886450724608E-3</v>
      </c>
      <c r="K24" s="2"/>
      <c r="L24" s="7">
        <f t="shared" si="16"/>
        <v>-417.72</v>
      </c>
      <c r="M24" s="2"/>
      <c r="N24" s="6">
        <f t="shared" si="17"/>
        <v>-1</v>
      </c>
      <c r="O24" s="11"/>
      <c r="P24" s="7">
        <v>159.12</v>
      </c>
      <c r="Q24" s="2"/>
      <c r="R24" s="6">
        <f t="shared" si="18"/>
        <v>0</v>
      </c>
      <c r="S24" s="2"/>
      <c r="T24" s="7">
        <v>1939.5</v>
      </c>
      <c r="U24" s="2"/>
      <c r="V24" s="6">
        <f t="shared" si="19"/>
        <v>1.196398258310619E-2</v>
      </c>
      <c r="W24" s="2"/>
      <c r="X24" s="7">
        <f t="shared" si="20"/>
        <v>-1780.38</v>
      </c>
      <c r="Y24" s="2"/>
      <c r="Z24" s="6">
        <f t="shared" si="21"/>
        <v>-0.91795823665893272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388.94</v>
      </c>
      <c r="I25" s="2"/>
      <c r="J25" s="6">
        <f t="shared" si="15"/>
        <v>3.3910635440354371E-3</v>
      </c>
      <c r="K25" s="2"/>
      <c r="L25" s="7">
        <f t="shared" si="16"/>
        <v>-388.94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779.28</v>
      </c>
      <c r="U25" s="2"/>
      <c r="V25" s="6">
        <f t="shared" si="19"/>
        <v>4.8070597305300286E-3</v>
      </c>
      <c r="W25" s="2"/>
      <c r="X25" s="7">
        <f t="shared" si="20"/>
        <v>-779.28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641.14</v>
      </c>
      <c r="I26" s="2"/>
      <c r="J26" s="6">
        <f t="shared" si="15"/>
        <v>5.5899277025322162E-3</v>
      </c>
      <c r="K26" s="2"/>
      <c r="L26" s="7">
        <f t="shared" si="16"/>
        <v>-641.14</v>
      </c>
      <c r="M26" s="2"/>
      <c r="N26" s="6">
        <f t="shared" si="17"/>
        <v>-1</v>
      </c>
      <c r="O26" s="11"/>
      <c r="P26" s="7">
        <v>683.68</v>
      </c>
      <c r="Q26" s="2"/>
      <c r="R26" s="6">
        <f t="shared" si="18"/>
        <v>0</v>
      </c>
      <c r="S26" s="2"/>
      <c r="T26" s="7">
        <v>1923.42</v>
      </c>
      <c r="U26" s="2"/>
      <c r="V26" s="6">
        <f t="shared" si="19"/>
        <v>1.1864791637018875E-2</v>
      </c>
      <c r="W26" s="2"/>
      <c r="X26" s="7">
        <f t="shared" si="20"/>
        <v>-1239.7400000000002</v>
      </c>
      <c r="Y26" s="2"/>
      <c r="Z26" s="6">
        <f t="shared" si="21"/>
        <v>-0.64454981231348341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53.22</v>
      </c>
      <c r="I27" s="2"/>
      <c r="J27" s="6">
        <f t="shared" si="15"/>
        <v>4.6401090608722673E-4</v>
      </c>
      <c r="K27" s="2"/>
      <c r="L27" s="7">
        <f t="shared" si="16"/>
        <v>-53.22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102.82</v>
      </c>
      <c r="U27" s="2"/>
      <c r="V27" s="6">
        <f t="shared" si="19"/>
        <v>6.3425454457075449E-4</v>
      </c>
      <c r="W27" s="2"/>
      <c r="X27" s="7">
        <f t="shared" si="20"/>
        <v>-102.82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268.22000000000003</v>
      </c>
      <c r="I28" s="2"/>
      <c r="J28" s="6">
        <f t="shared" si="15"/>
        <v>2.338538241839834E-3</v>
      </c>
      <c r="K28" s="2"/>
      <c r="L28" s="7">
        <f t="shared" si="16"/>
        <v>-268.22000000000003</v>
      </c>
      <c r="M28" s="2"/>
      <c r="N28" s="6">
        <f t="shared" si="17"/>
        <v>-1</v>
      </c>
      <c r="O28" s="11"/>
      <c r="P28" s="7">
        <v>321.57</v>
      </c>
      <c r="Q28" s="2"/>
      <c r="R28" s="6">
        <f t="shared" si="18"/>
        <v>0</v>
      </c>
      <c r="S28" s="2"/>
      <c r="T28" s="7">
        <v>804.66</v>
      </c>
      <c r="U28" s="2"/>
      <c r="V28" s="6">
        <f t="shared" si="19"/>
        <v>4.9636185745409777E-3</v>
      </c>
      <c r="W28" s="2"/>
      <c r="X28" s="7">
        <f t="shared" si="20"/>
        <v>-483.09</v>
      </c>
      <c r="Y28" s="2"/>
      <c r="Z28" s="6">
        <f t="shared" si="21"/>
        <v>-0.60036537170979043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221.28</v>
      </c>
      <c r="I29" s="2"/>
      <c r="J29" s="6">
        <f t="shared" si="15"/>
        <v>1.9292809714201715E-3</v>
      </c>
      <c r="K29" s="2"/>
      <c r="L29" s="7">
        <f t="shared" si="16"/>
        <v>-221.28</v>
      </c>
      <c r="M29" s="2"/>
      <c r="N29" s="6">
        <f t="shared" si="17"/>
        <v>-1</v>
      </c>
      <c r="O29" s="11"/>
      <c r="P29" s="7">
        <v>239.72</v>
      </c>
      <c r="Q29" s="2"/>
      <c r="R29" s="6">
        <f t="shared" si="18"/>
        <v>0</v>
      </c>
      <c r="S29" s="2"/>
      <c r="T29" s="7">
        <v>663.84</v>
      </c>
      <c r="U29" s="2"/>
      <c r="V29" s="6">
        <f t="shared" si="19"/>
        <v>4.0949575653360217E-3</v>
      </c>
      <c r="W29" s="2"/>
      <c r="X29" s="7">
        <f t="shared" si="20"/>
        <v>-424.12</v>
      </c>
      <c r="Y29" s="2"/>
      <c r="Z29" s="6">
        <f t="shared" si="21"/>
        <v>-0.63888888888888884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177.12</v>
      </c>
      <c r="I30" s="2"/>
      <c r="J30" s="6">
        <f t="shared" si="15"/>
        <v>1.5442617753883804E-3</v>
      </c>
      <c r="K30" s="2"/>
      <c r="L30" s="7">
        <f t="shared" si="16"/>
        <v>-177.12</v>
      </c>
      <c r="M30" s="2"/>
      <c r="N30" s="6">
        <f t="shared" si="17"/>
        <v>-1</v>
      </c>
      <c r="O30" s="11"/>
      <c r="P30" s="7">
        <v>191.88</v>
      </c>
      <c r="Q30" s="2"/>
      <c r="R30" s="6">
        <f t="shared" si="18"/>
        <v>0</v>
      </c>
      <c r="S30" s="2"/>
      <c r="T30" s="7">
        <v>531.36</v>
      </c>
      <c r="U30" s="2"/>
      <c r="V30" s="6">
        <f t="shared" si="19"/>
        <v>3.2777426065270974E-3</v>
      </c>
      <c r="W30" s="2"/>
      <c r="X30" s="7">
        <f t="shared" si="20"/>
        <v>-339.48</v>
      </c>
      <c r="Y30" s="2"/>
      <c r="Z30" s="6">
        <f t="shared" si="21"/>
        <v>-0.63888888888888895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172.96</v>
      </c>
      <c r="I31" s="2"/>
      <c r="J31" s="6">
        <f t="shared" si="15"/>
        <v>1.5079918511245159E-3</v>
      </c>
      <c r="K31" s="2"/>
      <c r="L31" s="7">
        <f t="shared" si="16"/>
        <v>-172.96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441.9</v>
      </c>
      <c r="U31" s="2"/>
      <c r="V31" s="6">
        <f t="shared" si="19"/>
        <v>2.7259004400487885E-3</v>
      </c>
      <c r="W31" s="2"/>
      <c r="X31" s="7">
        <f t="shared" si="20"/>
        <v>-441.9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19740.04</v>
      </c>
      <c r="I32" s="1"/>
      <c r="J32" s="5">
        <f t="shared" ref="J32:J36" si="23">IF(H$12=0,0,H32/H$12)</f>
        <v>0.1721081143667437</v>
      </c>
      <c r="K32" s="1"/>
      <c r="L32" s="1">
        <f t="shared" ref="L32:L36" si="24">+D32-H32</f>
        <v>-19740.04</v>
      </c>
      <c r="M32" s="1"/>
      <c r="N32" s="5">
        <f t="shared" ref="N32:N36" si="25">IF(H32=0,0,L32/H32)</f>
        <v>-1</v>
      </c>
      <c r="O32" s="14"/>
      <c r="P32" s="1">
        <f>SUM(OSRRefP22_1x_0)</f>
        <v>2080</v>
      </c>
      <c r="Q32" s="1"/>
      <c r="R32" s="5">
        <f t="shared" ref="R32:R36" si="26">IF(P$12=0,0,P32/P$12)</f>
        <v>0</v>
      </c>
      <c r="S32" s="1"/>
      <c r="T32" s="1">
        <f>SUM(OSRRefT22_1x_0)</f>
        <v>43516.990000000005</v>
      </c>
      <c r="U32" s="1"/>
      <c r="V32" s="5">
        <f t="shared" ref="V32:V36" si="27">IF(T$12=0,0,T32/T$12)</f>
        <v>0.26843852045847194</v>
      </c>
      <c r="W32" s="1"/>
      <c r="X32" s="1">
        <f t="shared" ref="X32:X36" si="28">+P32-T32</f>
        <v>-41436.990000000005</v>
      </c>
      <c r="Y32" s="1"/>
      <c r="Z32" s="5">
        <f t="shared" ref="Z32:Z36" si="29">IF(T32=0,0,X32/T32)</f>
        <v>-0.95220257651092133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3456</v>
      </c>
      <c r="I33" s="2"/>
      <c r="J33" s="6">
        <f t="shared" si="23"/>
        <v>3.0131937080748884E-2</v>
      </c>
      <c r="K33" s="2"/>
      <c r="L33" s="7">
        <f t="shared" si="24"/>
        <v>-3456</v>
      </c>
      <c r="M33" s="2"/>
      <c r="N33" s="6">
        <f t="shared" si="25"/>
        <v>-1</v>
      </c>
      <c r="O33" s="11"/>
      <c r="P33" s="7">
        <v>2080</v>
      </c>
      <c r="Q33" s="2"/>
      <c r="R33" s="6">
        <f t="shared" si="26"/>
        <v>0</v>
      </c>
      <c r="S33" s="2"/>
      <c r="T33" s="7">
        <v>10752</v>
      </c>
      <c r="U33" s="2"/>
      <c r="V33" s="6">
        <f t="shared" si="27"/>
        <v>6.6324692309130059E-2</v>
      </c>
      <c r="W33" s="2"/>
      <c r="X33" s="7">
        <f t="shared" si="28"/>
        <v>-8672</v>
      </c>
      <c r="Y33" s="2"/>
      <c r="Z33" s="6">
        <f t="shared" si="29"/>
        <v>-0.80654761904761907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1620.5</v>
      </c>
      <c r="I34" s="2"/>
      <c r="J34" s="6">
        <f t="shared" si="23"/>
        <v>1.4128704872498139E-2</v>
      </c>
      <c r="K34" s="2"/>
      <c r="L34" s="7">
        <f t="shared" si="24"/>
        <v>-1620.5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3731</v>
      </c>
      <c r="U34" s="2"/>
      <c r="V34" s="6">
        <f t="shared" si="27"/>
        <v>2.3015013672373907E-2</v>
      </c>
      <c r="W34" s="2"/>
      <c r="X34" s="7">
        <f t="shared" si="28"/>
        <v>-3731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14198.54</v>
      </c>
      <c r="I35" s="2"/>
      <c r="J35" s="6">
        <f t="shared" si="23"/>
        <v>0.12379326212919452</v>
      </c>
      <c r="K35" s="2"/>
      <c r="L35" s="7">
        <f t="shared" si="24"/>
        <v>-14198.54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28568.99</v>
      </c>
      <c r="U35" s="2"/>
      <c r="V35" s="6">
        <f t="shared" si="27"/>
        <v>0.17623041958078625</v>
      </c>
      <c r="W35" s="2"/>
      <c r="X35" s="7">
        <f t="shared" si="28"/>
        <v>-28568.99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>
        <v>465</v>
      </c>
      <c r="I36" s="2"/>
      <c r="J36" s="6">
        <f t="shared" si="23"/>
        <v>4.0542102843021503E-3</v>
      </c>
      <c r="K36" s="2"/>
      <c r="L36" s="7">
        <f t="shared" si="24"/>
        <v>-465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465</v>
      </c>
      <c r="U36" s="2"/>
      <c r="V36" s="6">
        <f t="shared" si="27"/>
        <v>2.8683948961816851E-3</v>
      </c>
      <c r="W36" s="2"/>
      <c r="X36" s="7">
        <f t="shared" si="28"/>
        <v>-465</v>
      </c>
      <c r="Y36" s="2"/>
      <c r="Z36" s="6">
        <f t="shared" si="29"/>
        <v>-1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51" si="30">IF(D$12=0,0,D37/D$12)</f>
        <v>0</v>
      </c>
      <c r="G37" s="1"/>
      <c r="H37" s="1">
        <f>SUM(OSRRefH22_2x_0)</f>
        <v>0</v>
      </c>
      <c r="I37" s="1"/>
      <c r="J37" s="5">
        <f t="shared" ref="J37:J51" si="31">IF(H$12=0,0,H37/H$12)</f>
        <v>0</v>
      </c>
      <c r="K37" s="1"/>
      <c r="L37" s="1">
        <f t="shared" ref="L37:L51" si="32">+D37-H37</f>
        <v>0</v>
      </c>
      <c r="M37" s="1"/>
      <c r="N37" s="5">
        <f t="shared" ref="N37:N51" si="33">IF(H37=0,0,L37/H37)</f>
        <v>0</v>
      </c>
      <c r="O37" s="14"/>
      <c r="P37" s="1">
        <f>SUM(OSRRefP22_2x_0)</f>
        <v>0</v>
      </c>
      <c r="Q37" s="1"/>
      <c r="R37" s="5">
        <f t="shared" ref="R37:R51" si="34">IF(P$12=0,0,P37/P$12)</f>
        <v>0</v>
      </c>
      <c r="S37" s="1"/>
      <c r="T37" s="1">
        <f>SUM(OSRRefT22_2x_0)</f>
        <v>60</v>
      </c>
      <c r="U37" s="1"/>
      <c r="V37" s="5">
        <f t="shared" ref="V37:V51" si="35">IF(T$12=0,0,T37/T$12)</f>
        <v>3.7011547047505612E-4</v>
      </c>
      <c r="W37" s="1"/>
      <c r="X37" s="1">
        <f t="shared" ref="X37:X51" si="36">+P37-T37</f>
        <v>-60</v>
      </c>
      <c r="Y37" s="1"/>
      <c r="Z37" s="5">
        <f t="shared" ref="Z37:Z51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/>
      <c r="I38" s="2"/>
      <c r="J38" s="6">
        <f t="shared" si="31"/>
        <v>0</v>
      </c>
      <c r="K38" s="2"/>
      <c r="L38" s="7">
        <f t="shared" si="32"/>
        <v>0</v>
      </c>
      <c r="M38" s="2"/>
      <c r="N38" s="6">
        <f t="shared" si="33"/>
        <v>0</v>
      </c>
      <c r="O38" s="11"/>
      <c r="P38" s="7"/>
      <c r="Q38" s="2"/>
      <c r="R38" s="6">
        <f t="shared" si="34"/>
        <v>0</v>
      </c>
      <c r="S38" s="2"/>
      <c r="T38" s="7">
        <v>60</v>
      </c>
      <c r="U38" s="2"/>
      <c r="V38" s="6">
        <f t="shared" si="35"/>
        <v>3.7011547047505612E-4</v>
      </c>
      <c r="W38" s="2"/>
      <c r="X38" s="7">
        <f t="shared" si="36"/>
        <v>-60</v>
      </c>
      <c r="Y38" s="2"/>
      <c r="Z38" s="6">
        <f t="shared" si="37"/>
        <v>-1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-17.239999999999998</v>
      </c>
      <c r="I39" s="1"/>
      <c r="J39" s="5">
        <f t="shared" si="31"/>
        <v>-1.5031093613197648E-4</v>
      </c>
      <c r="K39" s="1"/>
      <c r="L39" s="1">
        <f t="shared" si="32"/>
        <v>17.239999999999998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-25.08</v>
      </c>
      <c r="U39" s="1"/>
      <c r="V39" s="5">
        <f t="shared" si="35"/>
        <v>-1.5470826665857346E-4</v>
      </c>
      <c r="W39" s="1"/>
      <c r="X39" s="1">
        <f t="shared" si="36"/>
        <v>25.08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-17.239999999999998</v>
      </c>
      <c r="I40" s="2"/>
      <c r="J40" s="6">
        <f t="shared" si="31"/>
        <v>-1.5031093613197648E-4</v>
      </c>
      <c r="K40" s="2"/>
      <c r="L40" s="7">
        <f t="shared" si="32"/>
        <v>17.239999999999998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-25.08</v>
      </c>
      <c r="U40" s="2"/>
      <c r="V40" s="6">
        <f t="shared" si="35"/>
        <v>-1.5470826665857346E-4</v>
      </c>
      <c r="W40" s="2"/>
      <c r="X40" s="7">
        <f t="shared" si="36"/>
        <v>25.08</v>
      </c>
      <c r="Y40" s="2"/>
      <c r="Z40" s="6">
        <f t="shared" si="37"/>
        <v>-1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3924.9</v>
      </c>
      <c r="I41" s="1"/>
      <c r="J41" s="5">
        <f t="shared" si="31"/>
        <v>3.4220150419048405E-2</v>
      </c>
      <c r="K41" s="1"/>
      <c r="L41" s="1">
        <f t="shared" si="32"/>
        <v>-3924.9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5394.42</v>
      </c>
      <c r="U41" s="1"/>
      <c r="V41" s="5">
        <f t="shared" si="35"/>
        <v>3.3275971604000872E-2</v>
      </c>
      <c r="W41" s="1"/>
      <c r="X41" s="1">
        <f t="shared" si="36"/>
        <v>-5394.42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3924.9</v>
      </c>
      <c r="I42" s="2"/>
      <c r="J42" s="6">
        <f t="shared" si="31"/>
        <v>3.4220150419048405E-2</v>
      </c>
      <c r="K42" s="2"/>
      <c r="L42" s="7">
        <f t="shared" si="32"/>
        <v>-3924.9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5394.42</v>
      </c>
      <c r="U42" s="2"/>
      <c r="V42" s="6">
        <f t="shared" si="35"/>
        <v>3.3275971604000872E-2</v>
      </c>
      <c r="W42" s="2"/>
      <c r="X42" s="7">
        <f t="shared" si="36"/>
        <v>-5394.42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2017.34</v>
      </c>
      <c r="E43" s="1"/>
      <c r="F43" s="5">
        <f t="shared" si="30"/>
        <v>0</v>
      </c>
      <c r="G43" s="1"/>
      <c r="H43" s="1">
        <f>SUM(OSRRefH22_5x_0)</f>
        <v>1857.58</v>
      </c>
      <c r="I43" s="1"/>
      <c r="J43" s="5">
        <f t="shared" si="31"/>
        <v>1.619574180626664E-2</v>
      </c>
      <c r="K43" s="1"/>
      <c r="L43" s="1">
        <f t="shared" si="32"/>
        <v>159.76</v>
      </c>
      <c r="M43" s="1"/>
      <c r="N43" s="5">
        <f t="shared" si="33"/>
        <v>8.6004371278760539E-2</v>
      </c>
      <c r="O43" s="14"/>
      <c r="P43" s="1">
        <f>SUM(OSRRefP22_5x_0)</f>
        <v>6052.02</v>
      </c>
      <c r="Q43" s="1"/>
      <c r="R43" s="5">
        <f t="shared" si="34"/>
        <v>0</v>
      </c>
      <c r="S43" s="1"/>
      <c r="T43" s="1">
        <f>SUM(OSRRefT22_5x_0)</f>
        <v>5572.74</v>
      </c>
      <c r="U43" s="1"/>
      <c r="V43" s="5">
        <f t="shared" si="35"/>
        <v>3.4375954782252735E-2</v>
      </c>
      <c r="W43" s="1"/>
      <c r="X43" s="1">
        <f t="shared" si="36"/>
        <v>479.28000000000065</v>
      </c>
      <c r="Y43" s="1"/>
      <c r="Z43" s="5">
        <f t="shared" si="37"/>
        <v>8.6004371278760663E-2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2017.34</v>
      </c>
      <c r="E44" s="2"/>
      <c r="F44" s="6">
        <f t="shared" si="30"/>
        <v>0</v>
      </c>
      <c r="G44" s="2"/>
      <c r="H44" s="7">
        <v>1857.58</v>
      </c>
      <c r="I44" s="2"/>
      <c r="J44" s="6">
        <f t="shared" si="31"/>
        <v>1.619574180626664E-2</v>
      </c>
      <c r="K44" s="2"/>
      <c r="L44" s="7">
        <f t="shared" si="32"/>
        <v>159.76</v>
      </c>
      <c r="M44" s="2"/>
      <c r="N44" s="6">
        <f t="shared" si="33"/>
        <v>8.6004371278760539E-2</v>
      </c>
      <c r="O44" s="11"/>
      <c r="P44" s="7">
        <v>6052.02</v>
      </c>
      <c r="Q44" s="2"/>
      <c r="R44" s="6">
        <f t="shared" si="34"/>
        <v>0</v>
      </c>
      <c r="S44" s="2"/>
      <c r="T44" s="7">
        <v>5572.74</v>
      </c>
      <c r="U44" s="2"/>
      <c r="V44" s="6">
        <f t="shared" si="35"/>
        <v>3.4375954782252735E-2</v>
      </c>
      <c r="W44" s="2"/>
      <c r="X44" s="7">
        <f t="shared" si="36"/>
        <v>479.28000000000065</v>
      </c>
      <c r="Y44" s="2"/>
      <c r="Z44" s="6">
        <f t="shared" si="37"/>
        <v>8.6004371278760663E-2</v>
      </c>
    </row>
    <row r="45" spans="1:26" s="27" customFormat="1" outlineLevel="1" collapsed="1" x14ac:dyDescent="0.25">
      <c r="A45" s="29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91.5</v>
      </c>
      <c r="I45" s="1"/>
      <c r="J45" s="5">
        <f t="shared" si="31"/>
        <v>7.9776395916913274E-4</v>
      </c>
      <c r="K45" s="1"/>
      <c r="L45" s="1">
        <f t="shared" si="32"/>
        <v>-91.5</v>
      </c>
      <c r="M45" s="1"/>
      <c r="N45" s="5">
        <f t="shared" si="33"/>
        <v>-1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860.05</v>
      </c>
      <c r="U45" s="1"/>
      <c r="V45" s="5">
        <f t="shared" si="35"/>
        <v>5.3052968397012002E-3</v>
      </c>
      <c r="W45" s="1"/>
      <c r="X45" s="1">
        <f t="shared" si="36"/>
        <v>-860.05</v>
      </c>
      <c r="Y45" s="1"/>
      <c r="Z45" s="5">
        <f t="shared" si="37"/>
        <v>-1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0"/>
        <v>0</v>
      </c>
      <c r="G46" s="2"/>
      <c r="H46" s="7">
        <v>91.5</v>
      </c>
      <c r="I46" s="2"/>
      <c r="J46" s="6">
        <f t="shared" si="31"/>
        <v>7.9776395916913274E-4</v>
      </c>
      <c r="K46" s="2"/>
      <c r="L46" s="7">
        <f t="shared" si="32"/>
        <v>-91.5</v>
      </c>
      <c r="M46" s="2"/>
      <c r="N46" s="6">
        <f t="shared" si="33"/>
        <v>-1</v>
      </c>
      <c r="O46" s="11"/>
      <c r="P46" s="7"/>
      <c r="Q46" s="2"/>
      <c r="R46" s="6">
        <f t="shared" si="34"/>
        <v>0</v>
      </c>
      <c r="S46" s="2"/>
      <c r="T46" s="7">
        <v>860.05</v>
      </c>
      <c r="U46" s="2"/>
      <c r="V46" s="6">
        <f t="shared" si="35"/>
        <v>5.3052968397012002E-3</v>
      </c>
      <c r="W46" s="2"/>
      <c r="X46" s="7">
        <f t="shared" si="36"/>
        <v>-860.05</v>
      </c>
      <c r="Y46" s="2"/>
      <c r="Z46" s="6">
        <f t="shared" si="37"/>
        <v>-1</v>
      </c>
    </row>
    <row r="47" spans="1:26" s="27" customFormat="1" outlineLevel="1" collapsed="1" x14ac:dyDescent="0.25">
      <c r="A47" s="29"/>
      <c r="B47" s="14" t="str">
        <f>CONCATENATE("     ","Rent                                              ")</f>
        <v xml:space="preserve">     Rent                                              </v>
      </c>
      <c r="C47" s="14"/>
      <c r="D47" s="1">
        <f>SUM(OSRRefD22_7x_0)</f>
        <v>0</v>
      </c>
      <c r="E47" s="1"/>
      <c r="F47" s="5">
        <f t="shared" si="30"/>
        <v>0</v>
      </c>
      <c r="G47" s="1"/>
      <c r="H47" s="1">
        <f>SUM(OSRRefH22_7x_0)</f>
        <v>1150</v>
      </c>
      <c r="I47" s="1"/>
      <c r="J47" s="5">
        <f t="shared" si="31"/>
        <v>1.0026541563327898E-2</v>
      </c>
      <c r="K47" s="1"/>
      <c r="L47" s="1">
        <f t="shared" si="32"/>
        <v>-1150</v>
      </c>
      <c r="M47" s="1"/>
      <c r="N47" s="5">
        <f t="shared" si="33"/>
        <v>-1</v>
      </c>
      <c r="O47" s="14"/>
      <c r="P47" s="1">
        <f>SUM(OSRRefP22_7x_0)</f>
        <v>0</v>
      </c>
      <c r="Q47" s="1"/>
      <c r="R47" s="5">
        <f t="shared" si="34"/>
        <v>0</v>
      </c>
      <c r="S47" s="1"/>
      <c r="T47" s="1">
        <f>SUM(OSRRefT22_7x_0)</f>
        <v>3450</v>
      </c>
      <c r="U47" s="1"/>
      <c r="V47" s="5">
        <f t="shared" si="35"/>
        <v>2.1281639552315729E-2</v>
      </c>
      <c r="W47" s="1"/>
      <c r="X47" s="1">
        <f t="shared" si="36"/>
        <v>-3450</v>
      </c>
      <c r="Y47" s="1"/>
      <c r="Z47" s="5">
        <f t="shared" si="37"/>
        <v>-1</v>
      </c>
    </row>
    <row r="48" spans="1:26" s="24" customFormat="1" hidden="1" outlineLevel="2" x14ac:dyDescent="0.25">
      <c r="A48" s="28"/>
      <c r="B48" s="11" t="str">
        <f>CONCATENATE("          ", "6273", " - ", "RENT")</f>
        <v xml:space="preserve">          6273 - RENT</v>
      </c>
      <c r="C48" s="11"/>
      <c r="D48" s="7"/>
      <c r="E48" s="2"/>
      <c r="F48" s="6">
        <f t="shared" si="30"/>
        <v>0</v>
      </c>
      <c r="G48" s="2"/>
      <c r="H48" s="7">
        <v>1150</v>
      </c>
      <c r="I48" s="2"/>
      <c r="J48" s="6">
        <f t="shared" si="31"/>
        <v>1.0026541563327898E-2</v>
      </c>
      <c r="K48" s="2"/>
      <c r="L48" s="7">
        <f t="shared" si="32"/>
        <v>-1150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3450</v>
      </c>
      <c r="U48" s="2"/>
      <c r="V48" s="6">
        <f t="shared" si="35"/>
        <v>2.1281639552315729E-2</v>
      </c>
      <c r="W48" s="2"/>
      <c r="X48" s="7">
        <f t="shared" si="36"/>
        <v>-3450</v>
      </c>
      <c r="Y48" s="2"/>
      <c r="Z48" s="6">
        <f t="shared" si="37"/>
        <v>-1</v>
      </c>
    </row>
    <row r="49" spans="1:26" s="27" customFormat="1" outlineLevel="1" collapsed="1" x14ac:dyDescent="0.25">
      <c r="A49" s="29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72.349999999999994</v>
      </c>
      <c r="E49" s="1"/>
      <c r="F49" s="5">
        <f t="shared" si="30"/>
        <v>0</v>
      </c>
      <c r="G49" s="1"/>
      <c r="H49" s="1">
        <f>SUM(OSRRefH22_8x_0)</f>
        <v>509.14</v>
      </c>
      <c r="I49" s="1"/>
      <c r="J49" s="5">
        <f t="shared" si="31"/>
        <v>4.439055105698057E-3</v>
      </c>
      <c r="K49" s="1"/>
      <c r="L49" s="1">
        <f t="shared" si="32"/>
        <v>-436.78999999999996</v>
      </c>
      <c r="M49" s="1"/>
      <c r="N49" s="5">
        <f t="shared" si="33"/>
        <v>-0.85789763129983887</v>
      </c>
      <c r="O49" s="14"/>
      <c r="P49" s="1">
        <f>SUM(OSRRefP22_8x_0)</f>
        <v>150.94999999999999</v>
      </c>
      <c r="Q49" s="1"/>
      <c r="R49" s="5">
        <f t="shared" si="34"/>
        <v>0</v>
      </c>
      <c r="S49" s="1"/>
      <c r="T49" s="1">
        <f>SUM(OSRRefT22_8x_0)</f>
        <v>1149.27</v>
      </c>
      <c r="U49" s="1"/>
      <c r="V49" s="5">
        <f t="shared" si="35"/>
        <v>7.0893767792144626E-3</v>
      </c>
      <c r="W49" s="1"/>
      <c r="X49" s="1">
        <f t="shared" si="36"/>
        <v>-998.31999999999994</v>
      </c>
      <c r="Y49" s="1"/>
      <c r="Z49" s="5">
        <f t="shared" si="37"/>
        <v>-0.86865575539255346</v>
      </c>
    </row>
    <row r="50" spans="1:26" s="24" customFormat="1" hidden="1" outlineLevel="2" x14ac:dyDescent="0.25">
      <c r="A50" s="28"/>
      <c r="B50" s="11" t="str">
        <f>CONCATENATE("          ", "6373", " - ", "MAINTENANCE CONTRACTS")</f>
        <v xml:space="preserve">          6373 - MAINTENANCE CONTRACTS</v>
      </c>
      <c r="C50" s="11"/>
      <c r="D50" s="7">
        <v>72.349999999999994</v>
      </c>
      <c r="E50" s="2"/>
      <c r="F50" s="6">
        <f t="shared" si="30"/>
        <v>0</v>
      </c>
      <c r="G50" s="2"/>
      <c r="H50" s="7"/>
      <c r="I50" s="2"/>
      <c r="J50" s="6">
        <f t="shared" si="31"/>
        <v>0</v>
      </c>
      <c r="K50" s="2"/>
      <c r="L50" s="7">
        <f t="shared" si="32"/>
        <v>72.349999999999994</v>
      </c>
      <c r="M50" s="2"/>
      <c r="N50" s="6">
        <f t="shared" si="33"/>
        <v>0</v>
      </c>
      <c r="O50" s="11"/>
      <c r="P50" s="7">
        <v>150.94999999999999</v>
      </c>
      <c r="Q50" s="2"/>
      <c r="R50" s="6">
        <f t="shared" si="34"/>
        <v>0</v>
      </c>
      <c r="S50" s="2"/>
      <c r="T50" s="7"/>
      <c r="U50" s="2"/>
      <c r="V50" s="6">
        <f t="shared" si="35"/>
        <v>0</v>
      </c>
      <c r="W50" s="2"/>
      <c r="X50" s="7">
        <f t="shared" si="36"/>
        <v>150.94999999999999</v>
      </c>
      <c r="Y50" s="2"/>
      <c r="Z50" s="6">
        <f t="shared" si="37"/>
        <v>0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7"/>
      <c r="E51" s="2"/>
      <c r="F51" s="6">
        <f t="shared" si="30"/>
        <v>0</v>
      </c>
      <c r="G51" s="2"/>
      <c r="H51" s="7">
        <v>509.14</v>
      </c>
      <c r="I51" s="2"/>
      <c r="J51" s="6">
        <f t="shared" si="31"/>
        <v>4.439055105698057E-3</v>
      </c>
      <c r="K51" s="2"/>
      <c r="L51" s="7">
        <f t="shared" si="32"/>
        <v>-509.14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1149.27</v>
      </c>
      <c r="U51" s="2"/>
      <c r="V51" s="6">
        <f t="shared" si="35"/>
        <v>7.0893767792144626E-3</v>
      </c>
      <c r="W51" s="2"/>
      <c r="X51" s="7">
        <f t="shared" si="36"/>
        <v>-1149.27</v>
      </c>
      <c r="Y51" s="2"/>
      <c r="Z51" s="6">
        <f t="shared" si="37"/>
        <v>-1</v>
      </c>
    </row>
    <row r="52" spans="1:26" s="27" customFormat="1" outlineLevel="1" collapsed="1" x14ac:dyDescent="0.25">
      <c r="A52" s="29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SUM(OSRRefD22_9x_0)</f>
        <v>0</v>
      </c>
      <c r="E52" s="1"/>
      <c r="F52" s="5">
        <f t="shared" ref="F52:F55" si="38">IF(D$12=0,0,D52/D$12)</f>
        <v>0</v>
      </c>
      <c r="G52" s="1"/>
      <c r="H52" s="1">
        <f>SUM(OSRRefH22_9x_0)</f>
        <v>402.85</v>
      </c>
      <c r="I52" s="1"/>
      <c r="J52" s="5">
        <f t="shared" ref="J52:J55" si="39">IF(H$12=0,0,H52/H$12)</f>
        <v>3.5123411032927337E-3</v>
      </c>
      <c r="K52" s="1"/>
      <c r="L52" s="1">
        <f t="shared" ref="L52:L55" si="40">+D52-H52</f>
        <v>-402.85</v>
      </c>
      <c r="M52" s="1"/>
      <c r="N52" s="5">
        <f t="shared" ref="N52:N55" si="41">IF(H52=0,0,L52/H52)</f>
        <v>-1</v>
      </c>
      <c r="O52" s="14"/>
      <c r="P52" s="1">
        <f>SUM(OSRRefP22_9x_0)</f>
        <v>-1053.52</v>
      </c>
      <c r="Q52" s="1"/>
      <c r="R52" s="5">
        <f t="shared" ref="R52:R55" si="42">IF(P$12=0,0,P52/P$12)</f>
        <v>0</v>
      </c>
      <c r="S52" s="1"/>
      <c r="T52" s="1">
        <f>SUM(OSRRefT22_9x_0)</f>
        <v>1498.81</v>
      </c>
      <c r="U52" s="1"/>
      <c r="V52" s="5">
        <f t="shared" ref="V52:V55" si="43">IF(T$12=0,0,T52/T$12)</f>
        <v>9.2455461383786474E-3</v>
      </c>
      <c r="W52" s="1"/>
      <c r="X52" s="1">
        <f t="shared" ref="X52:X55" si="44">+P52-T52</f>
        <v>-2552.33</v>
      </c>
      <c r="Y52" s="1"/>
      <c r="Z52" s="5">
        <f t="shared" ref="Z52:Z55" si="45">IF(T52=0,0,X52/T52)</f>
        <v>-1.7029043040812377</v>
      </c>
    </row>
    <row r="53" spans="1:26" s="24" customFormat="1" hidden="1" outlineLevel="2" x14ac:dyDescent="0.25">
      <c r="A53" s="28"/>
      <c r="B53" s="11" t="str">
        <f>CONCATENATE("          ", "6282", " - ", "JANITORIAL/EXTERMINATOR EXPENS")</f>
        <v xml:space="preserve">          6282 - JANITORIAL/EXTERMINATOR EXPENS</v>
      </c>
      <c r="C53" s="11"/>
      <c r="D53" s="7"/>
      <c r="E53" s="2"/>
      <c r="F53" s="6">
        <f t="shared" si="38"/>
        <v>0</v>
      </c>
      <c r="G53" s="2"/>
      <c r="H53" s="7">
        <v>116.81</v>
      </c>
      <c r="I53" s="2"/>
      <c r="J53" s="6">
        <f t="shared" si="39"/>
        <v>1.0184350608802885E-3</v>
      </c>
      <c r="K53" s="2"/>
      <c r="L53" s="7">
        <f t="shared" si="40"/>
        <v>-116.81</v>
      </c>
      <c r="M53" s="2"/>
      <c r="N53" s="6">
        <f t="shared" si="41"/>
        <v>-1</v>
      </c>
      <c r="O53" s="11"/>
      <c r="P53" s="7">
        <v>-567.28</v>
      </c>
      <c r="Q53" s="2"/>
      <c r="R53" s="6">
        <f t="shared" si="42"/>
        <v>0</v>
      </c>
      <c r="S53" s="2"/>
      <c r="T53" s="7">
        <v>467.24</v>
      </c>
      <c r="U53" s="2"/>
      <c r="V53" s="6">
        <f t="shared" si="43"/>
        <v>2.8822125404127539E-3</v>
      </c>
      <c r="W53" s="2"/>
      <c r="X53" s="7">
        <f t="shared" si="44"/>
        <v>-1034.52</v>
      </c>
      <c r="Y53" s="2"/>
      <c r="Z53" s="6">
        <f t="shared" si="45"/>
        <v>-2.2141083811317523</v>
      </c>
    </row>
    <row r="54" spans="1:26" s="24" customFormat="1" hidden="1" outlineLevel="2" x14ac:dyDescent="0.25">
      <c r="A54" s="28"/>
      <c r="B54" s="11" t="str">
        <f>CONCATENATE("          ", "6285", " - ", "JANITORIAL SERVICES")</f>
        <v xml:space="preserve">          6285 - JANITORIAL SERVICES</v>
      </c>
      <c r="C54" s="11"/>
      <c r="D54" s="7"/>
      <c r="E54" s="2"/>
      <c r="F54" s="6">
        <f t="shared" si="38"/>
        <v>0</v>
      </c>
      <c r="G54" s="2"/>
      <c r="H54" s="7">
        <v>-24.32</v>
      </c>
      <c r="I54" s="2"/>
      <c r="J54" s="6">
        <f t="shared" si="39"/>
        <v>-2.1203955723489955E-4</v>
      </c>
      <c r="K54" s="2"/>
      <c r="L54" s="7">
        <f t="shared" si="40"/>
        <v>24.32</v>
      </c>
      <c r="M54" s="2"/>
      <c r="N54" s="6">
        <f t="shared" si="41"/>
        <v>-1</v>
      </c>
      <c r="O54" s="11"/>
      <c r="P54" s="7">
        <v>-486.24</v>
      </c>
      <c r="Q54" s="2"/>
      <c r="R54" s="6">
        <f t="shared" si="42"/>
        <v>0</v>
      </c>
      <c r="S54" s="2"/>
      <c r="T54" s="7">
        <v>51.36</v>
      </c>
      <c r="U54" s="2"/>
      <c r="V54" s="6">
        <f t="shared" si="43"/>
        <v>3.1681884272664808E-4</v>
      </c>
      <c r="W54" s="2"/>
      <c r="X54" s="7">
        <f t="shared" si="44"/>
        <v>-537.6</v>
      </c>
      <c r="Y54" s="2"/>
      <c r="Z54" s="6">
        <f t="shared" si="45"/>
        <v>-10.467289719626169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8"/>
        <v>0</v>
      </c>
      <c r="G55" s="2"/>
      <c r="H55" s="7">
        <v>310.36</v>
      </c>
      <c r="I55" s="2"/>
      <c r="J55" s="6">
        <f t="shared" si="39"/>
        <v>2.7059455996473448E-3</v>
      </c>
      <c r="K55" s="2"/>
      <c r="L55" s="7">
        <f t="shared" si="40"/>
        <v>-310.36</v>
      </c>
      <c r="M55" s="2"/>
      <c r="N55" s="6">
        <f t="shared" si="41"/>
        <v>-1</v>
      </c>
      <c r="O55" s="11"/>
      <c r="P55" s="7"/>
      <c r="Q55" s="2"/>
      <c r="R55" s="6">
        <f t="shared" si="42"/>
        <v>0</v>
      </c>
      <c r="S55" s="2"/>
      <c r="T55" s="7">
        <v>980.21</v>
      </c>
      <c r="U55" s="2"/>
      <c r="V55" s="6">
        <f t="shared" si="43"/>
        <v>6.0465147552392464E-3</v>
      </c>
      <c r="W55" s="2"/>
      <c r="X55" s="7">
        <f t="shared" si="44"/>
        <v>-980.21</v>
      </c>
      <c r="Y55" s="2"/>
      <c r="Z55" s="6">
        <f t="shared" si="45"/>
        <v>-1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89.98</v>
      </c>
      <c r="E56" s="1"/>
      <c r="F56" s="5">
        <f t="shared" ref="F56:F61" si="46">IF(D$12=0,0,D56/D$12)</f>
        <v>0</v>
      </c>
      <c r="G56" s="1"/>
      <c r="H56" s="1">
        <f>SUM(OSRRefH22_10x_0)</f>
        <v>554.05999999999995</v>
      </c>
      <c r="I56" s="1"/>
      <c r="J56" s="5">
        <f t="shared" ref="J56:J61" si="47">IF(H$12=0,0,H56/H$12)</f>
        <v>4.8307005378934384E-3</v>
      </c>
      <c r="K56" s="1"/>
      <c r="L56" s="1">
        <f t="shared" ref="L56:L61" si="48">+D56-H56</f>
        <v>-464.07999999999993</v>
      </c>
      <c r="M56" s="1"/>
      <c r="N56" s="5">
        <f t="shared" ref="N56:N61" si="49">IF(H56=0,0,L56/H56)</f>
        <v>-0.83759881601270614</v>
      </c>
      <c r="O56" s="14"/>
      <c r="P56" s="1">
        <f>SUM(OSRRefP22_10x_0)</f>
        <v>131.30000000000001</v>
      </c>
      <c r="Q56" s="1"/>
      <c r="R56" s="5">
        <f t="shared" ref="R56:R61" si="50">IF(P$12=0,0,P56/P$12)</f>
        <v>0</v>
      </c>
      <c r="S56" s="1"/>
      <c r="T56" s="1">
        <f>SUM(OSRRefT22_10x_0)</f>
        <v>6983.81</v>
      </c>
      <c r="U56" s="1"/>
      <c r="V56" s="5">
        <f t="shared" ref="V56:V61" si="51">IF(T$12=0,0,T56/T$12)</f>
        <v>4.308026873097337E-2</v>
      </c>
      <c r="W56" s="1"/>
      <c r="X56" s="1">
        <f t="shared" ref="X56:X61" si="52">+P56-T56</f>
        <v>-6852.51</v>
      </c>
      <c r="Y56" s="1"/>
      <c r="Z56" s="5">
        <f t="shared" ref="Z56:Z61" si="53">IF(T56=0,0,X56/T56)</f>
        <v>-0.98119937398067814</v>
      </c>
    </row>
    <row r="57" spans="1:26" s="24" customFormat="1" hidden="1" outlineLevel="2" x14ac:dyDescent="0.25">
      <c r="A57" s="28"/>
      <c r="B57" s="11" t="str">
        <f>CONCATENATE("          ", "6234", " - ", "EXPENDABLE SUPPLIES &amp; EQUIPMEN")</f>
        <v xml:space="preserve">          6234 - EXPENDABLE SUPPLIES &amp; EQUIPMEN</v>
      </c>
      <c r="C57" s="11"/>
      <c r="D57" s="7"/>
      <c r="E57" s="2"/>
      <c r="F57" s="6">
        <f t="shared" si="46"/>
        <v>0</v>
      </c>
      <c r="G57" s="2"/>
      <c r="H57" s="7"/>
      <c r="I57" s="2"/>
      <c r="J57" s="6">
        <f t="shared" si="47"/>
        <v>0</v>
      </c>
      <c r="K57" s="2"/>
      <c r="L57" s="7">
        <f t="shared" si="48"/>
        <v>0</v>
      </c>
      <c r="M57" s="2"/>
      <c r="N57" s="6">
        <f t="shared" si="49"/>
        <v>0</v>
      </c>
      <c r="O57" s="11"/>
      <c r="P57" s="7"/>
      <c r="Q57" s="2"/>
      <c r="R57" s="6">
        <f t="shared" si="50"/>
        <v>0</v>
      </c>
      <c r="S57" s="2"/>
      <c r="T57" s="7">
        <v>354.71</v>
      </c>
      <c r="U57" s="2"/>
      <c r="V57" s="6">
        <f t="shared" si="51"/>
        <v>2.1880609755367858E-3</v>
      </c>
      <c r="W57" s="2"/>
      <c r="X57" s="7">
        <f t="shared" si="52"/>
        <v>-354.71</v>
      </c>
      <c r="Y57" s="2"/>
      <c r="Z57" s="6">
        <f t="shared" si="53"/>
        <v>-1</v>
      </c>
    </row>
    <row r="58" spans="1:26" s="24" customFormat="1" hidden="1" outlineLevel="2" x14ac:dyDescent="0.25">
      <c r="A58" s="28"/>
      <c r="B58" s="11" t="str">
        <f>CONCATENATE("          ", "6237", " - ", "JANITORIAL SUPPLIES")</f>
        <v xml:space="preserve">          6237 - JANITORIAL SUPPLIES</v>
      </c>
      <c r="C58" s="11"/>
      <c r="D58" s="7"/>
      <c r="E58" s="2"/>
      <c r="F58" s="6">
        <f t="shared" si="46"/>
        <v>0</v>
      </c>
      <c r="G58" s="2"/>
      <c r="H58" s="7">
        <v>91.58</v>
      </c>
      <c r="I58" s="2"/>
      <c r="J58" s="6">
        <f t="shared" si="47"/>
        <v>7.9846145771266864E-4</v>
      </c>
      <c r="K58" s="2"/>
      <c r="L58" s="7">
        <f t="shared" si="48"/>
        <v>-91.58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325.83</v>
      </c>
      <c r="U58" s="2"/>
      <c r="V58" s="6">
        <f t="shared" si="51"/>
        <v>2.0099120624147925E-3</v>
      </c>
      <c r="W58" s="2"/>
      <c r="X58" s="7">
        <f t="shared" si="52"/>
        <v>-325.83</v>
      </c>
      <c r="Y58" s="2"/>
      <c r="Z58" s="6">
        <f t="shared" si="53"/>
        <v>-1</v>
      </c>
    </row>
    <row r="59" spans="1:26" s="24" customFormat="1" hidden="1" outlineLevel="2" x14ac:dyDescent="0.25">
      <c r="A59" s="28"/>
      <c r="B59" s="11" t="str">
        <f>CONCATENATE("          ", "6241", " - ", "OFFICE EXPENSE")</f>
        <v xml:space="preserve">          6241 - OFFICE EXPENSE</v>
      </c>
      <c r="C59" s="11"/>
      <c r="D59" s="7">
        <v>89.98</v>
      </c>
      <c r="E59" s="2"/>
      <c r="F59" s="6">
        <f t="shared" si="46"/>
        <v>0</v>
      </c>
      <c r="G59" s="2"/>
      <c r="H59" s="7">
        <v>119.09</v>
      </c>
      <c r="I59" s="2"/>
      <c r="J59" s="6">
        <f t="shared" si="47"/>
        <v>1.0383137693710603E-3</v>
      </c>
      <c r="K59" s="2"/>
      <c r="L59" s="7">
        <f t="shared" si="48"/>
        <v>-29.11</v>
      </c>
      <c r="M59" s="2"/>
      <c r="N59" s="6">
        <f t="shared" si="49"/>
        <v>-0.24443698043496515</v>
      </c>
      <c r="O59" s="11"/>
      <c r="P59" s="7">
        <v>131.30000000000001</v>
      </c>
      <c r="Q59" s="2"/>
      <c r="R59" s="6">
        <f t="shared" si="50"/>
        <v>0</v>
      </c>
      <c r="S59" s="2"/>
      <c r="T59" s="7">
        <v>535.49</v>
      </c>
      <c r="U59" s="2"/>
      <c r="V59" s="6">
        <f t="shared" si="51"/>
        <v>3.3032188880781303E-3</v>
      </c>
      <c r="W59" s="2"/>
      <c r="X59" s="7">
        <f t="shared" si="52"/>
        <v>-404.19</v>
      </c>
      <c r="Y59" s="2"/>
      <c r="Z59" s="6">
        <f t="shared" si="53"/>
        <v>-0.75480401127938901</v>
      </c>
    </row>
    <row r="60" spans="1:26" s="24" customFormat="1" hidden="1" outlineLevel="2" x14ac:dyDescent="0.25">
      <c r="A60" s="28"/>
      <c r="B60" s="11" t="str">
        <f>CONCATENATE("          ", "6243", " - ", "PAPER SUPPLIES")</f>
        <v xml:space="preserve">          6243 - PAPER SUPPLIES</v>
      </c>
      <c r="C60" s="11"/>
      <c r="D60" s="7"/>
      <c r="E60" s="2"/>
      <c r="F60" s="6">
        <f t="shared" si="46"/>
        <v>0</v>
      </c>
      <c r="G60" s="2"/>
      <c r="H60" s="7">
        <v>45.36</v>
      </c>
      <c r="I60" s="2"/>
      <c r="J60" s="6">
        <f t="shared" si="47"/>
        <v>3.954816741848291E-4</v>
      </c>
      <c r="K60" s="2"/>
      <c r="L60" s="7">
        <f t="shared" si="48"/>
        <v>-45.36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155.65</v>
      </c>
      <c r="U60" s="2"/>
      <c r="V60" s="6">
        <f t="shared" si="51"/>
        <v>9.6014121632404155E-4</v>
      </c>
      <c r="W60" s="2"/>
      <c r="X60" s="7">
        <f t="shared" si="52"/>
        <v>-155.65</v>
      </c>
      <c r="Y60" s="2"/>
      <c r="Z60" s="6">
        <f t="shared" si="53"/>
        <v>-1</v>
      </c>
    </row>
    <row r="61" spans="1:26" s="24" customFormat="1" hidden="1" outlineLevel="2" x14ac:dyDescent="0.25">
      <c r="A61" s="28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46"/>
        <v>0</v>
      </c>
      <c r="G61" s="2"/>
      <c r="H61" s="7">
        <v>298.02999999999997</v>
      </c>
      <c r="I61" s="2"/>
      <c r="J61" s="6">
        <f t="shared" si="47"/>
        <v>2.598443636624881E-3</v>
      </c>
      <c r="K61" s="2"/>
      <c r="L61" s="7">
        <f t="shared" si="48"/>
        <v>-298.02999999999997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5612.13</v>
      </c>
      <c r="U61" s="2"/>
      <c r="V61" s="6">
        <f t="shared" si="51"/>
        <v>3.4618935588619615E-2</v>
      </c>
      <c r="W61" s="2"/>
      <c r="X61" s="7">
        <f t="shared" si="52"/>
        <v>-5612.13</v>
      </c>
      <c r="Y61" s="2"/>
      <c r="Z61" s="6">
        <f t="shared" si="53"/>
        <v>-1</v>
      </c>
    </row>
    <row r="62" spans="1:26" s="27" customFormat="1" outlineLevel="1" collapsed="1" x14ac:dyDescent="0.25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0</v>
      </c>
      <c r="E62" s="1"/>
      <c r="F62" s="5">
        <f t="shared" ref="F62:F65" si="54">IF(D$12=0,0,D62/D$12)</f>
        <v>0</v>
      </c>
      <c r="G62" s="1"/>
      <c r="H62" s="1">
        <f>SUM(OSRRefH22_11x_0)</f>
        <v>75</v>
      </c>
      <c r="I62" s="1"/>
      <c r="J62" s="5">
        <f t="shared" ref="J62:J65" si="55">IF(H$12=0,0,H62/H$12)</f>
        <v>6.5390488456486295E-4</v>
      </c>
      <c r="K62" s="1"/>
      <c r="L62" s="1">
        <f t="shared" ref="L62:L65" si="56">+D62-H62</f>
        <v>-75</v>
      </c>
      <c r="M62" s="1"/>
      <c r="N62" s="5">
        <f t="shared" ref="N62:N65" si="57">IF(H62=0,0,L62/H62)</f>
        <v>-1</v>
      </c>
      <c r="O62" s="14"/>
      <c r="P62" s="1">
        <f>SUM(OSRRefP22_11x_0)</f>
        <v>72</v>
      </c>
      <c r="Q62" s="1"/>
      <c r="R62" s="5">
        <f t="shared" ref="R62:R65" si="58">IF(P$12=0,0,P62/P$12)</f>
        <v>0</v>
      </c>
      <c r="S62" s="1"/>
      <c r="T62" s="1">
        <f>SUM(OSRRefT22_11x_0)</f>
        <v>123</v>
      </c>
      <c r="U62" s="1"/>
      <c r="V62" s="5">
        <f t="shared" ref="V62:V65" si="59">IF(T$12=0,0,T62/T$12)</f>
        <v>7.5873671447386514E-4</v>
      </c>
      <c r="W62" s="1"/>
      <c r="X62" s="1">
        <f t="shared" ref="X62:X65" si="60">+P62-T62</f>
        <v>-51</v>
      </c>
      <c r="Y62" s="1"/>
      <c r="Z62" s="5">
        <f t="shared" ref="Z62:Z65" si="61">IF(T62=0,0,X62/T62)</f>
        <v>-0.41463414634146339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7"/>
      <c r="E63" s="2"/>
      <c r="F63" s="6">
        <f t="shared" si="54"/>
        <v>0</v>
      </c>
      <c r="G63" s="2"/>
      <c r="H63" s="7">
        <v>75</v>
      </c>
      <c r="I63" s="2"/>
      <c r="J63" s="6">
        <f t="shared" si="55"/>
        <v>6.5390488456486295E-4</v>
      </c>
      <c r="K63" s="2"/>
      <c r="L63" s="7">
        <f t="shared" si="56"/>
        <v>-75</v>
      </c>
      <c r="M63" s="2"/>
      <c r="N63" s="6">
        <f t="shared" si="57"/>
        <v>-1</v>
      </c>
      <c r="O63" s="11"/>
      <c r="P63" s="7">
        <v>72</v>
      </c>
      <c r="Q63" s="2"/>
      <c r="R63" s="6">
        <f t="shared" si="58"/>
        <v>0</v>
      </c>
      <c r="S63" s="2"/>
      <c r="T63" s="7">
        <v>123</v>
      </c>
      <c r="U63" s="2"/>
      <c r="V63" s="6">
        <f t="shared" si="59"/>
        <v>7.5873671447386514E-4</v>
      </c>
      <c r="W63" s="2"/>
      <c r="X63" s="7">
        <f t="shared" si="60"/>
        <v>-51</v>
      </c>
      <c r="Y63" s="2"/>
      <c r="Z63" s="6">
        <f t="shared" si="61"/>
        <v>-0.41463414634146339</v>
      </c>
    </row>
    <row r="64" spans="1:26" s="27" customFormat="1" outlineLevel="1" collapsed="1" x14ac:dyDescent="0.25">
      <c r="A64" s="29"/>
      <c r="B64" s="14" t="str">
        <f>CONCATENATE("     ","Utilities                                         ")</f>
        <v xml:space="preserve">     Utilities                                         </v>
      </c>
      <c r="C64" s="14"/>
      <c r="D64" s="1">
        <f>SUM(OSRRefD22_12x_0)</f>
        <v>0</v>
      </c>
      <c r="E64" s="1"/>
      <c r="F64" s="5">
        <f t="shared" si="54"/>
        <v>0</v>
      </c>
      <c r="G64" s="1"/>
      <c r="H64" s="1">
        <f>SUM(OSRRefH22_12x_0)</f>
        <v>182</v>
      </c>
      <c r="I64" s="1"/>
      <c r="J64" s="5">
        <f t="shared" si="55"/>
        <v>1.5868091865440673E-3</v>
      </c>
      <c r="K64" s="1"/>
      <c r="L64" s="1">
        <f t="shared" si="56"/>
        <v>-182</v>
      </c>
      <c r="M64" s="1"/>
      <c r="N64" s="5">
        <f t="shared" si="57"/>
        <v>-1</v>
      </c>
      <c r="O64" s="14"/>
      <c r="P64" s="1">
        <f>SUM(OSRRefP22_12x_0)</f>
        <v>0</v>
      </c>
      <c r="Q64" s="1"/>
      <c r="R64" s="5">
        <f t="shared" si="58"/>
        <v>0</v>
      </c>
      <c r="S64" s="1"/>
      <c r="T64" s="1">
        <f>SUM(OSRRefT22_12x_0)</f>
        <v>364</v>
      </c>
      <c r="U64" s="1"/>
      <c r="V64" s="5">
        <f t="shared" si="59"/>
        <v>2.2453671875486739E-3</v>
      </c>
      <c r="W64" s="1"/>
      <c r="X64" s="1">
        <f t="shared" si="60"/>
        <v>-364</v>
      </c>
      <c r="Y64" s="1"/>
      <c r="Z64" s="5">
        <f t="shared" si="61"/>
        <v>-1</v>
      </c>
    </row>
    <row r="65" spans="1:26" s="24" customFormat="1" hidden="1" outlineLevel="2" x14ac:dyDescent="0.25">
      <c r="A65" s="28"/>
      <c r="B65" s="11" t="str">
        <f>CONCATENATE("          ", "6274", " - ", "UTILITIES")</f>
        <v xml:space="preserve">          6274 - UTILITIES</v>
      </c>
      <c r="C65" s="11"/>
      <c r="D65" s="7"/>
      <c r="E65" s="2"/>
      <c r="F65" s="6">
        <f t="shared" si="54"/>
        <v>0</v>
      </c>
      <c r="G65" s="2"/>
      <c r="H65" s="7">
        <v>182</v>
      </c>
      <c r="I65" s="2"/>
      <c r="J65" s="6">
        <f t="shared" si="55"/>
        <v>1.5868091865440673E-3</v>
      </c>
      <c r="K65" s="2"/>
      <c r="L65" s="7">
        <f t="shared" si="56"/>
        <v>-182</v>
      </c>
      <c r="M65" s="2"/>
      <c r="N65" s="6">
        <f t="shared" si="57"/>
        <v>-1</v>
      </c>
      <c r="O65" s="11"/>
      <c r="P65" s="7"/>
      <c r="Q65" s="2"/>
      <c r="R65" s="6">
        <f t="shared" si="58"/>
        <v>0</v>
      </c>
      <c r="S65" s="2"/>
      <c r="T65" s="7">
        <v>364</v>
      </c>
      <c r="U65" s="2"/>
      <c r="V65" s="6">
        <f t="shared" si="59"/>
        <v>2.2453671875486739E-3</v>
      </c>
      <c r="W65" s="2"/>
      <c r="X65" s="7">
        <f t="shared" si="60"/>
        <v>-364</v>
      </c>
      <c r="Y65" s="2"/>
      <c r="Z65" s="6">
        <f t="shared" si="61"/>
        <v>-1</v>
      </c>
    </row>
    <row r="66" spans="1:26" s="60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2">
        <f>+D20-D22+D67</f>
        <v>-2179.67</v>
      </c>
      <c r="E69" s="13"/>
      <c r="F69" s="21">
        <f>IF(D$12=0,0,D69/D$12)</f>
        <v>0</v>
      </c>
      <c r="G69" s="13"/>
      <c r="H69" s="22">
        <f>+H20-H22+H67</f>
        <v>29285.21</v>
      </c>
      <c r="I69" s="13"/>
      <c r="J69" s="21">
        <f>IF(H$12=0,0,H69/H$12)</f>
        <v>0.25532989152677027</v>
      </c>
      <c r="K69" s="15"/>
      <c r="L69" s="22">
        <f>+D69-H69</f>
        <v>-31464.879999999997</v>
      </c>
      <c r="M69" s="15"/>
      <c r="N69" s="21">
        <f>IF(H69=0,0,L69/H69)</f>
        <v>-1.0744290377292838</v>
      </c>
      <c r="O69" s="26"/>
      <c r="P69" s="22">
        <f>+P20-P22+P67</f>
        <v>-7806.3899999999994</v>
      </c>
      <c r="Q69" s="13"/>
      <c r="R69" s="21">
        <f>IF(P$12=0,0,P69/P$12)</f>
        <v>0</v>
      </c>
      <c r="S69" s="13"/>
      <c r="T69" s="22">
        <f>+T20-T22+T67</f>
        <v>5476.5099999999802</v>
      </c>
      <c r="U69" s="13"/>
      <c r="V69" s="21">
        <f>IF(T$12=0,0,T69/T$12)</f>
        <v>3.3782351253522372E-2</v>
      </c>
      <c r="W69" s="15"/>
      <c r="X69" s="22">
        <f>+P69-T69</f>
        <v>-13282.89999999998</v>
      </c>
      <c r="Y69" s="15"/>
      <c r="Z69" s="21">
        <f>IF(T69=0,0,X69/T69)</f>
        <v>-2.42543152482147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11501.02</v>
      </c>
      <c r="I71" s="4"/>
      <c r="J71" s="12">
        <f>IF(H$12=0,0,H71/H$12)</f>
        <v>0.10027430873970906</v>
      </c>
      <c r="K71" s="4"/>
      <c r="L71" s="4">
        <f>+D71-H71</f>
        <v>-11501.02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17412.929999999997</v>
      </c>
      <c r="U71" s="4"/>
      <c r="V71" s="12">
        <f>IF(T$12=0,0,T71/T$12)</f>
        <v>0.10741324632165364</v>
      </c>
      <c r="W71" s="4"/>
      <c r="X71" s="4">
        <f>+P71-T71</f>
        <v>-17412.929999999997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-2179.67</v>
      </c>
      <c r="E73" s="13"/>
      <c r="F73" s="32">
        <f>IF(D$12=0,0,D73/D$12)</f>
        <v>0</v>
      </c>
      <c r="G73" s="13"/>
      <c r="H73" s="33">
        <f>+H69-H71</f>
        <v>17784.189999999999</v>
      </c>
      <c r="I73" s="13"/>
      <c r="J73" s="32">
        <f>IF(H$12=0,0,H73/H$12)</f>
        <v>0.15505558278706119</v>
      </c>
      <c r="K73" s="15"/>
      <c r="L73" s="33">
        <f>D73-H73</f>
        <v>-19963.86</v>
      </c>
      <c r="M73" s="15"/>
      <c r="N73" s="32">
        <f>IF(H73=0,0,L73/H73)</f>
        <v>-1.1225622308353658</v>
      </c>
      <c r="O73" s="26"/>
      <c r="P73" s="33">
        <f>+P69-P71</f>
        <v>-7806.3899999999994</v>
      </c>
      <c r="Q73" s="13"/>
      <c r="R73" s="32">
        <f>IF(P$12=0,0,P73/P$12)</f>
        <v>0</v>
      </c>
      <c r="S73" s="13"/>
      <c r="T73" s="33">
        <f>+T69-T71</f>
        <v>-11936.420000000016</v>
      </c>
      <c r="U73" s="13"/>
      <c r="V73" s="32">
        <f>IF(T$12=0,0,T73/T$12)</f>
        <v>-7.3630895068131266E-2</v>
      </c>
      <c r="W73" s="15"/>
      <c r="X73" s="33">
        <f>P73-T73</f>
        <v>4130.030000000017</v>
      </c>
      <c r="Y73" s="15"/>
      <c r="Z73" s="32">
        <f>IF(T73=0,0,X73/T73)</f>
        <v>-0.3460024027304679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4">
        <f>SUM(D73:D75)</f>
        <v>-2179.67</v>
      </c>
      <c r="E76" s="13"/>
      <c r="F76" s="31">
        <f>IF(D$12=0,0,D76/D$12)</f>
        <v>0</v>
      </c>
      <c r="G76" s="13"/>
      <c r="H76" s="34">
        <f>SUM(H73:H75)</f>
        <v>17784.189999999999</v>
      </c>
      <c r="I76" s="13"/>
      <c r="J76" s="31">
        <f>IF(H$12=0,0,H76/H$12)</f>
        <v>0.15505558278706119</v>
      </c>
      <c r="K76" s="15"/>
      <c r="L76" s="34">
        <f>+D76-H76</f>
        <v>-19963.86</v>
      </c>
      <c r="M76" s="15"/>
      <c r="N76" s="31">
        <f>IF(H76=0,0,L76/H76)</f>
        <v>-1.1225622308353658</v>
      </c>
      <c r="O76" s="26"/>
      <c r="P76" s="34">
        <f>SUM(P73:P75)</f>
        <v>-7806.3899999999994</v>
      </c>
      <c r="Q76" s="13"/>
      <c r="R76" s="31">
        <f>IF(P$12=0,0,P76/P$12)</f>
        <v>0</v>
      </c>
      <c r="S76" s="13"/>
      <c r="T76" s="34">
        <f>SUM(T73:T75)</f>
        <v>-11936.420000000016</v>
      </c>
      <c r="U76" s="13"/>
      <c r="V76" s="31">
        <f>IF(T$12=0,0,T76/T$12)</f>
        <v>-7.3630895068131266E-2</v>
      </c>
      <c r="W76" s="15"/>
      <c r="X76" s="34">
        <f>+P76-T76</f>
        <v>4130.030000000017</v>
      </c>
      <c r="Y76" s="15"/>
      <c r="Z76" s="31">
        <f>IF(T76=0,0,X76/T76)</f>
        <v>-0.3460024027304679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4">
        <v>44123.565398379629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9" t="s">
        <v>313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8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96909.38</v>
      </c>
      <c r="I12" s="4"/>
      <c r="J12" s="12"/>
      <c r="K12" s="4"/>
      <c r="L12" s="4">
        <f t="shared" ref="L12:L14" si="0">+D12-H12</f>
        <v>-96909.38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142917.04999999999</v>
      </c>
      <c r="U12" s="4"/>
      <c r="V12" s="12"/>
      <c r="W12" s="4"/>
      <c r="X12" s="4">
        <f t="shared" ref="X12:X14" si="2">+P12-T12</f>
        <v>-142917.04999999999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--17849.93</f>
        <v>17849.93</v>
      </c>
      <c r="I13" s="2"/>
      <c r="J13" s="19"/>
      <c r="K13" s="2"/>
      <c r="L13" s="2">
        <f t="shared" si="0"/>
        <v>-17849.93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--26972.12</f>
        <v>26972.12</v>
      </c>
      <c r="U13" s="2"/>
      <c r="V13" s="19"/>
      <c r="W13" s="2"/>
      <c r="X13" s="2">
        <f t="shared" si="2"/>
        <v>-26972.12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--79059.45</f>
        <v>79059.45</v>
      </c>
      <c r="I14" s="2"/>
      <c r="J14" s="19"/>
      <c r="K14" s="2"/>
      <c r="L14" s="2">
        <f t="shared" si="0"/>
        <v>-79059.45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--115944.93</f>
        <v>115944.93</v>
      </c>
      <c r="U14" s="2"/>
      <c r="V14" s="19"/>
      <c r="W14" s="2"/>
      <c r="X14" s="2">
        <f t="shared" si="2"/>
        <v>-115944.93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41083.01</v>
      </c>
      <c r="I16" s="4"/>
      <c r="J16" s="12">
        <f t="shared" ref="J16:J18" si="7">IF(H$12=0,0,H16/H$12)</f>
        <v>0.42393223442354083</v>
      </c>
      <c r="K16" s="4"/>
      <c r="L16" s="4">
        <f t="shared" ref="L16:L18" si="8">+D16-H16</f>
        <v>-41083.01</v>
      </c>
      <c r="M16" s="4"/>
      <c r="N16" s="12">
        <f t="shared" ref="N16:N18" si="9">IF(H16=0,0,L16/H16)</f>
        <v>-1</v>
      </c>
      <c r="O16" s="10"/>
      <c r="P16" s="4">
        <f>SUM(OSRRefP16x_0)</f>
        <v>-688.96</v>
      </c>
      <c r="Q16" s="4"/>
      <c r="R16" s="12">
        <f t="shared" ref="R16:R18" si="10">IF(P$12=0,0,P16/P$12)</f>
        <v>0</v>
      </c>
      <c r="S16" s="4"/>
      <c r="T16" s="4">
        <f>SUM(OSRRefT16x_0)</f>
        <v>61966.279999999992</v>
      </c>
      <c r="U16" s="4"/>
      <c r="V16" s="12">
        <f t="shared" ref="V16:V18" si="11">IF(T$12=0,0,T16/T$12)</f>
        <v>0.43358213733071033</v>
      </c>
      <c r="W16" s="4"/>
      <c r="X16" s="4">
        <f t="shared" ref="X16:X18" si="12">+P16-T16</f>
        <v>-62655.239999999991</v>
      </c>
      <c r="Y16" s="4"/>
      <c r="Z16" s="12">
        <f t="shared" ref="Z16:Z18" si="13">IF(T16=0,0,X16/T16)</f>
        <v>-1.0111183049878094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46698.630000000005</v>
      </c>
      <c r="I17" s="2"/>
      <c r="J17" s="19">
        <f t="shared" si="7"/>
        <v>0.48187935987207847</v>
      </c>
      <c r="K17" s="2"/>
      <c r="L17" s="2">
        <f t="shared" si="8"/>
        <v>-46698.630000000005</v>
      </c>
      <c r="M17" s="2"/>
      <c r="N17" s="19">
        <f t="shared" si="9"/>
        <v>-1</v>
      </c>
      <c r="O17" s="11"/>
      <c r="P17" s="2">
        <v>-688.96</v>
      </c>
      <c r="Q17" s="2"/>
      <c r="R17" s="19">
        <f t="shared" si="10"/>
        <v>0</v>
      </c>
      <c r="S17" s="2"/>
      <c r="T17" s="2">
        <v>73782.569999999992</v>
      </c>
      <c r="U17" s="2"/>
      <c r="V17" s="19">
        <f t="shared" si="11"/>
        <v>0.51626149574176072</v>
      </c>
      <c r="W17" s="2"/>
      <c r="X17" s="2">
        <f t="shared" si="12"/>
        <v>-74471.53</v>
      </c>
      <c r="Y17" s="2"/>
      <c r="Z17" s="19">
        <f t="shared" si="13"/>
        <v>-1.0093377067239595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-5615.62</v>
      </c>
      <c r="I18" s="2"/>
      <c r="J18" s="19">
        <f t="shared" si="7"/>
        <v>-5.7947125448537591E-2</v>
      </c>
      <c r="K18" s="2"/>
      <c r="L18" s="2">
        <f t="shared" si="8"/>
        <v>5615.62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-11816.29</v>
      </c>
      <c r="U18" s="2"/>
      <c r="V18" s="19">
        <f t="shared" si="11"/>
        <v>-8.2679358411050341E-2</v>
      </c>
      <c r="W18" s="2"/>
      <c r="X18" s="2">
        <f t="shared" si="12"/>
        <v>11816.29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55826.37</v>
      </c>
      <c r="I20" s="13"/>
      <c r="J20" s="21">
        <f>IF(H$12=0,0,H20/H$12)</f>
        <v>0.57606776557645911</v>
      </c>
      <c r="K20" s="15"/>
      <c r="L20" s="22">
        <f>+D20-H20</f>
        <v>-55826.37</v>
      </c>
      <c r="M20" s="15"/>
      <c r="N20" s="21">
        <f>IF(H20=0,0,L20/H20)</f>
        <v>-1</v>
      </c>
      <c r="O20" s="26"/>
      <c r="P20" s="22">
        <f>P12-P16</f>
        <v>688.96</v>
      </c>
      <c r="Q20" s="13"/>
      <c r="R20" s="21">
        <f>IF(P$12=0,0,P20/P$12)</f>
        <v>0</v>
      </c>
      <c r="S20" s="13"/>
      <c r="T20" s="22">
        <f>T12-T16</f>
        <v>80950.76999999999</v>
      </c>
      <c r="U20" s="13"/>
      <c r="V20" s="21">
        <f>IF(T$12=0,0,T20/T$12)</f>
        <v>0.56641786266928962</v>
      </c>
      <c r="W20" s="15"/>
      <c r="X20" s="22">
        <f>+P20-T20</f>
        <v>-80261.809999999983</v>
      </c>
      <c r="Y20" s="15"/>
      <c r="Z20" s="21">
        <f>IF(T20=0,0,X20/T20)</f>
        <v>-0.99148914828110957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10652.890000000001</v>
      </c>
      <c r="E22" s="20"/>
      <c r="F22" s="36">
        <f t="shared" ref="F22:F31" si="14">IF(D$12=0,0,D22/D$12)</f>
        <v>0</v>
      </c>
      <c r="G22" s="20"/>
      <c r="H22" s="20">
        <f>SUM(OSRRefH22x_0)</f>
        <v>36549.61</v>
      </c>
      <c r="I22" s="20"/>
      <c r="J22" s="36">
        <f t="shared" ref="J22:J31" si="15">IF(H$12=0,0,H22/H$12)</f>
        <v>0.37715244901989881</v>
      </c>
      <c r="K22" s="4"/>
      <c r="L22" s="20">
        <f t="shared" ref="L22:L31" si="16">+D22-H22</f>
        <v>-25896.720000000001</v>
      </c>
      <c r="M22" s="4"/>
      <c r="N22" s="36">
        <f t="shared" ref="N22:N31" si="17">IF(H22=0,0,L22/H22)</f>
        <v>-0.70853615127493841</v>
      </c>
      <c r="O22" s="10"/>
      <c r="P22" s="20">
        <f>SUM(OSRRefP22x_0)</f>
        <v>35076.020000000004</v>
      </c>
      <c r="Q22" s="20"/>
      <c r="R22" s="36">
        <f t="shared" ref="R22:R31" si="18">IF(P$12=0,0,P22/P$12)</f>
        <v>0</v>
      </c>
      <c r="S22" s="20"/>
      <c r="T22" s="20">
        <f>SUM(OSRRefT22x_0)</f>
        <v>85248.35</v>
      </c>
      <c r="U22" s="20"/>
      <c r="V22" s="36">
        <f t="shared" ref="V22:V31" si="19">IF(T$12=0,0,T22/T$12)</f>
        <v>0.59648831262610036</v>
      </c>
      <c r="W22" s="4"/>
      <c r="X22" s="20">
        <f t="shared" ref="X22:X31" si="20">+P22-T22</f>
        <v>-50172.33</v>
      </c>
      <c r="Y22" s="4"/>
      <c r="Z22" s="36">
        <f t="shared" ref="Z22:Z31" si="21">IF(T22=0,0,X22/T22)</f>
        <v>-0.58854312136246623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3614.6099999999997</v>
      </c>
      <c r="I23" s="1"/>
      <c r="J23" s="5">
        <f t="shared" si="15"/>
        <v>3.7298866219142045E-2</v>
      </c>
      <c r="K23" s="1"/>
      <c r="L23" s="1">
        <f t="shared" si="16"/>
        <v>-3614.6099999999997</v>
      </c>
      <c r="M23" s="1"/>
      <c r="N23" s="5">
        <f t="shared" si="17"/>
        <v>-1</v>
      </c>
      <c r="O23" s="14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11169.54</v>
      </c>
      <c r="U23" s="1"/>
      <c r="V23" s="5">
        <f t="shared" si="19"/>
        <v>7.8154006117534619E-2</v>
      </c>
      <c r="W23" s="1"/>
      <c r="X23" s="1">
        <f t="shared" si="20"/>
        <v>-8279.8200000000015</v>
      </c>
      <c r="Y23" s="1"/>
      <c r="Z23" s="5">
        <f t="shared" si="21"/>
        <v>-0.74128567514866328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505.68</v>
      </c>
      <c r="I24" s="2"/>
      <c r="J24" s="6">
        <f t="shared" si="15"/>
        <v>5.2180707378377614E-3</v>
      </c>
      <c r="K24" s="2"/>
      <c r="L24" s="7">
        <f t="shared" si="16"/>
        <v>-505.68</v>
      </c>
      <c r="M24" s="2"/>
      <c r="N24" s="6">
        <f t="shared" si="17"/>
        <v>-1</v>
      </c>
      <c r="O24" s="11"/>
      <c r="P24" s="7">
        <v>159.12</v>
      </c>
      <c r="Q24" s="2"/>
      <c r="R24" s="6">
        <f t="shared" si="18"/>
        <v>0</v>
      </c>
      <c r="S24" s="2"/>
      <c r="T24" s="7">
        <v>1520.23</v>
      </c>
      <c r="U24" s="2"/>
      <c r="V24" s="6">
        <f t="shared" si="19"/>
        <v>1.063714931143625E-2</v>
      </c>
      <c r="W24" s="2"/>
      <c r="X24" s="7">
        <f t="shared" si="20"/>
        <v>-1361.1100000000001</v>
      </c>
      <c r="Y24" s="2"/>
      <c r="Z24" s="6">
        <f t="shared" si="21"/>
        <v>-0.89533162745110939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239.07</v>
      </c>
      <c r="I25" s="2"/>
      <c r="J25" s="6">
        <f t="shared" si="15"/>
        <v>2.4669438603363266E-3</v>
      </c>
      <c r="K25" s="2"/>
      <c r="L25" s="7">
        <f t="shared" si="16"/>
        <v>-239.07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647.1</v>
      </c>
      <c r="U25" s="2"/>
      <c r="V25" s="6">
        <f t="shared" si="19"/>
        <v>4.5278012665388775E-3</v>
      </c>
      <c r="W25" s="2"/>
      <c r="X25" s="7">
        <f t="shared" si="20"/>
        <v>-647.1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1815.82</v>
      </c>
      <c r="I26" s="2"/>
      <c r="J26" s="6">
        <f t="shared" si="15"/>
        <v>1.8737298701116442E-2</v>
      </c>
      <c r="K26" s="2"/>
      <c r="L26" s="7">
        <f t="shared" si="16"/>
        <v>-1815.82</v>
      </c>
      <c r="M26" s="2"/>
      <c r="N26" s="6">
        <f t="shared" si="17"/>
        <v>-1</v>
      </c>
      <c r="O26" s="11"/>
      <c r="P26" s="7">
        <v>1915.63</v>
      </c>
      <c r="Q26" s="2"/>
      <c r="R26" s="6">
        <f t="shared" si="18"/>
        <v>0</v>
      </c>
      <c r="S26" s="2"/>
      <c r="T26" s="7">
        <v>5915.11</v>
      </c>
      <c r="U26" s="2"/>
      <c r="V26" s="6">
        <f t="shared" si="19"/>
        <v>4.13884137686861E-2</v>
      </c>
      <c r="W26" s="2"/>
      <c r="X26" s="7">
        <f t="shared" si="20"/>
        <v>-3999.4799999999996</v>
      </c>
      <c r="Y26" s="2"/>
      <c r="Z26" s="6">
        <f t="shared" si="21"/>
        <v>-0.67614634385497474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32.71</v>
      </c>
      <c r="I27" s="2"/>
      <c r="J27" s="6">
        <f t="shared" si="15"/>
        <v>3.3753182612457122E-4</v>
      </c>
      <c r="K27" s="2"/>
      <c r="L27" s="7">
        <f t="shared" si="16"/>
        <v>-32.71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67.59</v>
      </c>
      <c r="U27" s="2"/>
      <c r="V27" s="6">
        <f t="shared" si="19"/>
        <v>4.7293167610162684E-4</v>
      </c>
      <c r="W27" s="2"/>
      <c r="X27" s="7">
        <f t="shared" si="20"/>
        <v>-67.59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392.49</v>
      </c>
      <c r="I28" s="2"/>
      <c r="J28" s="6">
        <f t="shared" si="15"/>
        <v>4.05007234593803E-3</v>
      </c>
      <c r="K28" s="2"/>
      <c r="L28" s="7">
        <f t="shared" si="16"/>
        <v>-392.49</v>
      </c>
      <c r="M28" s="2"/>
      <c r="N28" s="6">
        <f t="shared" si="17"/>
        <v>-1</v>
      </c>
      <c r="O28" s="11"/>
      <c r="P28" s="7">
        <v>458.89</v>
      </c>
      <c r="Q28" s="2"/>
      <c r="R28" s="6">
        <f t="shared" si="18"/>
        <v>0</v>
      </c>
      <c r="S28" s="2"/>
      <c r="T28" s="7">
        <v>1177.47</v>
      </c>
      <c r="U28" s="2"/>
      <c r="V28" s="6">
        <f t="shared" si="19"/>
        <v>8.2388350445240805E-3</v>
      </c>
      <c r="W28" s="2"/>
      <c r="X28" s="7">
        <f t="shared" si="20"/>
        <v>-718.58</v>
      </c>
      <c r="Y28" s="2"/>
      <c r="Z28" s="6">
        <f t="shared" si="21"/>
        <v>-0.61027457175129729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280.8</v>
      </c>
      <c r="I29" s="2"/>
      <c r="J29" s="6">
        <f t="shared" si="15"/>
        <v>2.8975523318795354E-3</v>
      </c>
      <c r="K29" s="2"/>
      <c r="L29" s="7">
        <f t="shared" si="16"/>
        <v>-280.8</v>
      </c>
      <c r="M29" s="2"/>
      <c r="N29" s="6">
        <f t="shared" si="17"/>
        <v>-1</v>
      </c>
      <c r="O29" s="11"/>
      <c r="P29" s="7">
        <v>152.1</v>
      </c>
      <c r="Q29" s="2"/>
      <c r="R29" s="6">
        <f t="shared" si="18"/>
        <v>0</v>
      </c>
      <c r="S29" s="2"/>
      <c r="T29" s="7">
        <v>842.4</v>
      </c>
      <c r="U29" s="2"/>
      <c r="V29" s="6">
        <f t="shared" si="19"/>
        <v>5.8943282134636841E-3</v>
      </c>
      <c r="W29" s="2"/>
      <c r="X29" s="7">
        <f t="shared" si="20"/>
        <v>-690.3</v>
      </c>
      <c r="Y29" s="2"/>
      <c r="Z29" s="6">
        <f t="shared" si="21"/>
        <v>-0.81944444444444442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177.12</v>
      </c>
      <c r="I30" s="2"/>
      <c r="J30" s="6">
        <f t="shared" si="15"/>
        <v>1.8276868554932453E-3</v>
      </c>
      <c r="K30" s="2"/>
      <c r="L30" s="7">
        <f t="shared" si="16"/>
        <v>-177.12</v>
      </c>
      <c r="M30" s="2"/>
      <c r="N30" s="6">
        <f t="shared" si="17"/>
        <v>-1</v>
      </c>
      <c r="O30" s="11"/>
      <c r="P30" s="7">
        <v>203.98</v>
      </c>
      <c r="Q30" s="2"/>
      <c r="R30" s="6">
        <f t="shared" si="18"/>
        <v>0</v>
      </c>
      <c r="S30" s="2"/>
      <c r="T30" s="7">
        <v>531.36</v>
      </c>
      <c r="U30" s="2"/>
      <c r="V30" s="6">
        <f t="shared" si="19"/>
        <v>3.7179608731078627E-3</v>
      </c>
      <c r="W30" s="2"/>
      <c r="X30" s="7">
        <f t="shared" si="20"/>
        <v>-327.38</v>
      </c>
      <c r="Y30" s="2"/>
      <c r="Z30" s="6">
        <f t="shared" si="21"/>
        <v>-0.61611713339355612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170.92</v>
      </c>
      <c r="I31" s="2"/>
      <c r="J31" s="6">
        <f t="shared" si="15"/>
        <v>1.7637095604161328E-3</v>
      </c>
      <c r="K31" s="2"/>
      <c r="L31" s="7">
        <f t="shared" si="16"/>
        <v>-170.92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468.28</v>
      </c>
      <c r="U31" s="2"/>
      <c r="V31" s="6">
        <f t="shared" si="19"/>
        <v>3.2765859636761326E-3</v>
      </c>
      <c r="W31" s="2"/>
      <c r="X31" s="7">
        <f t="shared" si="20"/>
        <v>-468.28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12057.39</v>
      </c>
      <c r="I32" s="1"/>
      <c r="J32" s="5">
        <f t="shared" ref="J32:J37" si="23">IF(H$12=0,0,H32/H$12)</f>
        <v>0.12441922546610037</v>
      </c>
      <c r="K32" s="1"/>
      <c r="L32" s="1">
        <f t="shared" ref="L32:L37" si="24">+D32-H32</f>
        <v>-12057.39</v>
      </c>
      <c r="M32" s="1"/>
      <c r="N32" s="5">
        <f t="shared" ref="N32:N37" si="25">IF(H32=0,0,L32/H32)</f>
        <v>-1</v>
      </c>
      <c r="O32" s="14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27796.97</v>
      </c>
      <c r="U32" s="1"/>
      <c r="V32" s="5">
        <f t="shared" ref="V32:V37" si="27">IF(T$12=0,0,T32/T$12)</f>
        <v>0.19449722758761115</v>
      </c>
      <c r="W32" s="1"/>
      <c r="X32" s="1">
        <f t="shared" ref="X32:X37" si="28">+P32-T32</f>
        <v>-26912.97</v>
      </c>
      <c r="Y32" s="1"/>
      <c r="Z32" s="5">
        <f t="shared" ref="Z32:Z37" si="29">IF(T32=0,0,X32/T32)</f>
        <v>-0.96819797265673202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3840</v>
      </c>
      <c r="I33" s="2"/>
      <c r="J33" s="6">
        <f t="shared" si="23"/>
        <v>3.9624647273566294E-2</v>
      </c>
      <c r="K33" s="2"/>
      <c r="L33" s="7">
        <f t="shared" si="24"/>
        <v>-3840</v>
      </c>
      <c r="M33" s="2"/>
      <c r="N33" s="6">
        <f t="shared" si="25"/>
        <v>-1</v>
      </c>
      <c r="O33" s="11"/>
      <c r="P33" s="7">
        <v>884</v>
      </c>
      <c r="Q33" s="2"/>
      <c r="R33" s="6">
        <f t="shared" si="26"/>
        <v>0</v>
      </c>
      <c r="S33" s="2"/>
      <c r="T33" s="7">
        <v>11712</v>
      </c>
      <c r="U33" s="2"/>
      <c r="V33" s="6">
        <f t="shared" si="27"/>
        <v>8.1949634420805648E-2</v>
      </c>
      <c r="W33" s="2"/>
      <c r="X33" s="7">
        <f t="shared" si="28"/>
        <v>-10828</v>
      </c>
      <c r="Y33" s="2"/>
      <c r="Z33" s="6">
        <f t="shared" si="29"/>
        <v>-0.92452185792349728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254.64</v>
      </c>
      <c r="U34" s="2"/>
      <c r="V34" s="6">
        <f t="shared" si="27"/>
        <v>1.781732830337598E-3</v>
      </c>
      <c r="W34" s="2"/>
      <c r="X34" s="7">
        <f t="shared" si="28"/>
        <v>-254.64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2770.19</v>
      </c>
      <c r="I35" s="2"/>
      <c r="J35" s="6">
        <f t="shared" si="23"/>
        <v>2.8585365008010576E-2</v>
      </c>
      <c r="K35" s="2"/>
      <c r="L35" s="7">
        <f t="shared" si="24"/>
        <v>-2770.19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3990.13</v>
      </c>
      <c r="U35" s="2"/>
      <c r="V35" s="6">
        <f t="shared" si="27"/>
        <v>2.7919202082606662E-2</v>
      </c>
      <c r="W35" s="2"/>
      <c r="X35" s="7">
        <f t="shared" si="28"/>
        <v>-3990.13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4319.2</v>
      </c>
      <c r="I36" s="2"/>
      <c r="J36" s="6">
        <f t="shared" si="23"/>
        <v>4.4569473047913415E-2</v>
      </c>
      <c r="K36" s="2"/>
      <c r="L36" s="7">
        <f t="shared" si="24"/>
        <v>-4319.2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10604.2</v>
      </c>
      <c r="U36" s="2"/>
      <c r="V36" s="6">
        <f t="shared" si="27"/>
        <v>7.4198284949206564E-2</v>
      </c>
      <c r="W36" s="2"/>
      <c r="X36" s="7">
        <f t="shared" si="28"/>
        <v>-10604.2</v>
      </c>
      <c r="Y36" s="2"/>
      <c r="Z36" s="6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1128</v>
      </c>
      <c r="I37" s="2"/>
      <c r="J37" s="6">
        <f t="shared" si="23"/>
        <v>1.1639740136610099E-2</v>
      </c>
      <c r="K37" s="2"/>
      <c r="L37" s="7">
        <f t="shared" si="24"/>
        <v>-1128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1236</v>
      </c>
      <c r="U37" s="2"/>
      <c r="V37" s="6">
        <f t="shared" si="27"/>
        <v>8.648373304654693E-3</v>
      </c>
      <c r="W37" s="2"/>
      <c r="X37" s="7">
        <f t="shared" si="28"/>
        <v>-1236</v>
      </c>
      <c r="Y37" s="2"/>
      <c r="Z37" s="6">
        <f t="shared" si="29"/>
        <v>-1</v>
      </c>
    </row>
    <row r="38" spans="1:26" s="27" customFormat="1" outlineLevel="1" collapsed="1" x14ac:dyDescent="0.25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0</v>
      </c>
      <c r="I38" s="1"/>
      <c r="J38" s="5">
        <f t="shared" ref="J38:J46" si="31">IF(H$12=0,0,H38/H$12)</f>
        <v>0</v>
      </c>
      <c r="K38" s="1"/>
      <c r="L38" s="1">
        <f t="shared" ref="L38:L46" si="32">+D38-H38</f>
        <v>0</v>
      </c>
      <c r="M38" s="1"/>
      <c r="N38" s="5">
        <f t="shared" ref="N38:N46" si="33">IF(H38=0,0,L38/H38)</f>
        <v>0</v>
      </c>
      <c r="O38" s="14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79.78</v>
      </c>
      <c r="U38" s="1"/>
      <c r="V38" s="5">
        <f t="shared" ref="V38:V46" si="35">IF(T$12=0,0,T38/T$12)</f>
        <v>5.5822590796549476E-4</v>
      </c>
      <c r="W38" s="1"/>
      <c r="X38" s="1">
        <f t="shared" ref="X38:X46" si="36">+P38-T38</f>
        <v>-79.78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/>
      <c r="I39" s="2"/>
      <c r="J39" s="6">
        <f t="shared" si="31"/>
        <v>0</v>
      </c>
      <c r="K39" s="2"/>
      <c r="L39" s="7">
        <f t="shared" si="32"/>
        <v>0</v>
      </c>
      <c r="M39" s="2"/>
      <c r="N39" s="6">
        <f t="shared" si="33"/>
        <v>0</v>
      </c>
      <c r="O39" s="11"/>
      <c r="P39" s="7"/>
      <c r="Q39" s="2"/>
      <c r="R39" s="6">
        <f t="shared" si="34"/>
        <v>0</v>
      </c>
      <c r="S39" s="2"/>
      <c r="T39" s="7">
        <v>79.78</v>
      </c>
      <c r="U39" s="2"/>
      <c r="V39" s="6">
        <f t="shared" si="35"/>
        <v>5.5822590796549476E-4</v>
      </c>
      <c r="W39" s="2"/>
      <c r="X39" s="7">
        <f t="shared" si="36"/>
        <v>-79.78</v>
      </c>
      <c r="Y39" s="2"/>
      <c r="Z39" s="6">
        <f t="shared" si="37"/>
        <v>-1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-8.31</v>
      </c>
      <c r="I40" s="1"/>
      <c r="J40" s="5">
        <f t="shared" si="31"/>
        <v>-8.5750213240452054E-5</v>
      </c>
      <c r="K40" s="1"/>
      <c r="L40" s="1">
        <f t="shared" si="32"/>
        <v>8.31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-22.06</v>
      </c>
      <c r="U40" s="1"/>
      <c r="V40" s="5">
        <f t="shared" si="35"/>
        <v>-1.5435527111705706E-4</v>
      </c>
      <c r="W40" s="1"/>
      <c r="X40" s="1">
        <f t="shared" si="36"/>
        <v>22.06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-8.31</v>
      </c>
      <c r="I41" s="2"/>
      <c r="J41" s="6">
        <f t="shared" si="31"/>
        <v>-8.5750213240452054E-5</v>
      </c>
      <c r="K41" s="2"/>
      <c r="L41" s="7">
        <f t="shared" si="32"/>
        <v>8.31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-22.06</v>
      </c>
      <c r="U41" s="2"/>
      <c r="V41" s="6">
        <f t="shared" si="35"/>
        <v>-1.5435527111705706E-4</v>
      </c>
      <c r="W41" s="2"/>
      <c r="X41" s="7">
        <f t="shared" si="36"/>
        <v>22.06</v>
      </c>
      <c r="Y41" s="2"/>
      <c r="Z41" s="6">
        <f t="shared" si="37"/>
        <v>-1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3523.37</v>
      </c>
      <c r="I42" s="1"/>
      <c r="J42" s="5">
        <f t="shared" si="31"/>
        <v>3.6357368089652412E-2</v>
      </c>
      <c r="K42" s="1"/>
      <c r="L42" s="1">
        <f t="shared" si="32"/>
        <v>-3523.37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5006.3900000000003</v>
      </c>
      <c r="U42" s="1"/>
      <c r="V42" s="5">
        <f t="shared" si="35"/>
        <v>3.5030040152661986E-2</v>
      </c>
      <c r="W42" s="1"/>
      <c r="X42" s="1">
        <f t="shared" si="36"/>
        <v>-5006.3900000000003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3523.37</v>
      </c>
      <c r="I43" s="2"/>
      <c r="J43" s="6">
        <f t="shared" si="31"/>
        <v>3.6357368089652412E-2</v>
      </c>
      <c r="K43" s="2"/>
      <c r="L43" s="7">
        <f t="shared" si="32"/>
        <v>-3523.37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5006.3900000000003</v>
      </c>
      <c r="U43" s="2"/>
      <c r="V43" s="6">
        <f t="shared" si="35"/>
        <v>3.5030040152661986E-2</v>
      </c>
      <c r="W43" s="2"/>
      <c r="X43" s="7">
        <f t="shared" si="36"/>
        <v>-5006.3900000000003</v>
      </c>
      <c r="Y43" s="2"/>
      <c r="Z43" s="6">
        <f t="shared" si="37"/>
        <v>-1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5582.59</v>
      </c>
      <c r="E44" s="1"/>
      <c r="F44" s="5">
        <f t="shared" si="30"/>
        <v>0</v>
      </c>
      <c r="G44" s="1"/>
      <c r="H44" s="1">
        <f>SUM(OSRRefH22_5x_0)</f>
        <v>5421.37</v>
      </c>
      <c r="I44" s="1"/>
      <c r="J44" s="5">
        <f t="shared" si="31"/>
        <v>5.5942675518097416E-2</v>
      </c>
      <c r="K44" s="1"/>
      <c r="L44" s="1">
        <f t="shared" si="32"/>
        <v>161.22000000000025</v>
      </c>
      <c r="M44" s="1"/>
      <c r="N44" s="5">
        <f t="shared" si="33"/>
        <v>2.9737870685823002E-2</v>
      </c>
      <c r="O44" s="14"/>
      <c r="P44" s="1">
        <f>SUM(OSRRefP22_5x_0)</f>
        <v>16747.77</v>
      </c>
      <c r="Q44" s="1"/>
      <c r="R44" s="5">
        <f t="shared" si="34"/>
        <v>0</v>
      </c>
      <c r="S44" s="1"/>
      <c r="T44" s="1">
        <f>SUM(OSRRefT22_5x_0)</f>
        <v>16264.109999999999</v>
      </c>
      <c r="U44" s="1"/>
      <c r="V44" s="5">
        <f t="shared" si="35"/>
        <v>0.113801047530718</v>
      </c>
      <c r="W44" s="1"/>
      <c r="X44" s="1">
        <f t="shared" si="36"/>
        <v>483.66000000000167</v>
      </c>
      <c r="Y44" s="1"/>
      <c r="Z44" s="5">
        <f t="shared" si="37"/>
        <v>2.9737870685823061E-2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7">
        <v>5080.51</v>
      </c>
      <c r="E45" s="2"/>
      <c r="F45" s="6">
        <f t="shared" si="30"/>
        <v>0</v>
      </c>
      <c r="G45" s="2"/>
      <c r="H45" s="7">
        <v>5080.51</v>
      </c>
      <c r="I45" s="2"/>
      <c r="J45" s="6">
        <f t="shared" si="31"/>
        <v>5.2425368937454767E-2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15241.529999999999</v>
      </c>
      <c r="Q45" s="2"/>
      <c r="R45" s="6">
        <f t="shared" si="34"/>
        <v>0</v>
      </c>
      <c r="S45" s="2"/>
      <c r="T45" s="7">
        <v>15241.529999999999</v>
      </c>
      <c r="U45" s="2"/>
      <c r="V45" s="6">
        <f t="shared" si="35"/>
        <v>0.10664598800493014</v>
      </c>
      <c r="W45" s="2"/>
      <c r="X45" s="7">
        <f t="shared" si="36"/>
        <v>0</v>
      </c>
      <c r="Y45" s="2"/>
      <c r="Z45" s="6">
        <f t="shared" si="37"/>
        <v>0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502.08</v>
      </c>
      <c r="E46" s="2"/>
      <c r="F46" s="6">
        <f t="shared" si="30"/>
        <v>0</v>
      </c>
      <c r="G46" s="2"/>
      <c r="H46" s="7">
        <v>340.86</v>
      </c>
      <c r="I46" s="2"/>
      <c r="J46" s="6">
        <f t="shared" si="31"/>
        <v>3.5173065806426581E-3</v>
      </c>
      <c r="K46" s="2"/>
      <c r="L46" s="7">
        <f t="shared" si="32"/>
        <v>161.21999999999997</v>
      </c>
      <c r="M46" s="2"/>
      <c r="N46" s="6">
        <f t="shared" si="33"/>
        <v>0.47298010913571542</v>
      </c>
      <c r="O46" s="11"/>
      <c r="P46" s="7">
        <v>1506.24</v>
      </c>
      <c r="Q46" s="2"/>
      <c r="R46" s="6">
        <f t="shared" si="34"/>
        <v>0</v>
      </c>
      <c r="S46" s="2"/>
      <c r="T46" s="7">
        <v>1022.58</v>
      </c>
      <c r="U46" s="2"/>
      <c r="V46" s="6">
        <f t="shared" si="35"/>
        <v>7.1550595257878621E-3</v>
      </c>
      <c r="W46" s="2"/>
      <c r="X46" s="7">
        <f t="shared" si="36"/>
        <v>483.65999999999997</v>
      </c>
      <c r="Y46" s="2"/>
      <c r="Z46" s="6">
        <f t="shared" si="37"/>
        <v>0.47298010913571548</v>
      </c>
    </row>
    <row r="47" spans="1:26" s="27" customFormat="1" outlineLevel="1" collapsed="1" x14ac:dyDescent="0.25">
      <c r="A47" s="29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SUM(OSRRefD22_6x_0)</f>
        <v>0</v>
      </c>
      <c r="E47" s="1"/>
      <c r="F47" s="5">
        <f t="shared" ref="F47:F58" si="38">IF(D$12=0,0,D47/D$12)</f>
        <v>0</v>
      </c>
      <c r="G47" s="1"/>
      <c r="H47" s="1">
        <f>SUM(OSRRefH22_6x_0)</f>
        <v>56.69</v>
      </c>
      <c r="I47" s="1"/>
      <c r="J47" s="5">
        <f t="shared" ref="J47:J58" si="39">IF(H$12=0,0,H47/H$12)</f>
        <v>5.8497949321314406E-4</v>
      </c>
      <c r="K47" s="1"/>
      <c r="L47" s="1">
        <f t="shared" ref="L47:L58" si="40">+D47-H47</f>
        <v>-56.69</v>
      </c>
      <c r="M47" s="1"/>
      <c r="N47" s="5">
        <f t="shared" ref="N47:N58" si="41">IF(H47=0,0,L47/H47)</f>
        <v>-1</v>
      </c>
      <c r="O47" s="14"/>
      <c r="P47" s="1">
        <f>SUM(OSRRefP22_6x_0)</f>
        <v>0</v>
      </c>
      <c r="Q47" s="1"/>
      <c r="R47" s="5">
        <f t="shared" ref="R47:R58" si="42">IF(P$12=0,0,P47/P$12)</f>
        <v>0</v>
      </c>
      <c r="S47" s="1"/>
      <c r="T47" s="1">
        <f>SUM(OSRRefT22_6x_0)</f>
        <v>349.21</v>
      </c>
      <c r="U47" s="1"/>
      <c r="V47" s="5">
        <f t="shared" ref="V47:V58" si="43">IF(T$12=0,0,T47/T$12)</f>
        <v>2.4434453411961692E-3</v>
      </c>
      <c r="W47" s="1"/>
      <c r="X47" s="1">
        <f t="shared" ref="X47:X58" si="44">+P47-T47</f>
        <v>-349.21</v>
      </c>
      <c r="Y47" s="1"/>
      <c r="Z47" s="5">
        <f t="shared" ref="Z47:Z58" si="45">IF(T47=0,0,X47/T47)</f>
        <v>-1</v>
      </c>
    </row>
    <row r="48" spans="1:26" s="24" customFormat="1" hidden="1" outlineLevel="2" x14ac:dyDescent="0.25">
      <c r="A48" s="28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38"/>
        <v>0</v>
      </c>
      <c r="G48" s="2"/>
      <c r="H48" s="7">
        <v>56.69</v>
      </c>
      <c r="I48" s="2"/>
      <c r="J48" s="6">
        <f t="shared" si="39"/>
        <v>5.8497949321314406E-4</v>
      </c>
      <c r="K48" s="2"/>
      <c r="L48" s="7">
        <f t="shared" si="40"/>
        <v>-56.69</v>
      </c>
      <c r="M48" s="2"/>
      <c r="N48" s="6">
        <f t="shared" si="41"/>
        <v>-1</v>
      </c>
      <c r="O48" s="11"/>
      <c r="P48" s="7"/>
      <c r="Q48" s="2"/>
      <c r="R48" s="6">
        <f t="shared" si="42"/>
        <v>0</v>
      </c>
      <c r="S48" s="2"/>
      <c r="T48" s="7">
        <v>349.21</v>
      </c>
      <c r="U48" s="2"/>
      <c r="V48" s="6">
        <f t="shared" si="43"/>
        <v>2.4434453411961692E-3</v>
      </c>
      <c r="W48" s="2"/>
      <c r="X48" s="7">
        <f t="shared" si="44"/>
        <v>-349.21</v>
      </c>
      <c r="Y48" s="2"/>
      <c r="Z48" s="6">
        <f t="shared" si="45"/>
        <v>-1</v>
      </c>
    </row>
    <row r="49" spans="1:26" s="27" customFormat="1" outlineLevel="1" collapsed="1" x14ac:dyDescent="0.25">
      <c r="A49" s="29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SUM(OSRRefD22_7x_0)</f>
        <v>0</v>
      </c>
      <c r="E49" s="1"/>
      <c r="F49" s="5">
        <f t="shared" si="38"/>
        <v>0</v>
      </c>
      <c r="G49" s="1"/>
      <c r="H49" s="1">
        <f>SUM(OSRRefH22_7x_0)</f>
        <v>68.680000000000007</v>
      </c>
      <c r="I49" s="1"/>
      <c r="J49" s="5">
        <f t="shared" si="39"/>
        <v>7.0870332675743056E-4</v>
      </c>
      <c r="K49" s="1"/>
      <c r="L49" s="1">
        <f t="shared" si="40"/>
        <v>-68.680000000000007</v>
      </c>
      <c r="M49" s="1"/>
      <c r="N49" s="5">
        <f t="shared" si="41"/>
        <v>-1</v>
      </c>
      <c r="O49" s="14"/>
      <c r="P49" s="1">
        <f>SUM(OSRRefP22_7x_0)</f>
        <v>754.55</v>
      </c>
      <c r="Q49" s="1"/>
      <c r="R49" s="5">
        <f t="shared" si="42"/>
        <v>0</v>
      </c>
      <c r="S49" s="1"/>
      <c r="T49" s="1">
        <f>SUM(OSRRefT22_7x_0)</f>
        <v>819.73</v>
      </c>
      <c r="U49" s="1"/>
      <c r="V49" s="5">
        <f t="shared" si="43"/>
        <v>5.7357047322205441E-3</v>
      </c>
      <c r="W49" s="1"/>
      <c r="X49" s="1">
        <f t="shared" si="44"/>
        <v>-65.180000000000064</v>
      </c>
      <c r="Y49" s="1"/>
      <c r="Z49" s="5">
        <f t="shared" si="45"/>
        <v>-7.9513986312566412E-2</v>
      </c>
    </row>
    <row r="50" spans="1:26" s="24" customFormat="1" hidden="1" outlineLevel="2" x14ac:dyDescent="0.25">
      <c r="A50" s="28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38"/>
        <v>0</v>
      </c>
      <c r="G50" s="2"/>
      <c r="H50" s="7">
        <v>68.680000000000007</v>
      </c>
      <c r="I50" s="2"/>
      <c r="J50" s="6">
        <f t="shared" si="39"/>
        <v>7.0870332675743056E-4</v>
      </c>
      <c r="K50" s="2"/>
      <c r="L50" s="7">
        <f t="shared" si="40"/>
        <v>-68.680000000000007</v>
      </c>
      <c r="M50" s="2"/>
      <c r="N50" s="6">
        <f t="shared" si="41"/>
        <v>-1</v>
      </c>
      <c r="O50" s="11"/>
      <c r="P50" s="7">
        <v>754.55</v>
      </c>
      <c r="Q50" s="2"/>
      <c r="R50" s="6">
        <f t="shared" si="42"/>
        <v>0</v>
      </c>
      <c r="S50" s="2"/>
      <c r="T50" s="7">
        <v>819.73</v>
      </c>
      <c r="U50" s="2"/>
      <c r="V50" s="6">
        <f t="shared" si="43"/>
        <v>5.7357047322205441E-3</v>
      </c>
      <c r="W50" s="2"/>
      <c r="X50" s="7">
        <f t="shared" si="44"/>
        <v>-65.180000000000064</v>
      </c>
      <c r="Y50" s="2"/>
      <c r="Z50" s="6">
        <f t="shared" si="45"/>
        <v>-7.9513986312566412E-2</v>
      </c>
    </row>
    <row r="51" spans="1:26" s="27" customFormat="1" outlineLevel="1" collapsed="1" x14ac:dyDescent="0.25">
      <c r="A51" s="29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SUM(OSRRefD22_8x_0)</f>
        <v>243.54</v>
      </c>
      <c r="E51" s="1"/>
      <c r="F51" s="5">
        <f t="shared" si="38"/>
        <v>0</v>
      </c>
      <c r="G51" s="1"/>
      <c r="H51" s="1">
        <f>SUM(OSRRefH22_8x_0)</f>
        <v>243.54</v>
      </c>
      <c r="I51" s="1"/>
      <c r="J51" s="5">
        <f t="shared" si="39"/>
        <v>2.5130694263032121E-3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SUM(OSRRefP22_8x_0)</f>
        <v>730.62</v>
      </c>
      <c r="Q51" s="1"/>
      <c r="R51" s="5">
        <f t="shared" si="42"/>
        <v>0</v>
      </c>
      <c r="S51" s="1"/>
      <c r="T51" s="1">
        <f>SUM(OSRRefT22_8x_0)</f>
        <v>730.62</v>
      </c>
      <c r="U51" s="1"/>
      <c r="V51" s="5">
        <f t="shared" si="43"/>
        <v>5.1121962005233109E-3</v>
      </c>
      <c r="W51" s="1"/>
      <c r="X51" s="1">
        <f t="shared" si="44"/>
        <v>0</v>
      </c>
      <c r="Y51" s="1"/>
      <c r="Z51" s="5">
        <f t="shared" si="45"/>
        <v>0</v>
      </c>
    </row>
    <row r="52" spans="1:26" s="24" customFormat="1" hidden="1" outlineLevel="2" x14ac:dyDescent="0.25">
      <c r="A52" s="28"/>
      <c r="B52" s="11" t="str">
        <f>CONCATENATE("          ", "6314", " - ", "LIABILITY INSURANCE")</f>
        <v xml:space="preserve">          6314 - LIABILITY INSURANCE</v>
      </c>
      <c r="C52" s="11"/>
      <c r="D52" s="7">
        <v>243.54</v>
      </c>
      <c r="E52" s="2"/>
      <c r="F52" s="6">
        <f t="shared" si="38"/>
        <v>0</v>
      </c>
      <c r="G52" s="2"/>
      <c r="H52" s="7">
        <v>243.54</v>
      </c>
      <c r="I52" s="2"/>
      <c r="J52" s="6">
        <f t="shared" si="39"/>
        <v>2.5130694263032121E-3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730.62</v>
      </c>
      <c r="Q52" s="2"/>
      <c r="R52" s="6">
        <f t="shared" si="42"/>
        <v>0</v>
      </c>
      <c r="S52" s="2"/>
      <c r="T52" s="7">
        <v>730.62</v>
      </c>
      <c r="U52" s="2"/>
      <c r="V52" s="6">
        <f t="shared" si="43"/>
        <v>5.1121962005233109E-3</v>
      </c>
      <c r="W52" s="2"/>
      <c r="X52" s="7">
        <f t="shared" si="44"/>
        <v>0</v>
      </c>
      <c r="Y52" s="2"/>
      <c r="Z52" s="6">
        <f t="shared" si="45"/>
        <v>0</v>
      </c>
    </row>
    <row r="53" spans="1:26" s="27" customFormat="1" outlineLevel="1" collapsed="1" x14ac:dyDescent="0.25">
      <c r="A53" s="29"/>
      <c r="B53" s="14" t="str">
        <f>CONCATENATE("     ","Interest                                          ")</f>
        <v xml:space="preserve">     Interest                                          </v>
      </c>
      <c r="C53" s="14"/>
      <c r="D53" s="1">
        <f>SUM(OSRRefD22_9x_0)</f>
        <v>4044</v>
      </c>
      <c r="E53" s="1"/>
      <c r="F53" s="5">
        <f t="shared" si="38"/>
        <v>0</v>
      </c>
      <c r="G53" s="1"/>
      <c r="H53" s="1">
        <f>SUM(OSRRefH22_9x_0)</f>
        <v>4110</v>
      </c>
      <c r="I53" s="1"/>
      <c r="J53" s="5">
        <f t="shared" si="39"/>
        <v>4.2410755284988923E-2</v>
      </c>
      <c r="K53" s="1"/>
      <c r="L53" s="1">
        <f t="shared" si="40"/>
        <v>-66</v>
      </c>
      <c r="M53" s="1"/>
      <c r="N53" s="5">
        <f t="shared" si="41"/>
        <v>-1.6058394160583942E-2</v>
      </c>
      <c r="O53" s="14"/>
      <c r="P53" s="1">
        <f>SUM(OSRRefP22_9x_0)</f>
        <v>12132</v>
      </c>
      <c r="Q53" s="1"/>
      <c r="R53" s="5">
        <f t="shared" si="42"/>
        <v>0</v>
      </c>
      <c r="S53" s="1"/>
      <c r="T53" s="1">
        <f>SUM(OSRRefT22_9x_0)</f>
        <v>12330</v>
      </c>
      <c r="U53" s="1"/>
      <c r="V53" s="5">
        <f t="shared" si="43"/>
        <v>8.6273821073132986E-2</v>
      </c>
      <c r="W53" s="1"/>
      <c r="X53" s="1">
        <f t="shared" si="44"/>
        <v>-198</v>
      </c>
      <c r="Y53" s="1"/>
      <c r="Z53" s="5">
        <f t="shared" si="45"/>
        <v>-1.6058394160583942E-2</v>
      </c>
    </row>
    <row r="54" spans="1:26" s="24" customFormat="1" hidden="1" outlineLevel="2" x14ac:dyDescent="0.25">
      <c r="A54" s="28"/>
      <c r="B54" s="11" t="str">
        <f>CONCATENATE("          ", "6401", " - ", "INTEREST EXPENSE")</f>
        <v xml:space="preserve">          6401 - INTEREST EXPENSE</v>
      </c>
      <c r="C54" s="11"/>
      <c r="D54" s="7">
        <v>4044</v>
      </c>
      <c r="E54" s="2"/>
      <c r="F54" s="6">
        <f t="shared" si="38"/>
        <v>0</v>
      </c>
      <c r="G54" s="2"/>
      <c r="H54" s="7">
        <v>4110</v>
      </c>
      <c r="I54" s="2"/>
      <c r="J54" s="6">
        <f t="shared" si="39"/>
        <v>4.2410755284988923E-2</v>
      </c>
      <c r="K54" s="2"/>
      <c r="L54" s="7">
        <f t="shared" si="40"/>
        <v>-66</v>
      </c>
      <c r="M54" s="2"/>
      <c r="N54" s="6">
        <f t="shared" si="41"/>
        <v>-1.6058394160583942E-2</v>
      </c>
      <c r="O54" s="11"/>
      <c r="P54" s="7">
        <v>12132</v>
      </c>
      <c r="Q54" s="2"/>
      <c r="R54" s="6">
        <f t="shared" si="42"/>
        <v>0</v>
      </c>
      <c r="S54" s="2"/>
      <c r="T54" s="7">
        <v>12330</v>
      </c>
      <c r="U54" s="2"/>
      <c r="V54" s="6">
        <f t="shared" si="43"/>
        <v>8.6273821073132986E-2</v>
      </c>
      <c r="W54" s="2"/>
      <c r="X54" s="7">
        <f t="shared" si="44"/>
        <v>-198</v>
      </c>
      <c r="Y54" s="2"/>
      <c r="Z54" s="6">
        <f t="shared" si="45"/>
        <v>-1.6058394160583942E-2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SUM(OSRRefD22_10x_0)</f>
        <v>108.52</v>
      </c>
      <c r="E55" s="1"/>
      <c r="F55" s="5">
        <f t="shared" si="38"/>
        <v>0</v>
      </c>
      <c r="G55" s="1"/>
      <c r="H55" s="1">
        <f>SUM(OSRRefH22_10x_0)</f>
        <v>446.11</v>
      </c>
      <c r="I55" s="1"/>
      <c r="J55" s="5">
        <f t="shared" si="39"/>
        <v>4.6033727591694423E-3</v>
      </c>
      <c r="K55" s="1"/>
      <c r="L55" s="1">
        <f t="shared" si="40"/>
        <v>-337.59000000000003</v>
      </c>
      <c r="M55" s="1"/>
      <c r="N55" s="5">
        <f t="shared" si="41"/>
        <v>-0.75674161081347657</v>
      </c>
      <c r="O55" s="14"/>
      <c r="P55" s="1">
        <f>SUM(OSRRefP22_10x_0)</f>
        <v>187.12</v>
      </c>
      <c r="Q55" s="1"/>
      <c r="R55" s="5">
        <f t="shared" si="42"/>
        <v>0</v>
      </c>
      <c r="S55" s="1"/>
      <c r="T55" s="1">
        <f>SUM(OSRRefT22_10x_0)</f>
        <v>521.38</v>
      </c>
      <c r="U55" s="1"/>
      <c r="V55" s="5">
        <f t="shared" si="43"/>
        <v>3.6481301566188224E-3</v>
      </c>
      <c r="W55" s="1"/>
      <c r="X55" s="1">
        <f t="shared" si="44"/>
        <v>-334.26</v>
      </c>
      <c r="Y55" s="1"/>
      <c r="Z55" s="5">
        <f t="shared" si="45"/>
        <v>-0.64110629483294335</v>
      </c>
    </row>
    <row r="56" spans="1:26" s="24" customFormat="1" hidden="1" outlineLevel="2" x14ac:dyDescent="0.25">
      <c r="A56" s="28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38"/>
        <v>0</v>
      </c>
      <c r="G56" s="2"/>
      <c r="H56" s="7">
        <v>437.31</v>
      </c>
      <c r="I56" s="2"/>
      <c r="J56" s="6">
        <f t="shared" si="39"/>
        <v>4.5125662758341862E-3</v>
      </c>
      <c r="K56" s="2"/>
      <c r="L56" s="7">
        <f t="shared" si="40"/>
        <v>-437.31</v>
      </c>
      <c r="M56" s="2"/>
      <c r="N56" s="6">
        <f t="shared" si="41"/>
        <v>-1</v>
      </c>
      <c r="O56" s="11"/>
      <c r="P56" s="7"/>
      <c r="Q56" s="2"/>
      <c r="R56" s="6">
        <f t="shared" si="42"/>
        <v>0</v>
      </c>
      <c r="S56" s="2"/>
      <c r="T56" s="7">
        <v>437.31</v>
      </c>
      <c r="U56" s="2"/>
      <c r="V56" s="6">
        <f t="shared" si="43"/>
        <v>3.059886836455133E-3</v>
      </c>
      <c r="W56" s="2"/>
      <c r="X56" s="7">
        <f t="shared" si="44"/>
        <v>-437.31</v>
      </c>
      <c r="Y56" s="2"/>
      <c r="Z56" s="6">
        <f t="shared" si="45"/>
        <v>-1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>
        <v>108.52</v>
      </c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108.52</v>
      </c>
      <c r="M57" s="2"/>
      <c r="N57" s="6">
        <f t="shared" si="41"/>
        <v>0</v>
      </c>
      <c r="O57" s="11"/>
      <c r="P57" s="7">
        <v>187.12</v>
      </c>
      <c r="Q57" s="2"/>
      <c r="R57" s="6">
        <f t="shared" si="42"/>
        <v>0</v>
      </c>
      <c r="S57" s="2"/>
      <c r="T57" s="7"/>
      <c r="U57" s="2"/>
      <c r="V57" s="6">
        <f t="shared" si="43"/>
        <v>0</v>
      </c>
      <c r="W57" s="2"/>
      <c r="X57" s="7">
        <f t="shared" si="44"/>
        <v>187.12</v>
      </c>
      <c r="Y57" s="2"/>
      <c r="Z57" s="6">
        <f t="shared" si="45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38"/>
        <v>0</v>
      </c>
      <c r="G58" s="2"/>
      <c r="H58" s="7">
        <v>8.8000000000000007</v>
      </c>
      <c r="I58" s="2"/>
      <c r="J58" s="6">
        <f t="shared" si="39"/>
        <v>9.0806483335256093E-5</v>
      </c>
      <c r="K58" s="2"/>
      <c r="L58" s="7">
        <f t="shared" si="40"/>
        <v>-8.8000000000000007</v>
      </c>
      <c r="M58" s="2"/>
      <c r="N58" s="6">
        <f t="shared" si="41"/>
        <v>-1</v>
      </c>
      <c r="O58" s="11"/>
      <c r="P58" s="7"/>
      <c r="Q58" s="2"/>
      <c r="R58" s="6">
        <f t="shared" si="42"/>
        <v>0</v>
      </c>
      <c r="S58" s="2"/>
      <c r="T58" s="7">
        <v>84.07</v>
      </c>
      <c r="U58" s="2"/>
      <c r="V58" s="6">
        <f t="shared" si="43"/>
        <v>5.8824332016368941E-4</v>
      </c>
      <c r="W58" s="2"/>
      <c r="X58" s="7">
        <f t="shared" si="44"/>
        <v>-84.07</v>
      </c>
      <c r="Y58" s="2"/>
      <c r="Z58" s="6">
        <f t="shared" si="45"/>
        <v>-1</v>
      </c>
    </row>
    <row r="59" spans="1:26" s="27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0</v>
      </c>
      <c r="E59" s="1"/>
      <c r="F59" s="5">
        <f t="shared" ref="F59:F62" si="46">IF(D$12=0,0,D59/D$12)</f>
        <v>0</v>
      </c>
      <c r="G59" s="1"/>
      <c r="H59" s="1">
        <f>SUM(OSRRefH22_11x_0)</f>
        <v>340.88</v>
      </c>
      <c r="I59" s="1"/>
      <c r="J59" s="5">
        <f t="shared" ref="J59:J62" si="47">IF(H$12=0,0,H59/H$12)</f>
        <v>3.5175129590138744E-3</v>
      </c>
      <c r="K59" s="1"/>
      <c r="L59" s="1">
        <f t="shared" ref="L59:L62" si="48">+D59-H59</f>
        <v>-340.88</v>
      </c>
      <c r="M59" s="1"/>
      <c r="N59" s="5">
        <f t="shared" ref="N59:N62" si="49">IF(H59=0,0,L59/H59)</f>
        <v>-1</v>
      </c>
      <c r="O59" s="14"/>
      <c r="P59" s="1">
        <f>SUM(OSRRefP22_11x_0)</f>
        <v>0</v>
      </c>
      <c r="Q59" s="1"/>
      <c r="R59" s="5">
        <f t="shared" ref="R59:R62" si="50">IF(P$12=0,0,P59/P$12)</f>
        <v>0</v>
      </c>
      <c r="S59" s="1"/>
      <c r="T59" s="1">
        <f>SUM(OSRRefT22_11x_0)</f>
        <v>1076.98</v>
      </c>
      <c r="U59" s="1"/>
      <c r="V59" s="5">
        <f t="shared" ref="V59:V62" si="51">IF(T$12=0,0,T59/T$12)</f>
        <v>7.5356999042451552E-3</v>
      </c>
      <c r="W59" s="1"/>
      <c r="X59" s="1">
        <f t="shared" ref="X59:X62" si="52">+P59-T59</f>
        <v>-1076.98</v>
      </c>
      <c r="Y59" s="1"/>
      <c r="Z59" s="5">
        <f t="shared" ref="Z59:Z62" si="53">IF(T59=0,0,X59/T59)</f>
        <v>-1</v>
      </c>
    </row>
    <row r="60" spans="1:26" s="24" customFormat="1" hidden="1" outlineLevel="2" x14ac:dyDescent="0.25">
      <c r="A60" s="28"/>
      <c r="B60" s="11" t="str">
        <f>CONCATENATE("          ", "6282", " - ", "JANITORIAL/EXTERMINATOR EXPENS")</f>
        <v xml:space="preserve">          6282 - JANITORIAL/EXTERMINATOR EXPENS</v>
      </c>
      <c r="C60" s="11"/>
      <c r="D60" s="7"/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314.7</v>
      </c>
      <c r="U60" s="2"/>
      <c r="V60" s="6">
        <f t="shared" si="51"/>
        <v>2.2019766011123236E-3</v>
      </c>
      <c r="W60" s="2"/>
      <c r="X60" s="7">
        <f t="shared" si="52"/>
        <v>-314.7</v>
      </c>
      <c r="Y60" s="2"/>
      <c r="Z60" s="6">
        <f t="shared" si="53"/>
        <v>-1</v>
      </c>
    </row>
    <row r="61" spans="1:26" s="24" customFormat="1" hidden="1" outlineLevel="2" x14ac:dyDescent="0.25">
      <c r="A61" s="28"/>
      <c r="B61" s="11" t="str">
        <f>CONCATENATE("          ", "6284", " - ", "TRASH REMOVAL EXPENSE")</f>
        <v xml:space="preserve">          6284 - TRASH REMOVAL EXPENSE</v>
      </c>
      <c r="C61" s="11"/>
      <c r="D61" s="7"/>
      <c r="E61" s="2"/>
      <c r="F61" s="6">
        <f t="shared" si="46"/>
        <v>0</v>
      </c>
      <c r="G61" s="2"/>
      <c r="H61" s="7">
        <v>237</v>
      </c>
      <c r="I61" s="2"/>
      <c r="J61" s="6">
        <f t="shared" si="47"/>
        <v>2.4455836989154198E-3</v>
      </c>
      <c r="K61" s="2"/>
      <c r="L61" s="7">
        <f t="shared" si="48"/>
        <v>-237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474</v>
      </c>
      <c r="U61" s="2"/>
      <c r="V61" s="6">
        <f t="shared" si="51"/>
        <v>3.3166091799403923E-3</v>
      </c>
      <c r="W61" s="2"/>
      <c r="X61" s="7">
        <f t="shared" si="52"/>
        <v>-474</v>
      </c>
      <c r="Y61" s="2"/>
      <c r="Z61" s="6">
        <f t="shared" si="53"/>
        <v>-1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46"/>
        <v>0</v>
      </c>
      <c r="G62" s="2"/>
      <c r="H62" s="7">
        <v>103.88</v>
      </c>
      <c r="I62" s="2"/>
      <c r="J62" s="6">
        <f t="shared" si="47"/>
        <v>1.0719292600984548E-3</v>
      </c>
      <c r="K62" s="2"/>
      <c r="L62" s="7">
        <f t="shared" si="48"/>
        <v>-103.88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288.27999999999997</v>
      </c>
      <c r="U62" s="2"/>
      <c r="V62" s="6">
        <f t="shared" si="51"/>
        <v>2.0171141231924393E-3</v>
      </c>
      <c r="W62" s="2"/>
      <c r="X62" s="7">
        <f t="shared" si="52"/>
        <v>-288.27999999999997</v>
      </c>
      <c r="Y62" s="2"/>
      <c r="Z62" s="6">
        <f t="shared" si="53"/>
        <v>-1</v>
      </c>
    </row>
    <row r="63" spans="1:26" s="27" customFormat="1" outlineLevel="1" collapsed="1" x14ac:dyDescent="0.25">
      <c r="A63" s="29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SUM(OSRRefD22_12x_0)</f>
        <v>0</v>
      </c>
      <c r="E63" s="1"/>
      <c r="F63" s="5">
        <f t="shared" ref="F63:F70" si="54">IF(D$12=0,0,D63/D$12)</f>
        <v>0</v>
      </c>
      <c r="G63" s="1"/>
      <c r="H63" s="1">
        <f>SUM(OSRRefH22_12x_0)</f>
        <v>176.4</v>
      </c>
      <c r="I63" s="1"/>
      <c r="J63" s="5">
        <f t="shared" ref="J63:J70" si="55">IF(H$12=0,0,H63/H$12)</f>
        <v>1.8202572341294515E-3</v>
      </c>
      <c r="K63" s="1"/>
      <c r="L63" s="1">
        <f t="shared" ref="L63:L70" si="56">+D63-H63</f>
        <v>-176.4</v>
      </c>
      <c r="M63" s="1"/>
      <c r="N63" s="5">
        <f t="shared" ref="N63:N70" si="57">IF(H63=0,0,L63/H63)</f>
        <v>-1</v>
      </c>
      <c r="O63" s="14"/>
      <c r="P63" s="1">
        <f>SUM(OSRRefP22_12x_0)</f>
        <v>0</v>
      </c>
      <c r="Q63" s="1"/>
      <c r="R63" s="5">
        <f t="shared" ref="R63:R70" si="58">IF(P$12=0,0,P63/P$12)</f>
        <v>0</v>
      </c>
      <c r="S63" s="1"/>
      <c r="T63" s="1">
        <f>SUM(OSRRefT22_12x_0)</f>
        <v>529.20000000000005</v>
      </c>
      <c r="U63" s="1"/>
      <c r="V63" s="5">
        <f t="shared" ref="V63:V70" si="59">IF(T$12=0,0,T63/T$12)</f>
        <v>3.7028472110220583E-3</v>
      </c>
      <c r="W63" s="1"/>
      <c r="X63" s="1">
        <f t="shared" ref="X63:X70" si="60">+P63-T63</f>
        <v>-529.20000000000005</v>
      </c>
      <c r="Y63" s="1"/>
      <c r="Z63" s="5">
        <f t="shared" ref="Z63:Z70" si="61">IF(T63=0,0,X63/T63)</f>
        <v>-1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54"/>
        <v>0</v>
      </c>
      <c r="G64" s="2"/>
      <c r="H64" s="7">
        <v>176.4</v>
      </c>
      <c r="I64" s="2"/>
      <c r="J64" s="6">
        <f t="shared" si="55"/>
        <v>1.8202572341294515E-3</v>
      </c>
      <c r="K64" s="2"/>
      <c r="L64" s="7">
        <f t="shared" si="56"/>
        <v>-176.4</v>
      </c>
      <c r="M64" s="2"/>
      <c r="N64" s="6">
        <f t="shared" si="57"/>
        <v>-1</v>
      </c>
      <c r="O64" s="11"/>
      <c r="P64" s="7"/>
      <c r="Q64" s="2"/>
      <c r="R64" s="6">
        <f t="shared" si="58"/>
        <v>0</v>
      </c>
      <c r="S64" s="2"/>
      <c r="T64" s="7">
        <v>529.20000000000005</v>
      </c>
      <c r="U64" s="2"/>
      <c r="V64" s="6">
        <f t="shared" si="59"/>
        <v>3.7028472110220583E-3</v>
      </c>
      <c r="W64" s="2"/>
      <c r="X64" s="7">
        <f t="shared" si="60"/>
        <v>-529.20000000000005</v>
      </c>
      <c r="Y64" s="2"/>
      <c r="Z64" s="6">
        <f t="shared" si="61"/>
        <v>-1</v>
      </c>
    </row>
    <row r="65" spans="1:26" s="27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634.24</v>
      </c>
      <c r="E65" s="1"/>
      <c r="F65" s="5">
        <f t="shared" si="54"/>
        <v>0</v>
      </c>
      <c r="G65" s="1"/>
      <c r="H65" s="1">
        <f>SUM(OSRRefH22_13x_0)</f>
        <v>5687.8799999999992</v>
      </c>
      <c r="I65" s="1"/>
      <c r="J65" s="5">
        <f t="shared" si="55"/>
        <v>5.8692770503742761E-2</v>
      </c>
      <c r="K65" s="1"/>
      <c r="L65" s="1">
        <f t="shared" si="56"/>
        <v>-5053.6399999999994</v>
      </c>
      <c r="M65" s="1"/>
      <c r="N65" s="5">
        <f t="shared" si="57"/>
        <v>-0.8884927248816783</v>
      </c>
      <c r="O65" s="14"/>
      <c r="P65" s="1">
        <f>SUM(OSRRefP22_13x_0)</f>
        <v>634.24</v>
      </c>
      <c r="Q65" s="1"/>
      <c r="R65" s="5">
        <f t="shared" si="58"/>
        <v>0</v>
      </c>
      <c r="S65" s="1"/>
      <c r="T65" s="1">
        <f>SUM(OSRRefT22_13x_0)</f>
        <v>6937.05</v>
      </c>
      <c r="U65" s="1"/>
      <c r="V65" s="5">
        <f t="shared" si="59"/>
        <v>4.853899517237447E-2</v>
      </c>
      <c r="W65" s="1"/>
      <c r="X65" s="1">
        <f t="shared" si="60"/>
        <v>-6302.81</v>
      </c>
      <c r="Y65" s="1"/>
      <c r="Z65" s="5">
        <f t="shared" si="61"/>
        <v>-0.90857208755883268</v>
      </c>
    </row>
    <row r="66" spans="1:26" s="24" customFormat="1" hidden="1" outlineLevel="2" x14ac:dyDescent="0.25">
      <c r="A66" s="28"/>
      <c r="B66" s="11" t="str">
        <f>CONCATENATE("          ", "6234", " - ", "EXPENDABLE SUPPLIES &amp; EQUIPMEN")</f>
        <v xml:space="preserve">          6234 - EXPENDABLE SUPPLIES &amp; EQUIPMEN</v>
      </c>
      <c r="C66" s="11"/>
      <c r="D66" s="7">
        <v>316.67</v>
      </c>
      <c r="E66" s="2"/>
      <c r="F66" s="6">
        <f t="shared" si="54"/>
        <v>0</v>
      </c>
      <c r="G66" s="2"/>
      <c r="H66" s="7"/>
      <c r="I66" s="2"/>
      <c r="J66" s="6">
        <f t="shared" si="55"/>
        <v>0</v>
      </c>
      <c r="K66" s="2"/>
      <c r="L66" s="7">
        <f t="shared" si="56"/>
        <v>316.67</v>
      </c>
      <c r="M66" s="2"/>
      <c r="N66" s="6">
        <f t="shared" si="57"/>
        <v>0</v>
      </c>
      <c r="O66" s="11"/>
      <c r="P66" s="7">
        <v>316.67</v>
      </c>
      <c r="Q66" s="2"/>
      <c r="R66" s="6">
        <f t="shared" si="58"/>
        <v>0</v>
      </c>
      <c r="S66" s="2"/>
      <c r="T66" s="7"/>
      <c r="U66" s="2"/>
      <c r="V66" s="6">
        <f t="shared" si="59"/>
        <v>0</v>
      </c>
      <c r="W66" s="2"/>
      <c r="X66" s="7">
        <f t="shared" si="60"/>
        <v>316.67</v>
      </c>
      <c r="Y66" s="2"/>
      <c r="Z66" s="6">
        <f t="shared" si="61"/>
        <v>0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7">
        <v>317.57</v>
      </c>
      <c r="E67" s="2"/>
      <c r="F67" s="6">
        <f t="shared" si="54"/>
        <v>0</v>
      </c>
      <c r="G67" s="2"/>
      <c r="H67" s="7">
        <v>16.05</v>
      </c>
      <c r="I67" s="2"/>
      <c r="J67" s="6">
        <f t="shared" si="55"/>
        <v>1.6561864290123412E-4</v>
      </c>
      <c r="K67" s="2"/>
      <c r="L67" s="7">
        <f t="shared" si="56"/>
        <v>301.52</v>
      </c>
      <c r="M67" s="2"/>
      <c r="N67" s="6">
        <f t="shared" si="57"/>
        <v>18.786292834890965</v>
      </c>
      <c r="O67" s="11"/>
      <c r="P67" s="7">
        <v>317.57</v>
      </c>
      <c r="Q67" s="2"/>
      <c r="R67" s="6">
        <f t="shared" si="58"/>
        <v>0</v>
      </c>
      <c r="S67" s="2"/>
      <c r="T67" s="7">
        <v>253.55</v>
      </c>
      <c r="U67" s="2"/>
      <c r="V67" s="6">
        <f t="shared" si="59"/>
        <v>1.7741060286368914E-3</v>
      </c>
      <c r="W67" s="2"/>
      <c r="X67" s="7">
        <f t="shared" si="60"/>
        <v>64.019999999999982</v>
      </c>
      <c r="Y67" s="2"/>
      <c r="Z67" s="6">
        <f t="shared" si="61"/>
        <v>0.25249457700650751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54"/>
        <v>0</v>
      </c>
      <c r="G68" s="2"/>
      <c r="H68" s="7">
        <v>86.15</v>
      </c>
      <c r="I68" s="2"/>
      <c r="J68" s="6">
        <f t="shared" si="55"/>
        <v>8.8897483401503548E-4</v>
      </c>
      <c r="K68" s="2"/>
      <c r="L68" s="7">
        <f t="shared" si="56"/>
        <v>-86.15</v>
      </c>
      <c r="M68" s="2"/>
      <c r="N68" s="6">
        <f t="shared" si="57"/>
        <v>-1</v>
      </c>
      <c r="O68" s="11"/>
      <c r="P68" s="7"/>
      <c r="Q68" s="2"/>
      <c r="R68" s="6">
        <f t="shared" si="58"/>
        <v>0</v>
      </c>
      <c r="S68" s="2"/>
      <c r="T68" s="7">
        <v>292.58</v>
      </c>
      <c r="U68" s="2"/>
      <c r="V68" s="6">
        <f t="shared" si="59"/>
        <v>2.0472015060484386E-3</v>
      </c>
      <c r="W68" s="2"/>
      <c r="X68" s="7">
        <f t="shared" si="60"/>
        <v>-292.58</v>
      </c>
      <c r="Y68" s="2"/>
      <c r="Z68" s="6">
        <f t="shared" si="61"/>
        <v>-1</v>
      </c>
    </row>
    <row r="69" spans="1:26" s="24" customFormat="1" hidden="1" outlineLevel="2" x14ac:dyDescent="0.25">
      <c r="A69" s="28"/>
      <c r="B69" s="11" t="str">
        <f>CONCATENATE("          ", "6243", " - ", "PAPER SUPPLIES")</f>
        <v xml:space="preserve">          6243 - PAPER SUPPLIES</v>
      </c>
      <c r="C69" s="11"/>
      <c r="D69" s="7"/>
      <c r="E69" s="2"/>
      <c r="F69" s="6">
        <f t="shared" si="54"/>
        <v>0</v>
      </c>
      <c r="G69" s="2"/>
      <c r="H69" s="7">
        <v>152.03</v>
      </c>
      <c r="I69" s="2"/>
      <c r="J69" s="6">
        <f t="shared" si="55"/>
        <v>1.5687851888021571E-3</v>
      </c>
      <c r="K69" s="2"/>
      <c r="L69" s="7">
        <f t="shared" si="56"/>
        <v>-152.03</v>
      </c>
      <c r="M69" s="2"/>
      <c r="N69" s="6">
        <f t="shared" si="57"/>
        <v>-1</v>
      </c>
      <c r="O69" s="11"/>
      <c r="P69" s="7"/>
      <c r="Q69" s="2"/>
      <c r="R69" s="6">
        <f t="shared" si="58"/>
        <v>0</v>
      </c>
      <c r="S69" s="2"/>
      <c r="T69" s="7">
        <v>345.08</v>
      </c>
      <c r="U69" s="2"/>
      <c r="V69" s="6">
        <f t="shared" si="59"/>
        <v>2.414547459522849E-3</v>
      </c>
      <c r="W69" s="2"/>
      <c r="X69" s="7">
        <f t="shared" si="60"/>
        <v>-345.08</v>
      </c>
      <c r="Y69" s="2"/>
      <c r="Z69" s="6">
        <f t="shared" si="61"/>
        <v>-1</v>
      </c>
    </row>
    <row r="70" spans="1:26" s="24" customFormat="1" hidden="1" outlineLevel="2" x14ac:dyDescent="0.25">
      <c r="A70" s="28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54"/>
        <v>0</v>
      </c>
      <c r="G70" s="2"/>
      <c r="H70" s="7">
        <v>5433.65</v>
      </c>
      <c r="I70" s="2"/>
      <c r="J70" s="6">
        <f t="shared" si="55"/>
        <v>5.6069391838024341E-2</v>
      </c>
      <c r="K70" s="2"/>
      <c r="L70" s="7">
        <f t="shared" si="56"/>
        <v>-5433.65</v>
      </c>
      <c r="M70" s="2"/>
      <c r="N70" s="6">
        <f t="shared" si="57"/>
        <v>-1</v>
      </c>
      <c r="O70" s="11"/>
      <c r="P70" s="7"/>
      <c r="Q70" s="2"/>
      <c r="R70" s="6">
        <f t="shared" si="58"/>
        <v>0</v>
      </c>
      <c r="S70" s="2"/>
      <c r="T70" s="7">
        <v>6045.84</v>
      </c>
      <c r="U70" s="2"/>
      <c r="V70" s="6">
        <f t="shared" si="59"/>
        <v>4.230314017816629E-2</v>
      </c>
      <c r="W70" s="2"/>
      <c r="X70" s="7">
        <f t="shared" si="60"/>
        <v>-6045.84</v>
      </c>
      <c r="Y70" s="2"/>
      <c r="Z70" s="6">
        <f t="shared" si="61"/>
        <v>-1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40</v>
      </c>
      <c r="E71" s="1"/>
      <c r="F71" s="5">
        <f t="shared" ref="F71:F74" si="62">IF(D$12=0,0,D71/D$12)</f>
        <v>0</v>
      </c>
      <c r="G71" s="1"/>
      <c r="H71" s="1">
        <f>SUM(OSRRefH22_14x_0)</f>
        <v>40</v>
      </c>
      <c r="I71" s="1"/>
      <c r="J71" s="5">
        <f t="shared" ref="J71:J74" si="63">IF(H$12=0,0,H71/H$12)</f>
        <v>4.1275674243298224E-4</v>
      </c>
      <c r="K71" s="1"/>
      <c r="L71" s="1">
        <f t="shared" ref="L71:L74" si="64">+D71-H71</f>
        <v>0</v>
      </c>
      <c r="M71" s="1"/>
      <c r="N71" s="5">
        <f t="shared" ref="N71:N74" si="65">IF(H71=0,0,L71/H71)</f>
        <v>0</v>
      </c>
      <c r="O71" s="14"/>
      <c r="P71" s="1">
        <f>SUM(OSRRefP22_14x_0)</f>
        <v>116</v>
      </c>
      <c r="Q71" s="1"/>
      <c r="R71" s="5">
        <f t="shared" ref="R71:R74" si="66">IF(P$12=0,0,P71/P$12)</f>
        <v>0</v>
      </c>
      <c r="S71" s="1"/>
      <c r="T71" s="1">
        <f>SUM(OSRRefT22_14x_0)</f>
        <v>117.45</v>
      </c>
      <c r="U71" s="1"/>
      <c r="V71" s="5">
        <f t="shared" ref="V71:V74" si="67">IF(T$12=0,0,T71/T$12)</f>
        <v>8.2180537591560983E-4</v>
      </c>
      <c r="W71" s="1"/>
      <c r="X71" s="1">
        <f t="shared" ref="X71:X74" si="68">+P71-T71</f>
        <v>-1.4500000000000028</v>
      </c>
      <c r="Y71" s="1"/>
      <c r="Z71" s="5">
        <f t="shared" ref="Z71:Z74" si="69">IF(T71=0,0,X71/T71)</f>
        <v>-1.2345679012345703E-2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>
        <v>40</v>
      </c>
      <c r="E72" s="2"/>
      <c r="F72" s="6">
        <f t="shared" si="62"/>
        <v>0</v>
      </c>
      <c r="G72" s="2"/>
      <c r="H72" s="7">
        <v>40</v>
      </c>
      <c r="I72" s="2"/>
      <c r="J72" s="6">
        <f t="shared" si="63"/>
        <v>4.1275674243298224E-4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>
        <v>116</v>
      </c>
      <c r="Q72" s="2"/>
      <c r="R72" s="6">
        <f t="shared" si="66"/>
        <v>0</v>
      </c>
      <c r="S72" s="2"/>
      <c r="T72" s="7">
        <v>117.45</v>
      </c>
      <c r="U72" s="2"/>
      <c r="V72" s="6">
        <f t="shared" si="67"/>
        <v>8.2180537591560983E-4</v>
      </c>
      <c r="W72" s="2"/>
      <c r="X72" s="7">
        <f t="shared" si="68"/>
        <v>-1.4500000000000028</v>
      </c>
      <c r="Y72" s="2"/>
      <c r="Z72" s="6">
        <f t="shared" si="69"/>
        <v>-1.2345679012345703E-2</v>
      </c>
    </row>
    <row r="73" spans="1:26" s="27" customFormat="1" outlineLevel="1" collapsed="1" x14ac:dyDescent="0.25">
      <c r="A73" s="29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SUM(OSRRefD22_15x_0)</f>
        <v>0</v>
      </c>
      <c r="E73" s="1"/>
      <c r="F73" s="5">
        <f t="shared" si="62"/>
        <v>0</v>
      </c>
      <c r="G73" s="1"/>
      <c r="H73" s="1">
        <f>SUM(OSRRefH22_15x_0)</f>
        <v>771</v>
      </c>
      <c r="I73" s="1"/>
      <c r="J73" s="5">
        <f t="shared" si="63"/>
        <v>7.9558862103957326E-3</v>
      </c>
      <c r="K73" s="1"/>
      <c r="L73" s="1">
        <f t="shared" si="64"/>
        <v>-771</v>
      </c>
      <c r="M73" s="1"/>
      <c r="N73" s="5">
        <f t="shared" si="65"/>
        <v>-1</v>
      </c>
      <c r="O73" s="14"/>
      <c r="P73" s="1">
        <f>SUM(OSRRefP22_15x_0)</f>
        <v>0</v>
      </c>
      <c r="Q73" s="1"/>
      <c r="R73" s="5">
        <f t="shared" si="66"/>
        <v>0</v>
      </c>
      <c r="S73" s="1"/>
      <c r="T73" s="1">
        <f>SUM(OSRRefT22_15x_0)</f>
        <v>1542</v>
      </c>
      <c r="U73" s="1"/>
      <c r="V73" s="5">
        <f t="shared" si="67"/>
        <v>1.0789475433476973E-2</v>
      </c>
      <c r="W73" s="1"/>
      <c r="X73" s="1">
        <f t="shared" si="68"/>
        <v>-1542</v>
      </c>
      <c r="Y73" s="1"/>
      <c r="Z73" s="5">
        <f t="shared" si="69"/>
        <v>-1</v>
      </c>
    </row>
    <row r="74" spans="1:26" s="24" customFormat="1" hidden="1" outlineLevel="2" x14ac:dyDescent="0.25">
      <c r="A74" s="28"/>
      <c r="B74" s="11" t="str">
        <f>CONCATENATE("          ", "6274", " - ", "UTILITIES")</f>
        <v xml:space="preserve">          6274 - UTILITIES</v>
      </c>
      <c r="C74" s="11"/>
      <c r="D74" s="7"/>
      <c r="E74" s="2"/>
      <c r="F74" s="6">
        <f t="shared" si="62"/>
        <v>0</v>
      </c>
      <c r="G74" s="2"/>
      <c r="H74" s="7">
        <v>771</v>
      </c>
      <c r="I74" s="2"/>
      <c r="J74" s="6">
        <f t="shared" si="63"/>
        <v>7.9558862103957326E-3</v>
      </c>
      <c r="K74" s="2"/>
      <c r="L74" s="7">
        <f t="shared" si="64"/>
        <v>-771</v>
      </c>
      <c r="M74" s="2"/>
      <c r="N74" s="6">
        <f t="shared" si="65"/>
        <v>-1</v>
      </c>
      <c r="O74" s="11"/>
      <c r="P74" s="7"/>
      <c r="Q74" s="2"/>
      <c r="R74" s="6">
        <f t="shared" si="66"/>
        <v>0</v>
      </c>
      <c r="S74" s="2"/>
      <c r="T74" s="7">
        <v>1542</v>
      </c>
      <c r="U74" s="2"/>
      <c r="V74" s="6">
        <f t="shared" si="67"/>
        <v>1.0789475433476973E-2</v>
      </c>
      <c r="W74" s="2"/>
      <c r="X74" s="7">
        <f t="shared" si="68"/>
        <v>-1542</v>
      </c>
      <c r="Y74" s="2"/>
      <c r="Z74" s="6">
        <f t="shared" si="69"/>
        <v>-1</v>
      </c>
    </row>
    <row r="75" spans="1:26" s="60" customFormat="1" x14ac:dyDescent="0.25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6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5" t="s">
        <v>3</v>
      </c>
      <c r="C78" s="25"/>
      <c r="D78" s="22">
        <f>+D20-D22+D76</f>
        <v>-10652.890000000001</v>
      </c>
      <c r="E78" s="13"/>
      <c r="F78" s="21">
        <f>IF(D$12=0,0,D78/D$12)</f>
        <v>0</v>
      </c>
      <c r="G78" s="13"/>
      <c r="H78" s="22">
        <f>+H20-H22+H76</f>
        <v>19276.760000000002</v>
      </c>
      <c r="I78" s="13"/>
      <c r="J78" s="21">
        <f>IF(H$12=0,0,H78/H$12)</f>
        <v>0.19891531655656039</v>
      </c>
      <c r="K78" s="15"/>
      <c r="L78" s="22">
        <f>+D78-H78</f>
        <v>-29929.65</v>
      </c>
      <c r="M78" s="15"/>
      <c r="N78" s="21">
        <f>IF(H78=0,0,L78/H78)</f>
        <v>-1.5526286575129844</v>
      </c>
      <c r="O78" s="26"/>
      <c r="P78" s="22">
        <f>+P20-P22+P76</f>
        <v>-34387.060000000005</v>
      </c>
      <c r="Q78" s="13"/>
      <c r="R78" s="21">
        <f>IF(P$12=0,0,P78/P$12)</f>
        <v>0</v>
      </c>
      <c r="S78" s="13"/>
      <c r="T78" s="22">
        <f>+T20-T22+T76</f>
        <v>-4297.5800000000163</v>
      </c>
      <c r="U78" s="13"/>
      <c r="V78" s="21">
        <f>IF(T$12=0,0,T78/T$12)</f>
        <v>-3.0070449956810727E-2</v>
      </c>
      <c r="W78" s="15"/>
      <c r="X78" s="22">
        <f>+P78-T78</f>
        <v>-30089.479999999989</v>
      </c>
      <c r="Y78" s="15"/>
      <c r="Z78" s="21">
        <f>IF(T78=0,0,X78/T78)</f>
        <v>7.0014938639885411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1"/>
      <c r="B80" s="10" t="s">
        <v>13</v>
      </c>
      <c r="C80" s="10"/>
      <c r="D80" s="4"/>
      <c r="E80" s="4"/>
      <c r="F80" s="12">
        <f>IF(D$12=0,0,D80/D$12)</f>
        <v>0</v>
      </c>
      <c r="G80" s="4"/>
      <c r="H80" s="4">
        <v>9614.86</v>
      </c>
      <c r="I80" s="4"/>
      <c r="J80" s="12">
        <f>IF(H$12=0,0,H80/H$12)</f>
        <v>9.921495731372959E-2</v>
      </c>
      <c r="K80" s="4"/>
      <c r="L80" s="4">
        <f>+D80-H80</f>
        <v>-9614.86</v>
      </c>
      <c r="M80" s="4"/>
      <c r="N80" s="12">
        <f>IF(H80=0,0,L80/H80)</f>
        <v>-1</v>
      </c>
      <c r="O80" s="10"/>
      <c r="P80" s="4"/>
      <c r="Q80" s="4"/>
      <c r="R80" s="12">
        <f>IF(P$12=0,0,P80/P$12)</f>
        <v>0</v>
      </c>
      <c r="S80" s="4"/>
      <c r="T80" s="4">
        <v>15351.18</v>
      </c>
      <c r="U80" s="4"/>
      <c r="V80" s="12">
        <f>IF(T$12=0,0,T80/T$12)</f>
        <v>0.10741321626775813</v>
      </c>
      <c r="W80" s="4"/>
      <c r="X80" s="4">
        <f>+P80-T80</f>
        <v>-15351.18</v>
      </c>
      <c r="Y80" s="4"/>
      <c r="Z80" s="12">
        <f>IF(T80=0,0,X80/T80)</f>
        <v>-1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4</v>
      </c>
      <c r="C82" s="25"/>
      <c r="D82" s="33">
        <f>+D78-D80</f>
        <v>-10652.890000000001</v>
      </c>
      <c r="E82" s="13"/>
      <c r="F82" s="32">
        <f>IF(D$12=0,0,D82/D$12)</f>
        <v>0</v>
      </c>
      <c r="G82" s="13"/>
      <c r="H82" s="33">
        <f>+H78-H80</f>
        <v>9661.9000000000015</v>
      </c>
      <c r="I82" s="13"/>
      <c r="J82" s="32">
        <f>IF(H$12=0,0,H82/H$12)</f>
        <v>9.9700359242830786E-2</v>
      </c>
      <c r="K82" s="15"/>
      <c r="L82" s="33">
        <f>D82-H82</f>
        <v>-20314.79</v>
      </c>
      <c r="M82" s="15"/>
      <c r="N82" s="32">
        <f>IF(H82=0,0,L82/H82)</f>
        <v>-2.1025667829308934</v>
      </c>
      <c r="O82" s="26"/>
      <c r="P82" s="33">
        <f>+P78-P80</f>
        <v>-34387.060000000005</v>
      </c>
      <c r="Q82" s="13"/>
      <c r="R82" s="32">
        <f>IF(P$12=0,0,P82/P$12)</f>
        <v>0</v>
      </c>
      <c r="S82" s="13"/>
      <c r="T82" s="33">
        <f>+T78-T80</f>
        <v>-19648.760000000017</v>
      </c>
      <c r="U82" s="13"/>
      <c r="V82" s="32">
        <f>IF(T$12=0,0,T82/T$12)</f>
        <v>-0.13748366622456887</v>
      </c>
      <c r="W82" s="15"/>
      <c r="X82" s="33">
        <f>P82-T82</f>
        <v>-14738.299999999988</v>
      </c>
      <c r="Y82" s="15"/>
      <c r="Z82" s="32">
        <f>IF(T82=0,0,X82/T82)</f>
        <v>0.7500880462685674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5" t="s">
        <v>5</v>
      </c>
      <c r="C85" s="25"/>
      <c r="D85" s="34">
        <f>SUM(D82:D84)</f>
        <v>-10652.890000000001</v>
      </c>
      <c r="E85" s="13"/>
      <c r="F85" s="31">
        <f>IF(D$12=0,0,D85/D$12)</f>
        <v>0</v>
      </c>
      <c r="G85" s="13"/>
      <c r="H85" s="34">
        <f>SUM(H82:H84)</f>
        <v>9661.9000000000015</v>
      </c>
      <c r="I85" s="13"/>
      <c r="J85" s="31">
        <f>IF(H$12=0,0,H85/H$12)</f>
        <v>9.9700359242830786E-2</v>
      </c>
      <c r="K85" s="15"/>
      <c r="L85" s="34">
        <f>+D85-H85</f>
        <v>-20314.79</v>
      </c>
      <c r="M85" s="15"/>
      <c r="N85" s="31">
        <f>IF(H85=0,0,L85/H85)</f>
        <v>-2.1025667829308934</v>
      </c>
      <c r="O85" s="26"/>
      <c r="P85" s="34">
        <f>SUM(P82:P84)</f>
        <v>-34387.060000000005</v>
      </c>
      <c r="Q85" s="13"/>
      <c r="R85" s="31">
        <f>IF(P$12=0,0,P85/P$12)</f>
        <v>0</v>
      </c>
      <c r="S85" s="13"/>
      <c r="T85" s="34">
        <f>SUM(T82:T84)</f>
        <v>-19648.760000000017</v>
      </c>
      <c r="U85" s="13"/>
      <c r="V85" s="31">
        <f>IF(T$12=0,0,T85/T$12)</f>
        <v>-0.13748366622456887</v>
      </c>
      <c r="W85" s="15"/>
      <c r="X85" s="34">
        <f>+P85-T85</f>
        <v>-14738.299999999988</v>
      </c>
      <c r="Y85" s="15"/>
      <c r="Z85" s="31">
        <f>IF(T85=0,0,X85/T85)</f>
        <v>0.7500880462685674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A87" s="9"/>
      <c r="B87" s="54">
        <v>44123.565447569446</v>
      </c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  <row r="88" spans="1:26" x14ac:dyDescent="0.25">
      <c r="A88" s="9"/>
      <c r="B88" s="59" t="s">
        <v>313</v>
      </c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8"/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1942</v>
      </c>
      <c r="I12" s="4"/>
      <c r="J12" s="12"/>
      <c r="K12" s="4"/>
      <c r="L12" s="4">
        <f t="shared" ref="L12:L13" si="0">+D12-H12</f>
        <v>-1942</v>
      </c>
      <c r="M12" s="4"/>
      <c r="N12" s="12">
        <f t="shared" ref="N12:N13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2406.5</v>
      </c>
      <c r="U12" s="4"/>
      <c r="V12" s="12"/>
      <c r="W12" s="4"/>
      <c r="X12" s="4">
        <f t="shared" ref="X12:X13" si="2">+P12-T12</f>
        <v>-2296.5</v>
      </c>
      <c r="Y12" s="4"/>
      <c r="Z12" s="12">
        <f t="shared" ref="Z12:Z13" si="3">IF(T12=0,0,X12/T12)</f>
        <v>-0.95429046332848533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0</f>
        <v>0</v>
      </c>
      <c r="E13" s="2"/>
      <c r="F13" s="19"/>
      <c r="G13" s="2"/>
      <c r="H13" s="2">
        <f>--1942</f>
        <v>1942</v>
      </c>
      <c r="I13" s="2"/>
      <c r="J13" s="19"/>
      <c r="K13" s="2"/>
      <c r="L13" s="2">
        <f t="shared" si="0"/>
        <v>-1942</v>
      </c>
      <c r="M13" s="2"/>
      <c r="N13" s="19">
        <f t="shared" si="1"/>
        <v>-1</v>
      </c>
      <c r="O13" s="11"/>
      <c r="P13" s="2">
        <f>--110</f>
        <v>110</v>
      </c>
      <c r="Q13" s="2"/>
      <c r="R13" s="19"/>
      <c r="S13" s="2"/>
      <c r="T13" s="2">
        <f>--2406.5</f>
        <v>2406.5</v>
      </c>
      <c r="U13" s="2"/>
      <c r="V13" s="19"/>
      <c r="W13" s="2"/>
      <c r="X13" s="2">
        <f t="shared" si="2"/>
        <v>-2296.5</v>
      </c>
      <c r="Y13" s="2"/>
      <c r="Z13" s="19">
        <f t="shared" si="3"/>
        <v>-0.95429046332848533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381</v>
      </c>
      <c r="I15" s="4"/>
      <c r="J15" s="12">
        <f t="shared" ref="J15:J16" si="5">IF(H$12=0,0,H15/H$12)</f>
        <v>0.19618949536560248</v>
      </c>
      <c r="K15" s="4"/>
      <c r="L15" s="4">
        <f t="shared" ref="L15:L16" si="6">+D15-H15</f>
        <v>-381</v>
      </c>
      <c r="M15" s="4"/>
      <c r="N15" s="12">
        <f t="shared" ref="N15:N16" si="7">IF(H15=0,0,L15/H15)</f>
        <v>-1</v>
      </c>
      <c r="O15" s="10"/>
      <c r="P15" s="4">
        <f>SUM(OSRRefP16x_0)</f>
        <v>68.91</v>
      </c>
      <c r="Q15" s="4"/>
      <c r="R15" s="12">
        <f t="shared" ref="R15:R16" si="8">IF(P$12=0,0,P15/P$12)</f>
        <v>0.62645454545454538</v>
      </c>
      <c r="S15" s="4"/>
      <c r="T15" s="4">
        <f>SUM(OSRRefT16x_0)</f>
        <v>869.96</v>
      </c>
      <c r="U15" s="4"/>
      <c r="V15" s="12">
        <f t="shared" ref="V15:V16" si="9">IF(T$12=0,0,T15/T$12)</f>
        <v>0.36150425929773533</v>
      </c>
      <c r="W15" s="4"/>
      <c r="X15" s="4">
        <f t="shared" ref="X15:X16" si="10">+P15-T15</f>
        <v>-801.05000000000007</v>
      </c>
      <c r="Y15" s="4"/>
      <c r="Z15" s="12">
        <f t="shared" ref="Z15:Z16" si="11">IF(T15=0,0,X15/T15)</f>
        <v>-0.92078946158444075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/>
      <c r="E16" s="2"/>
      <c r="F16" s="19">
        <f t="shared" si="4"/>
        <v>0</v>
      </c>
      <c r="G16" s="2"/>
      <c r="H16" s="2">
        <v>381</v>
      </c>
      <c r="I16" s="2"/>
      <c r="J16" s="19">
        <f t="shared" si="5"/>
        <v>0.19618949536560248</v>
      </c>
      <c r="K16" s="2"/>
      <c r="L16" s="2">
        <f t="shared" si="6"/>
        <v>-381</v>
      </c>
      <c r="M16" s="2"/>
      <c r="N16" s="19">
        <f t="shared" si="7"/>
        <v>-1</v>
      </c>
      <c r="O16" s="11"/>
      <c r="P16" s="2">
        <v>68.91</v>
      </c>
      <c r="Q16" s="2"/>
      <c r="R16" s="19">
        <f t="shared" si="8"/>
        <v>0.62645454545454538</v>
      </c>
      <c r="S16" s="2"/>
      <c r="T16" s="2">
        <v>869.96</v>
      </c>
      <c r="U16" s="2"/>
      <c r="V16" s="19">
        <f t="shared" si="9"/>
        <v>0.36150425929773533</v>
      </c>
      <c r="W16" s="2"/>
      <c r="X16" s="2">
        <f t="shared" si="10"/>
        <v>-801.05000000000007</v>
      </c>
      <c r="Y16" s="2"/>
      <c r="Z16" s="19">
        <f t="shared" si="11"/>
        <v>-0.92078946158444075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>
        <f>D12-D15</f>
        <v>0</v>
      </c>
      <c r="E18" s="13"/>
      <c r="F18" s="21">
        <f>IF(D$12=0,0,D18/D$12)</f>
        <v>0</v>
      </c>
      <c r="G18" s="13"/>
      <c r="H18" s="22">
        <f>H12-H15</f>
        <v>1561</v>
      </c>
      <c r="I18" s="13"/>
      <c r="J18" s="21">
        <f>IF(H$12=0,0,H18/H$12)</f>
        <v>0.80381050463439752</v>
      </c>
      <c r="K18" s="15"/>
      <c r="L18" s="22">
        <f>+D18-H18</f>
        <v>-1561</v>
      </c>
      <c r="M18" s="15"/>
      <c r="N18" s="21">
        <f>IF(H18=0,0,L18/H18)</f>
        <v>-1</v>
      </c>
      <c r="O18" s="26"/>
      <c r="P18" s="22">
        <f>P12-P15</f>
        <v>41.09</v>
      </c>
      <c r="Q18" s="13"/>
      <c r="R18" s="21">
        <f>IF(P$12=0,0,P18/P$12)</f>
        <v>0.37354545454545457</v>
      </c>
      <c r="S18" s="13"/>
      <c r="T18" s="22">
        <f>T12-T15</f>
        <v>1536.54</v>
      </c>
      <c r="U18" s="13"/>
      <c r="V18" s="21">
        <f>IF(T$12=0,0,T18/T$12)</f>
        <v>0.63849574070226467</v>
      </c>
      <c r="W18" s="15"/>
      <c r="X18" s="22">
        <f>+P18-T18</f>
        <v>-1495.45</v>
      </c>
      <c r="Y18" s="15"/>
      <c r="Z18" s="21">
        <f>IF(T18=0,0,X18/T18)</f>
        <v>-0.9732580993661083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>
        <f>SUM(OSRRefD22x_0)</f>
        <v>0</v>
      </c>
      <c r="E20" s="20"/>
      <c r="F20" s="36">
        <f t="shared" ref="F20:F22" si="12">IF(D$12=0,0,D20/D$12)</f>
        <v>0</v>
      </c>
      <c r="G20" s="20"/>
      <c r="H20" s="20">
        <f>SUM(OSRRefH22x_0)</f>
        <v>109.89</v>
      </c>
      <c r="I20" s="20"/>
      <c r="J20" s="36">
        <f t="shared" ref="J20:J22" si="13">IF(H$12=0,0,H20/H$12)</f>
        <v>5.6585993820803294E-2</v>
      </c>
      <c r="K20" s="4"/>
      <c r="L20" s="20">
        <f t="shared" ref="L20:L22" si="14">+D20-H20</f>
        <v>-109.89</v>
      </c>
      <c r="M20" s="4"/>
      <c r="N20" s="36">
        <f t="shared" ref="N20:N22" si="15">IF(H20=0,0,L20/H20)</f>
        <v>-1</v>
      </c>
      <c r="O20" s="10"/>
      <c r="P20" s="20">
        <f>SUM(OSRRefP22x_0)</f>
        <v>0</v>
      </c>
      <c r="Q20" s="20"/>
      <c r="R20" s="36">
        <f t="shared" ref="R20:R22" si="16">IF(P$12=0,0,P20/P$12)</f>
        <v>0</v>
      </c>
      <c r="S20" s="20"/>
      <c r="T20" s="20">
        <f>SUM(OSRRefT22x_0)</f>
        <v>217.74</v>
      </c>
      <c r="U20" s="20"/>
      <c r="V20" s="36">
        <f t="shared" ref="V20:V22" si="17">IF(T$12=0,0,T20/T$12)</f>
        <v>9.0479950135050904E-2</v>
      </c>
      <c r="W20" s="4"/>
      <c r="X20" s="20">
        <f t="shared" ref="X20:X22" si="18">+P20-T20</f>
        <v>-217.74</v>
      </c>
      <c r="Y20" s="4"/>
      <c r="Z20" s="36">
        <f t="shared" ref="Z20:Z22" si="19">IF(T20=0,0,X20/T20)</f>
        <v>-1</v>
      </c>
    </row>
    <row r="21" spans="1:26" s="27" customFormat="1" outlineLevel="1" collapsed="1" x14ac:dyDescent="0.25">
      <c r="A21" s="29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109.89</v>
      </c>
      <c r="I21" s="1"/>
      <c r="J21" s="5">
        <f t="shared" si="13"/>
        <v>5.6585993820803294E-2</v>
      </c>
      <c r="K21" s="1"/>
      <c r="L21" s="1">
        <f t="shared" si="14"/>
        <v>-109.89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217.74</v>
      </c>
      <c r="U21" s="1"/>
      <c r="V21" s="5">
        <f t="shared" si="17"/>
        <v>9.0479950135050904E-2</v>
      </c>
      <c r="W21" s="1"/>
      <c r="X21" s="1">
        <f t="shared" si="18"/>
        <v>-217.74</v>
      </c>
      <c r="Y21" s="1"/>
      <c r="Z21" s="5">
        <f t="shared" si="19"/>
        <v>-1</v>
      </c>
    </row>
    <row r="22" spans="1:26" s="24" customFormat="1" hidden="1" outlineLevel="2" x14ac:dyDescent="0.25">
      <c r="A22" s="28"/>
      <c r="B22" s="11" t="str">
        <f>CONCATENATE("          ", "6381", " - ", "BANK/CREDIT CARD FEES")</f>
        <v xml:space="preserve">          6381 - BANK/CREDIT CARD FEES</v>
      </c>
      <c r="C22" s="11"/>
      <c r="D22" s="7"/>
      <c r="E22" s="2"/>
      <c r="F22" s="6">
        <f t="shared" si="12"/>
        <v>0</v>
      </c>
      <c r="G22" s="2"/>
      <c r="H22" s="7">
        <v>109.89</v>
      </c>
      <c r="I22" s="2"/>
      <c r="J22" s="6">
        <f t="shared" si="13"/>
        <v>5.6585993820803294E-2</v>
      </c>
      <c r="K22" s="2"/>
      <c r="L22" s="7">
        <f t="shared" si="14"/>
        <v>-109.89</v>
      </c>
      <c r="M22" s="2"/>
      <c r="N22" s="6">
        <f t="shared" si="15"/>
        <v>-1</v>
      </c>
      <c r="O22" s="11"/>
      <c r="P22" s="7"/>
      <c r="Q22" s="2"/>
      <c r="R22" s="6">
        <f t="shared" si="16"/>
        <v>0</v>
      </c>
      <c r="S22" s="2"/>
      <c r="T22" s="7">
        <v>217.74</v>
      </c>
      <c r="U22" s="2"/>
      <c r="V22" s="6">
        <f t="shared" si="17"/>
        <v>9.0479950135050904E-2</v>
      </c>
      <c r="W22" s="2"/>
      <c r="X22" s="7">
        <f t="shared" si="18"/>
        <v>-217.74</v>
      </c>
      <c r="Y22" s="2"/>
      <c r="Z22" s="6">
        <f t="shared" si="19"/>
        <v>-1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6" t="s">
        <v>0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3</v>
      </c>
      <c r="C26" s="25"/>
      <c r="D26" s="22">
        <f>+D18-D20+D24</f>
        <v>0</v>
      </c>
      <c r="E26" s="13"/>
      <c r="F26" s="21">
        <f>IF(D$12=0,0,D26/D$12)</f>
        <v>0</v>
      </c>
      <c r="G26" s="13"/>
      <c r="H26" s="22">
        <f>+H18-H20+H24</f>
        <v>1451.11</v>
      </c>
      <c r="I26" s="13"/>
      <c r="J26" s="21">
        <f>IF(H$12=0,0,H26/H$12)</f>
        <v>0.7472245108135942</v>
      </c>
      <c r="K26" s="15"/>
      <c r="L26" s="22">
        <f>+D26-H26</f>
        <v>-1451.11</v>
      </c>
      <c r="M26" s="15"/>
      <c r="N26" s="21">
        <f>IF(H26=0,0,L26/H26)</f>
        <v>-1</v>
      </c>
      <c r="O26" s="26"/>
      <c r="P26" s="22">
        <f>+P18-P20+P24</f>
        <v>41.09</v>
      </c>
      <c r="Q26" s="13"/>
      <c r="R26" s="21">
        <f>IF(P$12=0,0,P26/P$12)</f>
        <v>0.37354545454545457</v>
      </c>
      <c r="S26" s="13"/>
      <c r="T26" s="22">
        <f>+T18-T20+T24</f>
        <v>1318.8</v>
      </c>
      <c r="U26" s="13"/>
      <c r="V26" s="21">
        <f>IF(T$12=0,0,T26/T$12)</f>
        <v>0.54801579056721372</v>
      </c>
      <c r="W26" s="15"/>
      <c r="X26" s="22">
        <f>+P26-T26</f>
        <v>-1277.71</v>
      </c>
      <c r="Y26" s="15"/>
      <c r="Z26" s="21">
        <f>IF(T26=0,0,X26/T26)</f>
        <v>-0.96884288747346081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13</v>
      </c>
      <c r="C28" s="10"/>
      <c r="D28" s="4">
        <v>1.81</v>
      </c>
      <c r="E28" s="4"/>
      <c r="F28" s="12">
        <f>IF(D$12=0,0,D28/D$12)</f>
        <v>0</v>
      </c>
      <c r="G28" s="4"/>
      <c r="H28" s="4">
        <v>200.58</v>
      </c>
      <c r="I28" s="4"/>
      <c r="J28" s="12">
        <f>IF(H$12=0,0,H28/H$12)</f>
        <v>0.10328527291452112</v>
      </c>
      <c r="K28" s="4"/>
      <c r="L28" s="4">
        <f>+D28-H28</f>
        <v>-198.77</v>
      </c>
      <c r="M28" s="4"/>
      <c r="N28" s="12">
        <f>IF(H28=0,0,L28/H28)</f>
        <v>-0.99097616910958219</v>
      </c>
      <c r="O28" s="10"/>
      <c r="P28" s="4">
        <v>20.38</v>
      </c>
      <c r="Q28" s="4"/>
      <c r="R28" s="12">
        <f>IF(P$12=0,0,P28/P$12)</f>
        <v>0.18527272727272726</v>
      </c>
      <c r="S28" s="4"/>
      <c r="T28" s="4">
        <v>258.49</v>
      </c>
      <c r="U28" s="4"/>
      <c r="V28" s="12">
        <f>IF(T$12=0,0,T28/T$12)</f>
        <v>0.10741325576563475</v>
      </c>
      <c r="W28" s="4"/>
      <c r="X28" s="4">
        <f>+P28-T28</f>
        <v>-238.11</v>
      </c>
      <c r="Y28" s="4"/>
      <c r="Z28" s="12">
        <f>IF(T28=0,0,X28/T28)</f>
        <v>-0.921157491585748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5" t="s">
        <v>4</v>
      </c>
      <c r="C30" s="25"/>
      <c r="D30" s="33">
        <f>+D26-D28</f>
        <v>-1.81</v>
      </c>
      <c r="E30" s="13"/>
      <c r="F30" s="32">
        <f>IF(D$12=0,0,D30/D$12)</f>
        <v>0</v>
      </c>
      <c r="G30" s="13"/>
      <c r="H30" s="33">
        <f>+H26-H28</f>
        <v>1250.53</v>
      </c>
      <c r="I30" s="13"/>
      <c r="J30" s="32">
        <f>IF(H$12=0,0,H30/H$12)</f>
        <v>0.64393923789907315</v>
      </c>
      <c r="K30" s="15"/>
      <c r="L30" s="33">
        <f>D30-H30</f>
        <v>-1252.3399999999999</v>
      </c>
      <c r="M30" s="15"/>
      <c r="N30" s="32">
        <f>IF(H30=0,0,L30/H30)</f>
        <v>-1.0014473863082052</v>
      </c>
      <c r="O30" s="26"/>
      <c r="P30" s="33">
        <f>+P26-P28</f>
        <v>20.710000000000004</v>
      </c>
      <c r="Q30" s="13"/>
      <c r="R30" s="32">
        <f>IF(P$12=0,0,P30/P$12)</f>
        <v>0.18827272727272731</v>
      </c>
      <c r="S30" s="13"/>
      <c r="T30" s="33">
        <f>+T26-T28</f>
        <v>1060.31</v>
      </c>
      <c r="U30" s="13"/>
      <c r="V30" s="32">
        <f>IF(T$12=0,0,T30/T$12)</f>
        <v>0.44060253480157902</v>
      </c>
      <c r="W30" s="15"/>
      <c r="X30" s="33">
        <f>P30-T30</f>
        <v>-1039.5999999999999</v>
      </c>
      <c r="Y30" s="15"/>
      <c r="Z30" s="32">
        <f>IF(T30=0,0,X30/T30)</f>
        <v>-0.98046797634654015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5" t="s">
        <v>5</v>
      </c>
      <c r="C33" s="25"/>
      <c r="D33" s="34">
        <f>SUM(D30:D32)</f>
        <v>-1.81</v>
      </c>
      <c r="E33" s="13"/>
      <c r="F33" s="31">
        <f>IF(D$12=0,0,D33/D$12)</f>
        <v>0</v>
      </c>
      <c r="G33" s="13"/>
      <c r="H33" s="34">
        <f>SUM(H30:H32)</f>
        <v>1250.53</v>
      </c>
      <c r="I33" s="13"/>
      <c r="J33" s="31">
        <f>IF(H$12=0,0,H33/H$12)</f>
        <v>0.64393923789907315</v>
      </c>
      <c r="K33" s="15"/>
      <c r="L33" s="34">
        <f>+D33-H33</f>
        <v>-1252.3399999999999</v>
      </c>
      <c r="M33" s="15"/>
      <c r="N33" s="31">
        <f>IF(H33=0,0,L33/H33)</f>
        <v>-1.0014473863082052</v>
      </c>
      <c r="O33" s="26"/>
      <c r="P33" s="34">
        <f>SUM(P30:P32)</f>
        <v>20.710000000000004</v>
      </c>
      <c r="Q33" s="13"/>
      <c r="R33" s="31">
        <f>IF(P$12=0,0,P33/P$12)</f>
        <v>0.18827272727272731</v>
      </c>
      <c r="S33" s="13"/>
      <c r="T33" s="34">
        <f>SUM(T30:T32)</f>
        <v>1060.31</v>
      </c>
      <c r="U33" s="13"/>
      <c r="V33" s="31">
        <f>IF(T$12=0,0,T33/T$12)</f>
        <v>0.44060253480157902</v>
      </c>
      <c r="W33" s="15"/>
      <c r="X33" s="34">
        <f>+P33-T33</f>
        <v>-1039.5999999999999</v>
      </c>
      <c r="Y33" s="15"/>
      <c r="Z33" s="31">
        <f>IF(T33=0,0,X33/T33)</f>
        <v>-0.98046797634654015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  <row r="35" spans="1:26" x14ac:dyDescent="0.25">
      <c r="A35" s="9"/>
      <c r="B35" s="54">
        <v>44123.565485567131</v>
      </c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59" t="s">
        <v>313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8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","335", " - ", "Customer Service")</f>
        <v>Department 335 - Customer Service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SUM(0)</f>
        <v>0</v>
      </c>
      <c r="E18" s="20"/>
      <c r="F18" s="36">
        <f>IF(D$12=0,0,D18/D$12)</f>
        <v>0</v>
      </c>
      <c r="G18" s="20"/>
      <c r="H18" s="20">
        <f>SUM(0)</f>
        <v>0</v>
      </c>
      <c r="I18" s="20"/>
      <c r="J18" s="36">
        <f>IF(H$12=0,0,H18/H$12)</f>
        <v>0</v>
      </c>
      <c r="K18" s="4"/>
      <c r="L18" s="20">
        <f>+D18-H18</f>
        <v>0</v>
      </c>
      <c r="M18" s="4"/>
      <c r="N18" s="36">
        <f>IF(H18=0,0,L18/H18)</f>
        <v>0</v>
      </c>
      <c r="O18" s="10"/>
      <c r="P18" s="20">
        <f>SUM(0)</f>
        <v>0</v>
      </c>
      <c r="Q18" s="20"/>
      <c r="R18" s="36">
        <f>IF(P$12=0,0,P18/P$12)</f>
        <v>0</v>
      </c>
      <c r="S18" s="20"/>
      <c r="T18" s="20">
        <f>SUM(0)</f>
        <v>0</v>
      </c>
      <c r="U18" s="20"/>
      <c r="V18" s="36">
        <f>IF(T$12=0,0,T18/T$12)</f>
        <v>0</v>
      </c>
      <c r="W18" s="4"/>
      <c r="X18" s="20">
        <f>+P18-T18</f>
        <v>0</v>
      </c>
      <c r="Y18" s="4"/>
      <c r="Z18" s="36">
        <f>IF(T18=0,0,X18/T18)</f>
        <v>0</v>
      </c>
    </row>
    <row r="19" spans="1:26" s="60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5" t="s">
        <v>3</v>
      </c>
      <c r="C22" s="25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5"/>
      <c r="L22" s="22">
        <f>+D22-H22</f>
        <v>0</v>
      </c>
      <c r="M22" s="15"/>
      <c r="N22" s="21">
        <f>IF(H22=0,0,L22/H22)</f>
        <v>0</v>
      </c>
      <c r="O22" s="26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5"/>
      <c r="X22" s="22">
        <f>+P22-T22</f>
        <v>0</v>
      </c>
      <c r="Y22" s="15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5" t="s">
        <v>4</v>
      </c>
      <c r="C26" s="25"/>
      <c r="D26" s="33">
        <f>+D22-D24</f>
        <v>0</v>
      </c>
      <c r="E26" s="13"/>
      <c r="F26" s="32">
        <f>IF(D$12=0,0,D26/D$12)</f>
        <v>0</v>
      </c>
      <c r="G26" s="13"/>
      <c r="H26" s="33">
        <f>+H22-H24</f>
        <v>0</v>
      </c>
      <c r="I26" s="13"/>
      <c r="J26" s="32">
        <f>IF(H$12=0,0,H26/H$12)</f>
        <v>0</v>
      </c>
      <c r="K26" s="15"/>
      <c r="L26" s="33">
        <f>D26-H26</f>
        <v>0</v>
      </c>
      <c r="M26" s="15"/>
      <c r="N26" s="32">
        <f>IF(H26=0,0,L26/H26)</f>
        <v>0</v>
      </c>
      <c r="O26" s="26"/>
      <c r="P26" s="33">
        <f>+P22-P24</f>
        <v>0</v>
      </c>
      <c r="Q26" s="13"/>
      <c r="R26" s="32">
        <f>IF(P$12=0,0,P26/P$12)</f>
        <v>0</v>
      </c>
      <c r="S26" s="13"/>
      <c r="T26" s="33">
        <f>+T22-T24</f>
        <v>0</v>
      </c>
      <c r="U26" s="13"/>
      <c r="V26" s="32">
        <f>IF(T$12=0,0,T26/T$12)</f>
        <v>0</v>
      </c>
      <c r="W26" s="15"/>
      <c r="X26" s="33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5" t="s">
        <v>5</v>
      </c>
      <c r="C29" s="25"/>
      <c r="D29" s="34">
        <f>SUM(D26:D28)</f>
        <v>0</v>
      </c>
      <c r="E29" s="13"/>
      <c r="F29" s="31">
        <f>IF(D$12=0,0,D29/D$12)</f>
        <v>0</v>
      </c>
      <c r="G29" s="13"/>
      <c r="H29" s="34">
        <f>SUM(H26:H28)</f>
        <v>0</v>
      </c>
      <c r="I29" s="13"/>
      <c r="J29" s="31">
        <f>IF(H$12=0,0,H29/H$12)</f>
        <v>0</v>
      </c>
      <c r="K29" s="15"/>
      <c r="L29" s="34">
        <f>+D29-H29</f>
        <v>0</v>
      </c>
      <c r="M29" s="15"/>
      <c r="N29" s="31">
        <f>IF(H29=0,0,L29/H29)</f>
        <v>0</v>
      </c>
      <c r="O29" s="26"/>
      <c r="P29" s="34">
        <f>SUM(P26:P28)</f>
        <v>0</v>
      </c>
      <c r="Q29" s="13"/>
      <c r="R29" s="31">
        <f>IF(P$12=0,0,P29/P$12)</f>
        <v>0</v>
      </c>
      <c r="S29" s="13"/>
      <c r="T29" s="34">
        <f>SUM(T26:T28)</f>
        <v>0</v>
      </c>
      <c r="U29" s="13"/>
      <c r="V29" s="31">
        <f>IF(T$12=0,0,T29/T$12)</f>
        <v>0</v>
      </c>
      <c r="W29" s="15"/>
      <c r="X29" s="34">
        <f>+P29-T29</f>
        <v>0</v>
      </c>
      <c r="Y29" s="15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2"/>
      <c r="K30" s="18"/>
      <c r="L30" s="18"/>
      <c r="M30" s="18"/>
      <c r="P30" s="18"/>
      <c r="Q30" s="18"/>
      <c r="R30" s="42"/>
      <c r="S30" s="18"/>
      <c r="T30" s="18"/>
      <c r="U30" s="18"/>
      <c r="V30" s="42"/>
      <c r="W30" s="18"/>
      <c r="X30" s="18"/>
    </row>
    <row r="31" spans="1:26" x14ac:dyDescent="0.25">
      <c r="A31" s="9"/>
      <c r="B31" s="54">
        <v>44123.565501585646</v>
      </c>
      <c r="D31" s="18"/>
      <c r="E31" s="18"/>
      <c r="G31" s="18"/>
      <c r="H31" s="18"/>
      <c r="I31" s="18"/>
      <c r="J31" s="42"/>
      <c r="K31" s="18"/>
      <c r="L31" s="18"/>
      <c r="M31" s="18"/>
      <c r="P31" s="18"/>
      <c r="Q31" s="18"/>
      <c r="R31" s="42"/>
      <c r="S31" s="18"/>
      <c r="T31" s="18"/>
      <c r="U31" s="18"/>
      <c r="V31" s="42"/>
      <c r="W31" s="18"/>
      <c r="X31" s="18"/>
    </row>
    <row r="32" spans="1:26" x14ac:dyDescent="0.25">
      <c r="A32" s="9"/>
      <c r="B32" s="59" t="s">
        <v>313</v>
      </c>
      <c r="D32" s="18"/>
      <c r="E32" s="18"/>
      <c r="G32" s="18"/>
      <c r="H32" s="18"/>
      <c r="I32" s="18"/>
      <c r="J32" s="42"/>
      <c r="K32" s="18"/>
      <c r="L32" s="18"/>
      <c r="M32" s="18"/>
      <c r="P32" s="18"/>
      <c r="Q32" s="18"/>
      <c r="R32" s="42"/>
      <c r="S32" s="18"/>
      <c r="T32" s="18"/>
      <c r="U32" s="18"/>
      <c r="V32" s="42"/>
      <c r="W32" s="18"/>
      <c r="X32" s="18"/>
    </row>
    <row r="33" spans="1:24" x14ac:dyDescent="0.25">
      <c r="A33" s="9"/>
      <c r="B33" s="58"/>
      <c r="D33" s="18"/>
      <c r="E33" s="18"/>
      <c r="G33" s="18"/>
      <c r="H33" s="18"/>
      <c r="I33" s="18"/>
      <c r="J33" s="42"/>
      <c r="K33" s="18"/>
      <c r="L33" s="18"/>
      <c r="M33" s="18"/>
      <c r="P33" s="18"/>
      <c r="Q33" s="18"/>
      <c r="R33" s="42"/>
      <c r="S33" s="18"/>
      <c r="T33" s="18"/>
      <c r="U33" s="18"/>
      <c r="V33" s="42"/>
      <c r="W33" s="18"/>
      <c r="X33" s="18"/>
    </row>
    <row r="34" spans="1:24" x14ac:dyDescent="0.25">
      <c r="D34" s="18"/>
      <c r="E34" s="18"/>
      <c r="G34" s="18"/>
      <c r="H34" s="18"/>
      <c r="I34" s="18"/>
      <c r="J34" s="42"/>
      <c r="K34" s="18"/>
      <c r="L34" s="18"/>
      <c r="M34" s="18"/>
      <c r="P34" s="18"/>
      <c r="Q34" s="18"/>
      <c r="R34" s="42"/>
      <c r="S34" s="18"/>
      <c r="T34" s="18"/>
      <c r="U34" s="18"/>
      <c r="V34" s="42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231032.62999999998</v>
      </c>
      <c r="E12" s="4"/>
      <c r="F12" s="12"/>
      <c r="G12" s="4"/>
      <c r="H12" s="4">
        <f>SUM(OSRRefH13x_0)</f>
        <v>2172214.0600000005</v>
      </c>
      <c r="I12" s="4"/>
      <c r="J12" s="12"/>
      <c r="K12" s="4"/>
      <c r="L12" s="4">
        <f t="shared" ref="L12:L22" si="0">+D12-H12</f>
        <v>-1941181.4300000006</v>
      </c>
      <c r="M12" s="4"/>
      <c r="N12" s="12">
        <f t="shared" ref="N12:N22" si="1">IF(H12=0,0,L12/H12)</f>
        <v>-0.89364186787373989</v>
      </c>
      <c r="O12" s="10"/>
      <c r="P12" s="4">
        <f>SUM(OSRRefP13x_0)</f>
        <v>305882.48</v>
      </c>
      <c r="Q12" s="4"/>
      <c r="R12" s="12"/>
      <c r="S12" s="4"/>
      <c r="T12" s="4">
        <f>SUM(OSRRefT13x_0)</f>
        <v>3715195.15</v>
      </c>
      <c r="U12" s="4"/>
      <c r="V12" s="12"/>
      <c r="W12" s="4"/>
      <c r="X12" s="4">
        <f t="shared" ref="X12:X22" si="2">+P12-T12</f>
        <v>-3409312.67</v>
      </c>
      <c r="Y12" s="4"/>
      <c r="Z12" s="12">
        <f t="shared" ref="Z12:Z22" si="3">IF(T12=0,0,X12/T12)</f>
        <v>-0.91766718364713629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--4141.96</f>
        <v>4141.96</v>
      </c>
      <c r="E13" s="2"/>
      <c r="F13" s="19"/>
      <c r="G13" s="2"/>
      <c r="H13" s="2">
        <f>--82575.01</f>
        <v>82575.009999999995</v>
      </c>
      <c r="I13" s="2"/>
      <c r="J13" s="19"/>
      <c r="K13" s="2"/>
      <c r="L13" s="2">
        <f t="shared" si="0"/>
        <v>-78433.049999999988</v>
      </c>
      <c r="M13" s="2"/>
      <c r="N13" s="19">
        <f t="shared" si="1"/>
        <v>-0.94984003029487973</v>
      </c>
      <c r="O13" s="11"/>
      <c r="P13" s="2">
        <f>--6652.68</f>
        <v>6652.68</v>
      </c>
      <c r="Q13" s="2"/>
      <c r="R13" s="19"/>
      <c r="S13" s="2"/>
      <c r="T13" s="2">
        <f>--135770.76</f>
        <v>135770.76</v>
      </c>
      <c r="U13" s="2"/>
      <c r="V13" s="19"/>
      <c r="W13" s="2"/>
      <c r="X13" s="2">
        <f t="shared" si="2"/>
        <v>-129118.08000000002</v>
      </c>
      <c r="Y13" s="2"/>
      <c r="Z13" s="19">
        <f t="shared" si="3"/>
        <v>-0.95100064255366923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--113975.81</f>
        <v>113975.81</v>
      </c>
      <c r="I14" s="2"/>
      <c r="J14" s="19"/>
      <c r="K14" s="2"/>
      <c r="L14" s="2">
        <f t="shared" si="0"/>
        <v>-113975.81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--253506.01</f>
        <v>253506.01</v>
      </c>
      <c r="U14" s="2"/>
      <c r="V14" s="19"/>
      <c r="W14" s="2"/>
      <c r="X14" s="2">
        <f t="shared" si="2"/>
        <v>-253506.01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--62.54</f>
        <v>62.54</v>
      </c>
      <c r="E15" s="2"/>
      <c r="F15" s="19"/>
      <c r="G15" s="2"/>
      <c r="H15" s="2">
        <f>--3885.3</f>
        <v>3885.3</v>
      </c>
      <c r="I15" s="2"/>
      <c r="J15" s="19"/>
      <c r="K15" s="2"/>
      <c r="L15" s="2">
        <f t="shared" si="0"/>
        <v>-3822.76</v>
      </c>
      <c r="M15" s="2"/>
      <c r="N15" s="19">
        <f t="shared" si="1"/>
        <v>-0.98390343088049825</v>
      </c>
      <c r="O15" s="11"/>
      <c r="P15" s="2">
        <f>--402.44</f>
        <v>402.44</v>
      </c>
      <c r="Q15" s="2"/>
      <c r="R15" s="19"/>
      <c r="S15" s="2"/>
      <c r="T15" s="2">
        <f>--50166.43</f>
        <v>50166.43</v>
      </c>
      <c r="U15" s="2"/>
      <c r="V15" s="19"/>
      <c r="W15" s="2"/>
      <c r="X15" s="2">
        <f t="shared" si="2"/>
        <v>-49763.99</v>
      </c>
      <c r="Y15" s="2"/>
      <c r="Z15" s="19">
        <f t="shared" si="3"/>
        <v>-0.99197790235422367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7" si="4">0</f>
        <v>0</v>
      </c>
      <c r="E16" s="2"/>
      <c r="F16" s="19"/>
      <c r="G16" s="2"/>
      <c r="H16" s="2">
        <f>--67132.28</f>
        <v>67132.28</v>
      </c>
      <c r="I16" s="2"/>
      <c r="J16" s="19"/>
      <c r="K16" s="2"/>
      <c r="L16" s="2">
        <f t="shared" si="0"/>
        <v>-67132.28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--111115</f>
        <v>111115</v>
      </c>
      <c r="U16" s="2"/>
      <c r="V16" s="19"/>
      <c r="W16" s="2"/>
      <c r="X16" s="2">
        <f t="shared" si="2"/>
        <v>-111115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--24452.76</f>
        <v>24452.76</v>
      </c>
      <c r="I17" s="2"/>
      <c r="J17" s="19"/>
      <c r="K17" s="2"/>
      <c r="L17" s="2">
        <f t="shared" si="0"/>
        <v>-24452.76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--42290.9</f>
        <v>42290.9</v>
      </c>
      <c r="U17" s="2"/>
      <c r="V17" s="19"/>
      <c r="W17" s="2"/>
      <c r="X17" s="2">
        <f t="shared" si="2"/>
        <v>-41315.99</v>
      </c>
      <c r="Y17" s="2"/>
      <c r="Z17" s="19">
        <f t="shared" si="3"/>
        <v>-0.97694752298957921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--223549.77</f>
        <v>223549.77</v>
      </c>
      <c r="E18" s="2"/>
      <c r="F18" s="19"/>
      <c r="G18" s="2"/>
      <c r="H18" s="2">
        <f>--1647621.37</f>
        <v>1647621.37</v>
      </c>
      <c r="I18" s="2"/>
      <c r="J18" s="19"/>
      <c r="K18" s="2"/>
      <c r="L18" s="2">
        <f t="shared" si="0"/>
        <v>-1424071.6</v>
      </c>
      <c r="M18" s="2"/>
      <c r="N18" s="19">
        <f t="shared" si="1"/>
        <v>-0.86431969500371308</v>
      </c>
      <c r="O18" s="11"/>
      <c r="P18" s="2">
        <f>--267608.67</f>
        <v>267608.67</v>
      </c>
      <c r="Q18" s="2"/>
      <c r="R18" s="19"/>
      <c r="S18" s="2"/>
      <c r="T18" s="2">
        <f>--2650999.13</f>
        <v>2650999.13</v>
      </c>
      <c r="U18" s="2"/>
      <c r="V18" s="19"/>
      <c r="W18" s="2"/>
      <c r="X18" s="2">
        <f t="shared" si="2"/>
        <v>-2383390.46</v>
      </c>
      <c r="Y18" s="2"/>
      <c r="Z18" s="19">
        <f t="shared" si="3"/>
        <v>-0.89905365604552279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--8131.54</f>
        <v>8131.54</v>
      </c>
      <c r="I19" s="2"/>
      <c r="J19" s="19"/>
      <c r="K19" s="2"/>
      <c r="L19" s="2">
        <f t="shared" si="0"/>
        <v>-8131.54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--15789.06</f>
        <v>15789.06</v>
      </c>
      <c r="U19" s="2"/>
      <c r="V19" s="19"/>
      <c r="W19" s="2"/>
      <c r="X19" s="2">
        <f t="shared" si="2"/>
        <v>-15789.06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--3278.36</f>
        <v>3278.36</v>
      </c>
      <c r="E20" s="2"/>
      <c r="F20" s="19"/>
      <c r="G20" s="2"/>
      <c r="H20" s="2">
        <f>--39533.66</f>
        <v>39533.660000000003</v>
      </c>
      <c r="I20" s="2"/>
      <c r="J20" s="19"/>
      <c r="K20" s="2"/>
      <c r="L20" s="2">
        <f t="shared" si="0"/>
        <v>-36255.300000000003</v>
      </c>
      <c r="M20" s="2"/>
      <c r="N20" s="19">
        <f t="shared" si="1"/>
        <v>-0.91707420967347819</v>
      </c>
      <c r="O20" s="11"/>
      <c r="P20" s="2">
        <f>--30243.78</f>
        <v>30243.78</v>
      </c>
      <c r="Q20" s="2"/>
      <c r="R20" s="19"/>
      <c r="S20" s="2"/>
      <c r="T20" s="2">
        <f>--159285.58</f>
        <v>159285.57999999999</v>
      </c>
      <c r="U20" s="2"/>
      <c r="V20" s="19"/>
      <c r="W20" s="2"/>
      <c r="X20" s="2">
        <f t="shared" si="2"/>
        <v>-129041.79999999999</v>
      </c>
      <c r="Y20" s="2"/>
      <c r="Z20" s="19">
        <f t="shared" si="3"/>
        <v>-0.81012857535503213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--113029.61</f>
        <v>113029.61</v>
      </c>
      <c r="I21" s="2"/>
      <c r="J21" s="19"/>
      <c r="K21" s="2"/>
      <c r="L21" s="2">
        <f t="shared" si="0"/>
        <v>-113029.61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--184025.65</f>
        <v>184025.65</v>
      </c>
      <c r="U21" s="2"/>
      <c r="V21" s="19"/>
      <c r="W21" s="2"/>
      <c r="X21" s="2">
        <f t="shared" si="2"/>
        <v>-184025.65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--71876.72</f>
        <v>71876.72</v>
      </c>
      <c r="I22" s="2"/>
      <c r="J22" s="19"/>
      <c r="K22" s="2"/>
      <c r="L22" s="2">
        <f t="shared" si="0"/>
        <v>-71876.72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--112246.63</f>
        <v>112246.63</v>
      </c>
      <c r="U22" s="2"/>
      <c r="V22" s="19"/>
      <c r="W22" s="2"/>
      <c r="X22" s="2">
        <f t="shared" si="2"/>
        <v>-112246.63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6" t="s">
        <v>8</v>
      </c>
      <c r="C24" s="10"/>
      <c r="D24" s="4">
        <f>SUM(OSRRefD16x_0)</f>
        <v>45417.08</v>
      </c>
      <c r="E24" s="4"/>
      <c r="F24" s="12">
        <f t="shared" ref="F24:F26" si="7">IF(D$12=0,0,D24/D$12)</f>
        <v>0.19658296752281271</v>
      </c>
      <c r="G24" s="4"/>
      <c r="H24" s="4">
        <f>SUM(OSRRefH16x_0)</f>
        <v>571672.34</v>
      </c>
      <c r="I24" s="4"/>
      <c r="J24" s="12">
        <f t="shared" ref="J24:J26" si="8">IF(H$12=0,0,H24/H$12)</f>
        <v>0.26317495615510372</v>
      </c>
      <c r="K24" s="4"/>
      <c r="L24" s="4">
        <f t="shared" ref="L24:L26" si="9">+D24-H24</f>
        <v>-526255.26</v>
      </c>
      <c r="M24" s="4"/>
      <c r="N24" s="12">
        <f t="shared" ref="N24:N26" si="10">IF(H24=0,0,L24/H24)</f>
        <v>-0.92055400126583009</v>
      </c>
      <c r="O24" s="10"/>
      <c r="P24" s="4">
        <f>SUM(OSRRefP16x_0)</f>
        <v>107425.23999999999</v>
      </c>
      <c r="Q24" s="4"/>
      <c r="R24" s="12">
        <f t="shared" ref="R24:R26" si="11">IF(P$12=0,0,P24/P$12)</f>
        <v>0.35119775411785598</v>
      </c>
      <c r="S24" s="4"/>
      <c r="T24" s="4">
        <f>SUM(OSRRefT16x_0)</f>
        <v>1050982.26</v>
      </c>
      <c r="U24" s="4"/>
      <c r="V24" s="12">
        <f t="shared" ref="V24:V26" si="12">IF(T$12=0,0,T24/T$12)</f>
        <v>0.28288749784785872</v>
      </c>
      <c r="W24" s="4"/>
      <c r="X24" s="4">
        <f t="shared" ref="X24:X26" si="13">+P24-T24</f>
        <v>-943557.02</v>
      </c>
      <c r="Y24" s="4"/>
      <c r="Z24" s="12">
        <f t="shared" ref="Z24:Z26" si="14">IF(T24=0,0,X24/T24)</f>
        <v>-0.89778586747981837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41555.599999999999</v>
      </c>
      <c r="E25" s="2"/>
      <c r="F25" s="19">
        <f t="shared" si="7"/>
        <v>0.17986896482977319</v>
      </c>
      <c r="G25" s="2"/>
      <c r="H25" s="2">
        <v>551152.96</v>
      </c>
      <c r="I25" s="2"/>
      <c r="J25" s="19">
        <f t="shared" si="8"/>
        <v>0.2537286587676354</v>
      </c>
      <c r="K25" s="2"/>
      <c r="L25" s="2">
        <f t="shared" si="9"/>
        <v>-509597.36</v>
      </c>
      <c r="M25" s="2"/>
      <c r="N25" s="19">
        <f t="shared" si="10"/>
        <v>-0.92460241890019068</v>
      </c>
      <c r="O25" s="11"/>
      <c r="P25" s="2">
        <v>130365.75999999999</v>
      </c>
      <c r="Q25" s="2"/>
      <c r="R25" s="19">
        <f t="shared" si="11"/>
        <v>0.42619557681106812</v>
      </c>
      <c r="S25" s="2"/>
      <c r="T25" s="2">
        <v>1079772.17</v>
      </c>
      <c r="U25" s="2"/>
      <c r="V25" s="19">
        <f t="shared" si="12"/>
        <v>0.29063673007863394</v>
      </c>
      <c r="W25" s="2"/>
      <c r="X25" s="2">
        <f t="shared" si="13"/>
        <v>-949406.40999999992</v>
      </c>
      <c r="Y25" s="2"/>
      <c r="Z25" s="19">
        <f t="shared" si="14"/>
        <v>-0.87926549357166706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3861.48</v>
      </c>
      <c r="E26" s="2"/>
      <c r="F26" s="19">
        <f t="shared" si="7"/>
        <v>1.671400269303951E-2</v>
      </c>
      <c r="G26" s="2"/>
      <c r="H26" s="2">
        <v>20519.38</v>
      </c>
      <c r="I26" s="2"/>
      <c r="J26" s="19">
        <f t="shared" si="8"/>
        <v>9.4462973874683397E-3</v>
      </c>
      <c r="K26" s="2"/>
      <c r="L26" s="2">
        <f t="shared" si="9"/>
        <v>-16657.900000000001</v>
      </c>
      <c r="M26" s="2"/>
      <c r="N26" s="19">
        <f t="shared" si="10"/>
        <v>-0.81181302748913464</v>
      </c>
      <c r="O26" s="11"/>
      <c r="P26" s="2">
        <v>-22940.52</v>
      </c>
      <c r="Q26" s="2"/>
      <c r="R26" s="19">
        <f t="shared" si="11"/>
        <v>-7.4997822693212118E-2</v>
      </c>
      <c r="S26" s="2"/>
      <c r="T26" s="2">
        <v>-28789.91</v>
      </c>
      <c r="U26" s="2"/>
      <c r="V26" s="19">
        <f t="shared" si="12"/>
        <v>-7.74923223077528E-3</v>
      </c>
      <c r="W26" s="2"/>
      <c r="X26" s="2">
        <f t="shared" si="13"/>
        <v>5849.3899999999994</v>
      </c>
      <c r="Y26" s="2"/>
      <c r="Z26" s="19">
        <f t="shared" si="14"/>
        <v>-0.20317500124175447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5" t="s">
        <v>6</v>
      </c>
      <c r="C28" s="25"/>
      <c r="D28" s="22">
        <f>D12-D24</f>
        <v>185615.55</v>
      </c>
      <c r="E28" s="13"/>
      <c r="F28" s="21">
        <f>IF(D$12=0,0,D28/D$12)</f>
        <v>0.80341703247718732</v>
      </c>
      <c r="G28" s="13"/>
      <c r="H28" s="22">
        <f>H12-H24</f>
        <v>1600541.7200000007</v>
      </c>
      <c r="I28" s="13"/>
      <c r="J28" s="21">
        <f>IF(H$12=0,0,H28/H$12)</f>
        <v>0.73682504384489633</v>
      </c>
      <c r="K28" s="15"/>
      <c r="L28" s="22">
        <f>+D28-H28</f>
        <v>-1414926.1700000006</v>
      </c>
      <c r="M28" s="15"/>
      <c r="N28" s="21">
        <f>IF(H28=0,0,L28/H28)</f>
        <v>-0.8840295459464812</v>
      </c>
      <c r="O28" s="26"/>
      <c r="P28" s="22">
        <f>P12-P24</f>
        <v>198457.24</v>
      </c>
      <c r="Q28" s="13"/>
      <c r="R28" s="21">
        <f>IF(P$12=0,0,P28/P$12)</f>
        <v>0.64880224588214408</v>
      </c>
      <c r="S28" s="13"/>
      <c r="T28" s="22">
        <f>T12-T24</f>
        <v>2664212.8899999997</v>
      </c>
      <c r="U28" s="13"/>
      <c r="V28" s="21">
        <f>IF(T$12=0,0,T28/T$12)</f>
        <v>0.71711250215214128</v>
      </c>
      <c r="W28" s="15"/>
      <c r="X28" s="22">
        <f>+P28-T28</f>
        <v>-2465755.6499999994</v>
      </c>
      <c r="Y28" s="15"/>
      <c r="Z28" s="21">
        <f>IF(T28=0,0,X28/T28)</f>
        <v>-0.92550999180849991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6" t="s">
        <v>9</v>
      </c>
      <c r="C30" s="10"/>
      <c r="D30" s="20">
        <f>SUM(OSRRefD22x_0)</f>
        <v>359684.63000000012</v>
      </c>
      <c r="E30" s="20"/>
      <c r="F30" s="36">
        <f t="shared" ref="F30:F40" si="15">IF(D$12=0,0,D30/D$12)</f>
        <v>1.5568564059544323</v>
      </c>
      <c r="G30" s="20"/>
      <c r="H30" s="20">
        <f>SUM(OSRRefH22x_0)</f>
        <v>1100441.0300000003</v>
      </c>
      <c r="I30" s="20"/>
      <c r="J30" s="36">
        <f t="shared" ref="J30:J40" si="16">IF(H$12=0,0,H30/H$12)</f>
        <v>0.5065987971737923</v>
      </c>
      <c r="K30" s="4"/>
      <c r="L30" s="20">
        <f t="shared" ref="L30:L40" si="17">+D30-H30</f>
        <v>-740756.40000000014</v>
      </c>
      <c r="M30" s="4"/>
      <c r="N30" s="36">
        <f t="shared" ref="N30:N40" si="18">IF(H30=0,0,L30/H30)</f>
        <v>-0.67314502077408001</v>
      </c>
      <c r="O30" s="10"/>
      <c r="P30" s="20">
        <f>SUM(OSRRefP22x_0)</f>
        <v>955708.68999999983</v>
      </c>
      <c r="Q30" s="20"/>
      <c r="R30" s="36">
        <f t="shared" ref="R30:R40" si="19">IF(P$12=0,0,P30/P$12)</f>
        <v>3.1244309579286784</v>
      </c>
      <c r="S30" s="20"/>
      <c r="T30" s="20">
        <f>SUM(OSRRefT22x_0)</f>
        <v>2670869.92</v>
      </c>
      <c r="U30" s="20"/>
      <c r="V30" s="36">
        <f t="shared" ref="V30:V40" si="20">IF(T$12=0,0,T30/T$12)</f>
        <v>0.71890434073160325</v>
      </c>
      <c r="W30" s="4"/>
      <c r="X30" s="20">
        <f t="shared" ref="X30:X40" si="21">+P30-T30</f>
        <v>-1715161.23</v>
      </c>
      <c r="Y30" s="4"/>
      <c r="Z30" s="36">
        <f t="shared" ref="Z30:Z40" si="22">IF(T30=0,0,X30/T30)</f>
        <v>-0.64217325492212662</v>
      </c>
    </row>
    <row r="31" spans="1:26" s="27" customFormat="1" outlineLevel="1" collapsed="1" x14ac:dyDescent="0.25">
      <c r="A31" s="29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97784.810000000012</v>
      </c>
      <c r="E31" s="1"/>
      <c r="F31" s="5">
        <f t="shared" si="15"/>
        <v>0.42325107929559569</v>
      </c>
      <c r="G31" s="1"/>
      <c r="H31" s="1">
        <f>SUM(OSRRefH22_0x_0)</f>
        <v>168224.55000000002</v>
      </c>
      <c r="I31" s="1"/>
      <c r="J31" s="5">
        <f t="shared" si="16"/>
        <v>7.7443817852831678E-2</v>
      </c>
      <c r="K31" s="1"/>
      <c r="L31" s="1">
        <f t="shared" si="17"/>
        <v>-70439.740000000005</v>
      </c>
      <c r="M31" s="1"/>
      <c r="N31" s="5">
        <f t="shared" si="18"/>
        <v>-0.41872449651373711</v>
      </c>
      <c r="O31" s="14"/>
      <c r="P31" s="1">
        <f>SUM(OSRRefP22_0x_0)</f>
        <v>288957.96999999997</v>
      </c>
      <c r="Q31" s="1"/>
      <c r="R31" s="5">
        <f t="shared" si="19"/>
        <v>0.94466989413712088</v>
      </c>
      <c r="S31" s="1"/>
      <c r="T31" s="1">
        <f>SUM(OSRRefT22_0x_0)</f>
        <v>480117.90000000008</v>
      </c>
      <c r="U31" s="1"/>
      <c r="V31" s="5">
        <f t="shared" si="20"/>
        <v>0.12923086960855881</v>
      </c>
      <c r="W31" s="1"/>
      <c r="X31" s="1">
        <f t="shared" si="21"/>
        <v>-191159.93000000011</v>
      </c>
      <c r="Y31" s="1"/>
      <c r="Z31" s="5">
        <f t="shared" si="22"/>
        <v>-0.398152058067404</v>
      </c>
    </row>
    <row r="32" spans="1:26" s="24" customFormat="1" hidden="1" outlineLevel="2" x14ac:dyDescent="0.25">
      <c r="A32" s="28"/>
      <c r="B32" s="11" t="str">
        <f>CONCATENATE("          ", "6111", " - ", "F.I.C.A.")</f>
        <v xml:space="preserve">          6111 - F.I.C.A.</v>
      </c>
      <c r="C32" s="11"/>
      <c r="D32" s="7">
        <v>10588.36</v>
      </c>
      <c r="E32" s="2"/>
      <c r="F32" s="6">
        <f t="shared" si="15"/>
        <v>4.5830582459282926E-2</v>
      </c>
      <c r="G32" s="2"/>
      <c r="H32" s="7">
        <v>24286.969999999998</v>
      </c>
      <c r="I32" s="2"/>
      <c r="J32" s="6">
        <f t="shared" si="16"/>
        <v>1.1180744313937454E-2</v>
      </c>
      <c r="K32" s="2"/>
      <c r="L32" s="7">
        <f t="shared" si="17"/>
        <v>-13698.609999999997</v>
      </c>
      <c r="M32" s="2"/>
      <c r="N32" s="6">
        <f t="shared" si="18"/>
        <v>-0.56403124803135174</v>
      </c>
      <c r="O32" s="11"/>
      <c r="P32" s="7">
        <v>29006.070000000003</v>
      </c>
      <c r="Q32" s="2"/>
      <c r="R32" s="6">
        <f t="shared" si="19"/>
        <v>9.4827497148578119E-2</v>
      </c>
      <c r="S32" s="2"/>
      <c r="T32" s="7">
        <v>73555.66</v>
      </c>
      <c r="U32" s="2"/>
      <c r="V32" s="6">
        <f t="shared" si="20"/>
        <v>1.9798599274118887E-2</v>
      </c>
      <c r="W32" s="2"/>
      <c r="X32" s="7">
        <f t="shared" si="21"/>
        <v>-44549.59</v>
      </c>
      <c r="Y32" s="2"/>
      <c r="Z32" s="6">
        <f t="shared" si="22"/>
        <v>-0.60565821855177415</v>
      </c>
    </row>
    <row r="33" spans="1:26" s="24" customFormat="1" hidden="1" outlineLevel="2" x14ac:dyDescent="0.25">
      <c r="A33" s="28"/>
      <c r="B33" s="11" t="str">
        <f>CONCATENATE("          ", "6112", " - ", "COMPENSATION INSURANCE")</f>
        <v xml:space="preserve">          6112 - COMPENSATION INSURANCE</v>
      </c>
      <c r="C33" s="11"/>
      <c r="D33" s="7">
        <v>6099.43</v>
      </c>
      <c r="E33" s="2"/>
      <c r="F33" s="6">
        <f t="shared" si="15"/>
        <v>2.6400729628537758E-2</v>
      </c>
      <c r="G33" s="2"/>
      <c r="H33" s="7">
        <v>20010.919999999998</v>
      </c>
      <c r="I33" s="2"/>
      <c r="J33" s="6">
        <f t="shared" si="16"/>
        <v>9.2122228506337882E-3</v>
      </c>
      <c r="K33" s="2"/>
      <c r="L33" s="7">
        <f t="shared" si="17"/>
        <v>-13911.489999999998</v>
      </c>
      <c r="M33" s="2"/>
      <c r="N33" s="6">
        <f t="shared" si="18"/>
        <v>-0.69519492357172974</v>
      </c>
      <c r="O33" s="11"/>
      <c r="P33" s="7">
        <v>14716.83</v>
      </c>
      <c r="Q33" s="2"/>
      <c r="R33" s="6">
        <f t="shared" si="19"/>
        <v>4.8112693476265789E-2</v>
      </c>
      <c r="S33" s="2"/>
      <c r="T33" s="7">
        <v>45188.060000000005</v>
      </c>
      <c r="U33" s="2"/>
      <c r="V33" s="6">
        <f t="shared" si="20"/>
        <v>1.2163038057368267E-2</v>
      </c>
      <c r="W33" s="2"/>
      <c r="X33" s="7">
        <f t="shared" si="21"/>
        <v>-30471.230000000003</v>
      </c>
      <c r="Y33" s="2"/>
      <c r="Z33" s="6">
        <f t="shared" si="22"/>
        <v>-0.67432038463257771</v>
      </c>
    </row>
    <row r="34" spans="1:26" s="24" customFormat="1" hidden="1" outlineLevel="2" x14ac:dyDescent="0.25">
      <c r="A34" s="28"/>
      <c r="B34" s="11" t="str">
        <f>CONCATENATE("          ", "6113", " - ", "GROUP INSURANCE")</f>
        <v xml:space="preserve">          6113 - GROUP INSURANCE</v>
      </c>
      <c r="C34" s="11"/>
      <c r="D34" s="7">
        <v>55053.17</v>
      </c>
      <c r="E34" s="2"/>
      <c r="F34" s="6">
        <f t="shared" si="15"/>
        <v>0.23829175125608881</v>
      </c>
      <c r="G34" s="2"/>
      <c r="H34" s="7">
        <v>66268.290000000008</v>
      </c>
      <c r="I34" s="2"/>
      <c r="J34" s="6">
        <f t="shared" si="16"/>
        <v>3.05072558088497E-2</v>
      </c>
      <c r="K34" s="2"/>
      <c r="L34" s="7">
        <f t="shared" si="17"/>
        <v>-11215.12000000001</v>
      </c>
      <c r="M34" s="2"/>
      <c r="N34" s="6">
        <f t="shared" si="18"/>
        <v>-0.16923810769826728</v>
      </c>
      <c r="O34" s="11"/>
      <c r="P34" s="7">
        <v>165415.94999999998</v>
      </c>
      <c r="Q34" s="2"/>
      <c r="R34" s="6">
        <f t="shared" si="19"/>
        <v>0.54078268882872926</v>
      </c>
      <c r="S34" s="2"/>
      <c r="T34" s="7">
        <v>197560.28999999998</v>
      </c>
      <c r="U34" s="2"/>
      <c r="V34" s="6">
        <f t="shared" si="20"/>
        <v>5.3176288734119385E-2</v>
      </c>
      <c r="W34" s="2"/>
      <c r="X34" s="7">
        <f t="shared" si="21"/>
        <v>-32144.339999999997</v>
      </c>
      <c r="Y34" s="2"/>
      <c r="Z34" s="6">
        <f t="shared" si="22"/>
        <v>-0.16270648317027678</v>
      </c>
    </row>
    <row r="35" spans="1:26" s="24" customFormat="1" hidden="1" outlineLevel="2" x14ac:dyDescent="0.25">
      <c r="A35" s="28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410.96</v>
      </c>
      <c r="E35" s="2"/>
      <c r="F35" s="6">
        <f t="shared" si="15"/>
        <v>1.7787963544370336E-3</v>
      </c>
      <c r="G35" s="2"/>
      <c r="H35" s="7">
        <v>1383.96</v>
      </c>
      <c r="I35" s="2"/>
      <c r="J35" s="6">
        <f t="shared" si="16"/>
        <v>6.3711952955501985E-4</v>
      </c>
      <c r="K35" s="2"/>
      <c r="L35" s="7">
        <f t="shared" si="17"/>
        <v>-973</v>
      </c>
      <c r="M35" s="2"/>
      <c r="N35" s="6">
        <f t="shared" si="18"/>
        <v>-0.70305500158964129</v>
      </c>
      <c r="O35" s="11"/>
      <c r="P35" s="7">
        <v>1108.99</v>
      </c>
      <c r="Q35" s="2"/>
      <c r="R35" s="6">
        <f t="shared" si="19"/>
        <v>3.6255427247745609E-3</v>
      </c>
      <c r="S35" s="2"/>
      <c r="T35" s="7">
        <v>3109.85</v>
      </c>
      <c r="U35" s="2"/>
      <c r="V35" s="6">
        <f t="shared" si="20"/>
        <v>8.3706235458452295E-4</v>
      </c>
      <c r="W35" s="2"/>
      <c r="X35" s="7">
        <f t="shared" si="21"/>
        <v>-2000.86</v>
      </c>
      <c r="Y35" s="2"/>
      <c r="Z35" s="6">
        <f t="shared" si="22"/>
        <v>-0.64339437593453064</v>
      </c>
    </row>
    <row r="36" spans="1:26" s="24" customFormat="1" hidden="1" outlineLevel="2" x14ac:dyDescent="0.25">
      <c r="A36" s="28"/>
      <c r="B36" s="11" t="str">
        <f>CONCATENATE("          ", "6115", " - ", "P.E.R.S.")</f>
        <v xml:space="preserve">          6115 - P.E.R.S.</v>
      </c>
      <c r="C36" s="11"/>
      <c r="D36" s="7">
        <v>6333.53</v>
      </c>
      <c r="E36" s="2"/>
      <c r="F36" s="6">
        <f t="shared" si="15"/>
        <v>2.7414006411129028E-2</v>
      </c>
      <c r="G36" s="2"/>
      <c r="H36" s="7">
        <v>10199.94</v>
      </c>
      <c r="I36" s="2"/>
      <c r="J36" s="6">
        <f t="shared" si="16"/>
        <v>4.6956421965153828E-3</v>
      </c>
      <c r="K36" s="2"/>
      <c r="L36" s="7">
        <f t="shared" si="17"/>
        <v>-3866.4100000000008</v>
      </c>
      <c r="M36" s="2"/>
      <c r="N36" s="6">
        <f t="shared" si="18"/>
        <v>-0.37906203369823749</v>
      </c>
      <c r="O36" s="11"/>
      <c r="P36" s="7">
        <v>22693.62</v>
      </c>
      <c r="Q36" s="2"/>
      <c r="R36" s="6">
        <f t="shared" si="19"/>
        <v>7.4190649951576176E-2</v>
      </c>
      <c r="S36" s="2"/>
      <c r="T36" s="7">
        <v>29936.959999999999</v>
      </c>
      <c r="U36" s="2"/>
      <c r="V36" s="6">
        <f t="shared" si="20"/>
        <v>8.0579777888652761E-3</v>
      </c>
      <c r="W36" s="2"/>
      <c r="X36" s="7">
        <f t="shared" si="21"/>
        <v>-7243.34</v>
      </c>
      <c r="Y36" s="2"/>
      <c r="Z36" s="6">
        <f t="shared" si="22"/>
        <v>-0.2419530907613866</v>
      </c>
    </row>
    <row r="37" spans="1:26" s="24" customFormat="1" hidden="1" outlineLevel="2" x14ac:dyDescent="0.25">
      <c r="A37" s="28"/>
      <c r="B37" s="11" t="str">
        <f>CONCATENATE("          ", "6117", " - ", "RETIREMENT STAFF HOURLY")</f>
        <v xml:space="preserve">          6117 - RETIREMENT STAFF HOURLY</v>
      </c>
      <c r="C37" s="11"/>
      <c r="D37" s="7">
        <v>1526.6</v>
      </c>
      <c r="E37" s="2"/>
      <c r="F37" s="6">
        <f t="shared" si="15"/>
        <v>6.6077246317976816E-3</v>
      </c>
      <c r="G37" s="2"/>
      <c r="H37" s="7">
        <v>2369.4699999999998</v>
      </c>
      <c r="I37" s="2"/>
      <c r="J37" s="6">
        <f t="shared" si="16"/>
        <v>1.0908087023430827E-3</v>
      </c>
      <c r="K37" s="2"/>
      <c r="L37" s="7">
        <f t="shared" si="17"/>
        <v>-842.86999999999989</v>
      </c>
      <c r="M37" s="2"/>
      <c r="N37" s="6">
        <f t="shared" si="18"/>
        <v>-0.35572089961046138</v>
      </c>
      <c r="O37" s="11"/>
      <c r="P37" s="7">
        <v>4869.62</v>
      </c>
      <c r="Q37" s="2"/>
      <c r="R37" s="6">
        <f t="shared" si="19"/>
        <v>1.5919904925577953E-2</v>
      </c>
      <c r="S37" s="2"/>
      <c r="T37" s="7">
        <v>5028.78</v>
      </c>
      <c r="U37" s="2"/>
      <c r="V37" s="6">
        <f t="shared" si="20"/>
        <v>1.3535708884632883E-3</v>
      </c>
      <c r="W37" s="2"/>
      <c r="X37" s="7">
        <f t="shared" si="21"/>
        <v>-159.15999999999985</v>
      </c>
      <c r="Y37" s="2"/>
      <c r="Z37" s="6">
        <f t="shared" si="22"/>
        <v>-3.1649823615270474E-2</v>
      </c>
    </row>
    <row r="38" spans="1:26" s="24" customFormat="1" hidden="1" outlineLevel="2" x14ac:dyDescent="0.25">
      <c r="A38" s="28"/>
      <c r="B38" s="11" t="str">
        <f>CONCATENATE("          ", "6118", " - ", "VACATION")</f>
        <v xml:space="preserve">          6118 - VACATION</v>
      </c>
      <c r="C38" s="11"/>
      <c r="D38" s="7">
        <v>8977.9599999999991</v>
      </c>
      <c r="E38" s="2"/>
      <c r="F38" s="6">
        <f t="shared" si="15"/>
        <v>3.8860138500782335E-2</v>
      </c>
      <c r="G38" s="2"/>
      <c r="H38" s="7">
        <v>16940</v>
      </c>
      <c r="I38" s="2"/>
      <c r="J38" s="6">
        <f t="shared" si="16"/>
        <v>7.798494776338938E-3</v>
      </c>
      <c r="K38" s="2"/>
      <c r="L38" s="7">
        <f t="shared" si="17"/>
        <v>-7962.0400000000009</v>
      </c>
      <c r="M38" s="2"/>
      <c r="N38" s="6">
        <f t="shared" si="18"/>
        <v>-0.47001416765053133</v>
      </c>
      <c r="O38" s="11"/>
      <c r="P38" s="7">
        <v>25421.38</v>
      </c>
      <c r="Q38" s="2"/>
      <c r="R38" s="6">
        <f t="shared" si="19"/>
        <v>8.310832317038884E-2</v>
      </c>
      <c r="S38" s="2"/>
      <c r="T38" s="7">
        <v>49447.7</v>
      </c>
      <c r="U38" s="2"/>
      <c r="V38" s="6">
        <f t="shared" si="20"/>
        <v>1.3309583481772148E-2</v>
      </c>
      <c r="W38" s="2"/>
      <c r="X38" s="7">
        <f t="shared" si="21"/>
        <v>-24026.319999999996</v>
      </c>
      <c r="Y38" s="2"/>
      <c r="Z38" s="6">
        <f t="shared" si="22"/>
        <v>-0.48589358049009351</v>
      </c>
    </row>
    <row r="39" spans="1:26" s="24" customFormat="1" hidden="1" outlineLevel="2" x14ac:dyDescent="0.25">
      <c r="A39" s="28"/>
      <c r="B39" s="11" t="str">
        <f>CONCATENATE("          ", "6119", " - ", "SICK LEAVE")</f>
        <v xml:space="preserve">          6119 - SICK LEAVE</v>
      </c>
      <c r="C39" s="11"/>
      <c r="D39" s="7">
        <v>5575.88</v>
      </c>
      <c r="E39" s="2"/>
      <c r="F39" s="6">
        <f t="shared" si="15"/>
        <v>2.4134599515228651E-2</v>
      </c>
      <c r="G39" s="2"/>
      <c r="H39" s="7">
        <v>20372.05</v>
      </c>
      <c r="I39" s="2"/>
      <c r="J39" s="6">
        <f t="shared" si="16"/>
        <v>9.3784725801839223E-3</v>
      </c>
      <c r="K39" s="2"/>
      <c r="L39" s="7">
        <f t="shared" si="17"/>
        <v>-14796.169999999998</v>
      </c>
      <c r="M39" s="2"/>
      <c r="N39" s="6">
        <f t="shared" si="18"/>
        <v>-0.72629754982930039</v>
      </c>
      <c r="O39" s="11"/>
      <c r="P39" s="7">
        <v>16806.89</v>
      </c>
      <c r="Q39" s="2"/>
      <c r="R39" s="6">
        <f t="shared" si="19"/>
        <v>5.4945579099528685E-2</v>
      </c>
      <c r="S39" s="2"/>
      <c r="T39" s="7">
        <v>58982.15</v>
      </c>
      <c r="U39" s="2"/>
      <c r="V39" s="6">
        <f t="shared" si="20"/>
        <v>1.5875922426309155E-2</v>
      </c>
      <c r="W39" s="2"/>
      <c r="X39" s="7">
        <f t="shared" si="21"/>
        <v>-42175.26</v>
      </c>
      <c r="Y39" s="2"/>
      <c r="Z39" s="6">
        <f t="shared" si="22"/>
        <v>-0.71505124855570712</v>
      </c>
    </row>
    <row r="40" spans="1:26" s="24" customFormat="1" hidden="1" outlineLevel="2" x14ac:dyDescent="0.25">
      <c r="A40" s="28"/>
      <c r="B40" s="11" t="str">
        <f>CONCATENATE("          ", "6156", " - ", "EMPLOYEE MEALS")</f>
        <v xml:space="preserve">          6156 - EMPLOYEE MEALS</v>
      </c>
      <c r="C40" s="11"/>
      <c r="D40" s="7">
        <v>3218.92</v>
      </c>
      <c r="E40" s="2"/>
      <c r="F40" s="6">
        <f t="shared" si="15"/>
        <v>1.3932750538311408E-2</v>
      </c>
      <c r="G40" s="2"/>
      <c r="H40" s="7">
        <v>6392.95</v>
      </c>
      <c r="I40" s="2"/>
      <c r="J40" s="6">
        <f t="shared" si="16"/>
        <v>2.9430570944743808E-3</v>
      </c>
      <c r="K40" s="2"/>
      <c r="L40" s="7">
        <f t="shared" si="17"/>
        <v>-3174.0299999999997</v>
      </c>
      <c r="M40" s="2"/>
      <c r="N40" s="6">
        <f t="shared" si="18"/>
        <v>-0.4964891012756239</v>
      </c>
      <c r="O40" s="11"/>
      <c r="P40" s="7">
        <v>8918.6200000000008</v>
      </c>
      <c r="Q40" s="2"/>
      <c r="R40" s="6">
        <f t="shared" si="19"/>
        <v>2.9157014811701545E-2</v>
      </c>
      <c r="S40" s="2"/>
      <c r="T40" s="7">
        <v>17308.449999999997</v>
      </c>
      <c r="U40" s="2"/>
      <c r="V40" s="6">
        <f t="shared" si="20"/>
        <v>4.6588266029578551E-3</v>
      </c>
      <c r="W40" s="2"/>
      <c r="X40" s="7">
        <f t="shared" si="21"/>
        <v>-8389.8299999999963</v>
      </c>
      <c r="Y40" s="2"/>
      <c r="Z40" s="6">
        <f t="shared" si="22"/>
        <v>-0.48472451317131215</v>
      </c>
    </row>
    <row r="41" spans="1:26" s="27" customFormat="1" outlineLevel="1" collapsed="1" x14ac:dyDescent="0.25">
      <c r="A41" s="29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149938.78</v>
      </c>
      <c r="E41" s="1"/>
      <c r="F41" s="5">
        <f t="shared" ref="F41:F48" si="23">IF(D$12=0,0,D41/D$12)</f>
        <v>0.6489939537977818</v>
      </c>
      <c r="G41" s="1"/>
      <c r="H41" s="1">
        <f>SUM(OSRRefH22_1x_0)</f>
        <v>532741.05000000005</v>
      </c>
      <c r="I41" s="1"/>
      <c r="J41" s="5">
        <f t="shared" ref="J41:J48" si="24">IF(H$12=0,0,H41/H$12)</f>
        <v>0.24525255581855498</v>
      </c>
      <c r="K41" s="1"/>
      <c r="L41" s="1">
        <f t="shared" ref="L41:L48" si="25">+D41-H41</f>
        <v>-382802.27</v>
      </c>
      <c r="M41" s="1"/>
      <c r="N41" s="5">
        <f t="shared" ref="N41:N48" si="26">IF(H41=0,0,L41/H41)</f>
        <v>-0.71855223095723519</v>
      </c>
      <c r="O41" s="14"/>
      <c r="P41" s="1">
        <f>SUM(OSRRefP22_1x_0)</f>
        <v>391801.52999999997</v>
      </c>
      <c r="Q41" s="1"/>
      <c r="R41" s="5">
        <f t="shared" ref="R41:R48" si="27">IF(P$12=0,0,P41/P$12)</f>
        <v>1.2808890852460724</v>
      </c>
      <c r="S41" s="1"/>
      <c r="T41" s="1">
        <f>SUM(OSRRefT22_1x_0)</f>
        <v>1275260.6800000002</v>
      </c>
      <c r="U41" s="1"/>
      <c r="V41" s="5">
        <f t="shared" ref="V41:V48" si="28">IF(T$12=0,0,T41/T$12)</f>
        <v>0.34325536842930049</v>
      </c>
      <c r="W41" s="1"/>
      <c r="X41" s="1">
        <f t="shared" ref="X41:X48" si="29">+P41-T41</f>
        <v>-883459.15000000014</v>
      </c>
      <c r="Y41" s="1"/>
      <c r="Z41" s="5">
        <f t="shared" ref="Z41:Z48" si="30">IF(T41=0,0,X41/T41)</f>
        <v>-0.69276749754410993</v>
      </c>
    </row>
    <row r="42" spans="1:26" s="24" customFormat="1" hidden="1" outlineLevel="2" x14ac:dyDescent="0.25">
      <c r="A42" s="28"/>
      <c r="B42" s="11" t="str">
        <f>CONCATENATE("          ", "6001", " - ", "ADMINISTRATIVE SALARIES")</f>
        <v xml:space="preserve">          6001 - ADMINISTRATIVE SALARIES</v>
      </c>
      <c r="C42" s="11"/>
      <c r="D42" s="7">
        <v>20028.82</v>
      </c>
      <c r="E42" s="2"/>
      <c r="F42" s="6">
        <f t="shared" si="23"/>
        <v>8.6692602685603332E-2</v>
      </c>
      <c r="G42" s="2"/>
      <c r="H42" s="7">
        <v>24356.91</v>
      </c>
      <c r="I42" s="2"/>
      <c r="J42" s="6">
        <f t="shared" si="24"/>
        <v>1.1212941877376485E-2</v>
      </c>
      <c r="K42" s="2"/>
      <c r="L42" s="7">
        <f t="shared" si="25"/>
        <v>-4328.09</v>
      </c>
      <c r="M42" s="2"/>
      <c r="N42" s="6">
        <f t="shared" si="26"/>
        <v>-0.17769454335545848</v>
      </c>
      <c r="O42" s="11"/>
      <c r="P42" s="7">
        <v>58880.689999999995</v>
      </c>
      <c r="Q42" s="2"/>
      <c r="R42" s="6">
        <f t="shared" si="27"/>
        <v>0.19249448350229145</v>
      </c>
      <c r="S42" s="2"/>
      <c r="T42" s="7">
        <v>72871.62</v>
      </c>
      <c r="U42" s="2"/>
      <c r="V42" s="6">
        <f t="shared" si="28"/>
        <v>1.961447974004811E-2</v>
      </c>
      <c r="W42" s="2"/>
      <c r="X42" s="7">
        <f t="shared" si="29"/>
        <v>-13990.93</v>
      </c>
      <c r="Y42" s="2"/>
      <c r="Z42" s="6">
        <f t="shared" si="30"/>
        <v>-0.19199422216769713</v>
      </c>
    </row>
    <row r="43" spans="1:26" s="24" customFormat="1" hidden="1" outlineLevel="2" x14ac:dyDescent="0.25">
      <c r="A43" s="28"/>
      <c r="B43" s="11" t="str">
        <f>CONCATENATE("          ", "6002", " - ", "STAFF SALARIES")</f>
        <v xml:space="preserve">          6002 - STAFF SALARIES</v>
      </c>
      <c r="C43" s="11"/>
      <c r="D43" s="7">
        <v>43207.97</v>
      </c>
      <c r="E43" s="2"/>
      <c r="F43" s="6">
        <f t="shared" si="23"/>
        <v>0.18702107143912963</v>
      </c>
      <c r="G43" s="2"/>
      <c r="H43" s="7">
        <v>93254.150000000009</v>
      </c>
      <c r="I43" s="2"/>
      <c r="J43" s="6">
        <f t="shared" si="24"/>
        <v>4.2930460545863511E-2</v>
      </c>
      <c r="K43" s="2"/>
      <c r="L43" s="7">
        <f t="shared" si="25"/>
        <v>-50046.180000000008</v>
      </c>
      <c r="M43" s="2"/>
      <c r="N43" s="6">
        <f t="shared" si="26"/>
        <v>-0.53666437364985908</v>
      </c>
      <c r="O43" s="11"/>
      <c r="P43" s="7">
        <v>140814.45000000001</v>
      </c>
      <c r="Q43" s="2"/>
      <c r="R43" s="6">
        <f t="shared" si="27"/>
        <v>0.46035474146803051</v>
      </c>
      <c r="S43" s="2"/>
      <c r="T43" s="7">
        <v>284103.63</v>
      </c>
      <c r="U43" s="2"/>
      <c r="V43" s="6">
        <f t="shared" si="28"/>
        <v>7.6470715138611228E-2</v>
      </c>
      <c r="W43" s="2"/>
      <c r="X43" s="7">
        <f t="shared" si="29"/>
        <v>-143289.18</v>
      </c>
      <c r="Y43" s="2"/>
      <c r="Z43" s="6">
        <f t="shared" si="30"/>
        <v>-0.50435532977878528</v>
      </c>
    </row>
    <row r="44" spans="1:26" s="24" customFormat="1" hidden="1" outlineLevel="2" x14ac:dyDescent="0.25">
      <c r="A44" s="28"/>
      <c r="B44" s="11" t="str">
        <f>CONCATENATE("          ", "6004", " - ", "STAFF HOURLY")</f>
        <v xml:space="preserve">          6004 - STAFF HOURLY</v>
      </c>
      <c r="C44" s="11"/>
      <c r="D44" s="7">
        <v>51879.91</v>
      </c>
      <c r="E44" s="2"/>
      <c r="F44" s="6">
        <f t="shared" si="23"/>
        <v>0.2245566351385084</v>
      </c>
      <c r="G44" s="2"/>
      <c r="H44" s="7">
        <v>83021.78</v>
      </c>
      <c r="I44" s="2"/>
      <c r="J44" s="6">
        <f t="shared" si="24"/>
        <v>3.8219888881485274E-2</v>
      </c>
      <c r="K44" s="2"/>
      <c r="L44" s="7">
        <f t="shared" si="25"/>
        <v>-31141.869999999995</v>
      </c>
      <c r="M44" s="2"/>
      <c r="N44" s="6">
        <f t="shared" si="26"/>
        <v>-0.37510482189131572</v>
      </c>
      <c r="O44" s="11"/>
      <c r="P44" s="7">
        <v>134351.11000000002</v>
      </c>
      <c r="Q44" s="2"/>
      <c r="R44" s="6">
        <f t="shared" si="27"/>
        <v>0.43922460024516613</v>
      </c>
      <c r="S44" s="2"/>
      <c r="T44" s="7">
        <v>199450.05</v>
      </c>
      <c r="U44" s="2"/>
      <c r="V44" s="6">
        <f t="shared" si="28"/>
        <v>5.3684945728893943E-2</v>
      </c>
      <c r="W44" s="2"/>
      <c r="X44" s="7">
        <f t="shared" si="29"/>
        <v>-65098.939999999973</v>
      </c>
      <c r="Y44" s="2"/>
      <c r="Z44" s="6">
        <f t="shared" si="30"/>
        <v>-0.32639219694354538</v>
      </c>
    </row>
    <row r="45" spans="1:26" s="24" customFormat="1" hidden="1" outlineLevel="2" x14ac:dyDescent="0.25">
      <c r="A45" s="28"/>
      <c r="B45" s="11" t="str">
        <f>CONCATENATE("          ", "6005", " - ", "TEMPORARY WAGES-HOURLY")</f>
        <v xml:space="preserve">          6005 - TEMPORARY WAGES-HOURLY</v>
      </c>
      <c r="C45" s="11"/>
      <c r="D45" s="7">
        <v>14833.310000000001</v>
      </c>
      <c r="E45" s="2"/>
      <c r="F45" s="6">
        <f t="shared" si="23"/>
        <v>6.420439398538641E-2</v>
      </c>
      <c r="G45" s="2"/>
      <c r="H45" s="7">
        <v>104576.93000000001</v>
      </c>
      <c r="I45" s="2"/>
      <c r="J45" s="6">
        <f t="shared" si="24"/>
        <v>4.8143013124590482E-2</v>
      </c>
      <c r="K45" s="2"/>
      <c r="L45" s="7">
        <f t="shared" si="25"/>
        <v>-89743.62000000001</v>
      </c>
      <c r="M45" s="2"/>
      <c r="N45" s="6">
        <f t="shared" si="26"/>
        <v>-0.85815886926495166</v>
      </c>
      <c r="O45" s="11"/>
      <c r="P45" s="7">
        <v>15941.510000000002</v>
      </c>
      <c r="Q45" s="2"/>
      <c r="R45" s="6">
        <f t="shared" si="27"/>
        <v>5.2116453351627082E-2</v>
      </c>
      <c r="S45" s="2"/>
      <c r="T45" s="7">
        <v>232465.56</v>
      </c>
      <c r="U45" s="2"/>
      <c r="V45" s="6">
        <f t="shared" si="28"/>
        <v>6.2571561012077656E-2</v>
      </c>
      <c r="W45" s="2"/>
      <c r="X45" s="7">
        <f t="shared" si="29"/>
        <v>-216524.05</v>
      </c>
      <c r="Y45" s="2"/>
      <c r="Z45" s="6">
        <f t="shared" si="30"/>
        <v>-0.93142420752562227</v>
      </c>
    </row>
    <row r="46" spans="1:26" s="24" customFormat="1" hidden="1" outlineLevel="2" x14ac:dyDescent="0.25">
      <c r="A46" s="28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8153.85</v>
      </c>
      <c r="I46" s="2"/>
      <c r="J46" s="6">
        <f t="shared" si="24"/>
        <v>3.7537046417975943E-3</v>
      </c>
      <c r="K46" s="2"/>
      <c r="L46" s="7">
        <f t="shared" si="25"/>
        <v>-8153.85</v>
      </c>
      <c r="M46" s="2"/>
      <c r="N46" s="6">
        <f t="shared" si="26"/>
        <v>-1</v>
      </c>
      <c r="O46" s="11"/>
      <c r="P46" s="7"/>
      <c r="Q46" s="2"/>
      <c r="R46" s="6">
        <f t="shared" si="27"/>
        <v>0</v>
      </c>
      <c r="S46" s="2"/>
      <c r="T46" s="7">
        <v>23832.75</v>
      </c>
      <c r="U46" s="2"/>
      <c r="V46" s="6">
        <f t="shared" si="28"/>
        <v>6.4149389299240443E-3</v>
      </c>
      <c r="W46" s="2"/>
      <c r="X46" s="7">
        <f t="shared" si="29"/>
        <v>-23832.75</v>
      </c>
      <c r="Y46" s="2"/>
      <c r="Z46" s="6">
        <f t="shared" si="30"/>
        <v>-1</v>
      </c>
    </row>
    <row r="47" spans="1:26" s="24" customFormat="1" hidden="1" outlineLevel="2" x14ac:dyDescent="0.25">
      <c r="A47" s="28"/>
      <c r="B47" s="11" t="str">
        <f>CONCATENATE("          ", "6007", " - ", "STUDENT HOURLY")</f>
        <v xml:space="preserve">          6007 - STUDENT HOURLY</v>
      </c>
      <c r="C47" s="11"/>
      <c r="D47" s="7">
        <v>16902.439999999999</v>
      </c>
      <c r="E47" s="2"/>
      <c r="F47" s="6">
        <f t="shared" si="23"/>
        <v>7.3160401628116337E-2</v>
      </c>
      <c r="G47" s="2"/>
      <c r="H47" s="7">
        <v>190979.62</v>
      </c>
      <c r="I47" s="2"/>
      <c r="J47" s="6">
        <f t="shared" si="24"/>
        <v>8.7919337010460175E-2</v>
      </c>
      <c r="K47" s="2"/>
      <c r="L47" s="7">
        <f t="shared" si="25"/>
        <v>-174077.18</v>
      </c>
      <c r="M47" s="2"/>
      <c r="N47" s="6">
        <f t="shared" si="26"/>
        <v>-0.91149610623374366</v>
      </c>
      <c r="O47" s="11"/>
      <c r="P47" s="7">
        <v>38111.11</v>
      </c>
      <c r="Q47" s="2"/>
      <c r="R47" s="6">
        <f t="shared" si="27"/>
        <v>0.12459396170712361</v>
      </c>
      <c r="S47" s="2"/>
      <c r="T47" s="7">
        <v>411256.60000000003</v>
      </c>
      <c r="U47" s="2"/>
      <c r="V47" s="6">
        <f t="shared" si="28"/>
        <v>0.11069582710883977</v>
      </c>
      <c r="W47" s="2"/>
      <c r="X47" s="7">
        <f t="shared" si="29"/>
        <v>-373145.49000000005</v>
      </c>
      <c r="Y47" s="2"/>
      <c r="Z47" s="6">
        <f t="shared" si="30"/>
        <v>-0.9073300951279567</v>
      </c>
    </row>
    <row r="48" spans="1:26" s="24" customFormat="1" hidden="1" outlineLevel="2" x14ac:dyDescent="0.25">
      <c r="A48" s="28"/>
      <c r="B48" s="11" t="str">
        <f>CONCATENATE("          ", "6008", " - ", "STUDENT HOURLY-FICA EXEMPT")</f>
        <v xml:space="preserve">          6008 - STUDENT HOURLY-FICA EXEMPT</v>
      </c>
      <c r="C48" s="11"/>
      <c r="D48" s="7">
        <v>3086.33</v>
      </c>
      <c r="E48" s="2"/>
      <c r="F48" s="6">
        <f t="shared" si="23"/>
        <v>1.3358848921037692E-2</v>
      </c>
      <c r="G48" s="2"/>
      <c r="H48" s="7">
        <v>28397.809999999998</v>
      </c>
      <c r="I48" s="2"/>
      <c r="J48" s="6">
        <f t="shared" si="24"/>
        <v>1.3073209736981442E-2</v>
      </c>
      <c r="K48" s="2"/>
      <c r="L48" s="7">
        <f t="shared" si="25"/>
        <v>-25311.479999999996</v>
      </c>
      <c r="M48" s="2"/>
      <c r="N48" s="6">
        <f t="shared" si="26"/>
        <v>-0.89131802769298052</v>
      </c>
      <c r="O48" s="11"/>
      <c r="P48" s="7">
        <v>3702.66</v>
      </c>
      <c r="Q48" s="2"/>
      <c r="R48" s="6">
        <f t="shared" si="27"/>
        <v>1.2104844971833627E-2</v>
      </c>
      <c r="S48" s="2"/>
      <c r="T48" s="7">
        <v>51280.47</v>
      </c>
      <c r="U48" s="2"/>
      <c r="V48" s="6">
        <f t="shared" si="28"/>
        <v>1.3802900770905669E-2</v>
      </c>
      <c r="W48" s="2"/>
      <c r="X48" s="7">
        <f t="shared" si="29"/>
        <v>-47577.81</v>
      </c>
      <c r="Y48" s="2"/>
      <c r="Z48" s="6">
        <f t="shared" si="30"/>
        <v>-0.92779590358668707</v>
      </c>
    </row>
    <row r="49" spans="1:26" s="27" customFormat="1" outlineLevel="1" collapsed="1" x14ac:dyDescent="0.25">
      <c r="A49" s="29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49.61</v>
      </c>
      <c r="E49" s="1"/>
      <c r="F49" s="5">
        <f t="shared" ref="F49:F58" si="31">IF(D$12=0,0,D49/D$12)</f>
        <v>2.147315727652843E-4</v>
      </c>
      <c r="G49" s="1"/>
      <c r="H49" s="1">
        <f>SUM(OSRRefH22_2x_0)</f>
        <v>1550.75</v>
      </c>
      <c r="I49" s="1"/>
      <c r="J49" s="5">
        <f t="shared" ref="J49:J58" si="32">IF(H$12=0,0,H49/H$12)</f>
        <v>7.1390293827671824E-4</v>
      </c>
      <c r="K49" s="1"/>
      <c r="L49" s="1">
        <f t="shared" ref="L49:L58" si="33">+D49-H49</f>
        <v>-1501.14</v>
      </c>
      <c r="M49" s="1"/>
      <c r="N49" s="5">
        <f t="shared" ref="N49:N58" si="34">IF(H49=0,0,L49/H49)</f>
        <v>-0.96800902788973087</v>
      </c>
      <c r="O49" s="14"/>
      <c r="P49" s="1">
        <f>SUM(OSRRefP22_2x_0)</f>
        <v>1524.58</v>
      </c>
      <c r="Q49" s="1"/>
      <c r="R49" s="5">
        <f t="shared" ref="R49:R58" si="35">IF(P$12=0,0,P49/P$12)</f>
        <v>4.9842017757931083E-3</v>
      </c>
      <c r="S49" s="1"/>
      <c r="T49" s="1">
        <f>SUM(OSRRefT22_2x_0)</f>
        <v>13519.49</v>
      </c>
      <c r="U49" s="1"/>
      <c r="V49" s="5">
        <f t="shared" ref="V49:V58" si="36">IF(T$12=0,0,T49/T$12)</f>
        <v>3.6389716970856834E-3</v>
      </c>
      <c r="W49" s="1"/>
      <c r="X49" s="1">
        <f t="shared" ref="X49:X58" si="37">+P49-T49</f>
        <v>-11994.91</v>
      </c>
      <c r="Y49" s="1"/>
      <c r="Z49" s="5">
        <f t="shared" ref="Z49:Z58" si="38">IF(T49=0,0,X49/T49)</f>
        <v>-0.88723095323862067</v>
      </c>
    </row>
    <row r="50" spans="1:26" s="24" customFormat="1" hidden="1" outlineLevel="2" x14ac:dyDescent="0.25">
      <c r="A50" s="28"/>
      <c r="B50" s="11" t="str">
        <f>CONCATENATE("          ", "6362", " - ", "ADVERTISING EXPENSE")</f>
        <v xml:space="preserve">          6362 - ADVERTISING EXPENSE</v>
      </c>
      <c r="C50" s="11"/>
      <c r="D50" s="7">
        <v>49.61</v>
      </c>
      <c r="E50" s="2"/>
      <c r="F50" s="6">
        <f t="shared" si="31"/>
        <v>2.147315727652843E-4</v>
      </c>
      <c r="G50" s="2"/>
      <c r="H50" s="7">
        <v>1550.75</v>
      </c>
      <c r="I50" s="2"/>
      <c r="J50" s="6">
        <f t="shared" si="32"/>
        <v>7.1390293827671824E-4</v>
      </c>
      <c r="K50" s="2"/>
      <c r="L50" s="7">
        <f t="shared" si="33"/>
        <v>-1501.14</v>
      </c>
      <c r="M50" s="2"/>
      <c r="N50" s="6">
        <f t="shared" si="34"/>
        <v>-0.96800902788973087</v>
      </c>
      <c r="O50" s="11"/>
      <c r="P50" s="7">
        <v>1524.58</v>
      </c>
      <c r="Q50" s="2"/>
      <c r="R50" s="6">
        <f t="shared" si="35"/>
        <v>4.9842017757931083E-3</v>
      </c>
      <c r="S50" s="2"/>
      <c r="T50" s="7">
        <v>13519.49</v>
      </c>
      <c r="U50" s="2"/>
      <c r="V50" s="6">
        <f t="shared" si="36"/>
        <v>3.6389716970856834E-3</v>
      </c>
      <c r="W50" s="2"/>
      <c r="X50" s="7">
        <f t="shared" si="37"/>
        <v>-11994.91</v>
      </c>
      <c r="Y50" s="2"/>
      <c r="Z50" s="6">
        <f t="shared" si="38"/>
        <v>-0.88723095323862067</v>
      </c>
    </row>
    <row r="51" spans="1:26" s="27" customFormat="1" outlineLevel="1" collapsed="1" x14ac:dyDescent="0.25">
      <c r="A51" s="29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-163.63999999999999</v>
      </c>
      <c r="E51" s="1"/>
      <c r="F51" s="5">
        <f t="shared" si="31"/>
        <v>-7.0829821744227209E-4</v>
      </c>
      <c r="G51" s="1"/>
      <c r="H51" s="1">
        <f>SUM(OSRRefH22_3x_0)</f>
        <v>-19.16</v>
      </c>
      <c r="I51" s="1"/>
      <c r="J51" s="5">
        <f t="shared" si="32"/>
        <v>-8.8204935014553739E-6</v>
      </c>
      <c r="K51" s="1"/>
      <c r="L51" s="1">
        <f t="shared" si="33"/>
        <v>-144.47999999999999</v>
      </c>
      <c r="M51" s="1"/>
      <c r="N51" s="5">
        <f t="shared" si="34"/>
        <v>7.5407098121085587</v>
      </c>
      <c r="O51" s="14"/>
      <c r="P51" s="1">
        <f>SUM(OSRRefP22_3x_0)</f>
        <v>-131.78</v>
      </c>
      <c r="Q51" s="1"/>
      <c r="R51" s="5">
        <f t="shared" si="35"/>
        <v>-4.3081905181362466E-4</v>
      </c>
      <c r="S51" s="1"/>
      <c r="T51" s="1">
        <f>SUM(OSRRefT22_3x_0)</f>
        <v>-34.29</v>
      </c>
      <c r="U51" s="1"/>
      <c r="V51" s="5">
        <f t="shared" si="36"/>
        <v>-9.2296632116350608E-6</v>
      </c>
      <c r="W51" s="1"/>
      <c r="X51" s="1">
        <f t="shared" si="37"/>
        <v>-97.490000000000009</v>
      </c>
      <c r="Y51" s="1"/>
      <c r="Z51" s="5">
        <f t="shared" si="38"/>
        <v>2.8431029454651506</v>
      </c>
    </row>
    <row r="52" spans="1:26" s="24" customFormat="1" hidden="1" outlineLevel="2" x14ac:dyDescent="0.25">
      <c r="A52" s="28"/>
      <c r="B52" s="11" t="str">
        <f>CONCATENATE("          ", "6272", " - ", "CASH (OVER/SHORT)")</f>
        <v xml:space="preserve">          6272 - CASH (OVER/SHORT)</v>
      </c>
      <c r="C52" s="11"/>
      <c r="D52" s="7">
        <v>-163.63999999999999</v>
      </c>
      <c r="E52" s="2"/>
      <c r="F52" s="6">
        <f t="shared" si="31"/>
        <v>-7.0829821744227209E-4</v>
      </c>
      <c r="G52" s="2"/>
      <c r="H52" s="7">
        <v>-19.16</v>
      </c>
      <c r="I52" s="2"/>
      <c r="J52" s="6">
        <f t="shared" si="32"/>
        <v>-8.8204935014553739E-6</v>
      </c>
      <c r="K52" s="2"/>
      <c r="L52" s="7">
        <f t="shared" si="33"/>
        <v>-144.47999999999999</v>
      </c>
      <c r="M52" s="2"/>
      <c r="N52" s="6">
        <f t="shared" si="34"/>
        <v>7.5407098121085587</v>
      </c>
      <c r="O52" s="11"/>
      <c r="P52" s="7">
        <v>-131.78</v>
      </c>
      <c r="Q52" s="2"/>
      <c r="R52" s="6">
        <f t="shared" si="35"/>
        <v>-4.3081905181362466E-4</v>
      </c>
      <c r="S52" s="2"/>
      <c r="T52" s="7">
        <v>-34.29</v>
      </c>
      <c r="U52" s="2"/>
      <c r="V52" s="6">
        <f t="shared" si="36"/>
        <v>-9.2296632116350608E-6</v>
      </c>
      <c r="W52" s="2"/>
      <c r="X52" s="7">
        <f t="shared" si="37"/>
        <v>-97.490000000000009</v>
      </c>
      <c r="Y52" s="2"/>
      <c r="Z52" s="6">
        <f t="shared" si="38"/>
        <v>2.8431029454651506</v>
      </c>
    </row>
    <row r="53" spans="1:26" s="27" customFormat="1" outlineLevel="1" collapsed="1" x14ac:dyDescent="0.25">
      <c r="A53" s="29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493.43</v>
      </c>
      <c r="E53" s="1"/>
      <c r="F53" s="5">
        <f t="shared" si="31"/>
        <v>2.1357589185562235E-3</v>
      </c>
      <c r="G53" s="1"/>
      <c r="H53" s="1">
        <f>SUM(OSRRefH22_4x_0)</f>
        <v>21564.449999999997</v>
      </c>
      <c r="I53" s="1"/>
      <c r="J53" s="5">
        <f t="shared" si="32"/>
        <v>9.927405589115831E-3</v>
      </c>
      <c r="K53" s="1"/>
      <c r="L53" s="1">
        <f t="shared" si="33"/>
        <v>-21071.019999999997</v>
      </c>
      <c r="M53" s="1"/>
      <c r="N53" s="5">
        <f t="shared" si="34"/>
        <v>-0.97711835915128831</v>
      </c>
      <c r="O53" s="14"/>
      <c r="P53" s="1">
        <f>SUM(OSRRefP22_4x_0)</f>
        <v>1109.32</v>
      </c>
      <c r="Q53" s="1"/>
      <c r="R53" s="5">
        <f t="shared" si="35"/>
        <v>3.6266215704802707E-3</v>
      </c>
      <c r="S53" s="1"/>
      <c r="T53" s="1">
        <f>SUM(OSRRefT22_4x_0)</f>
        <v>35131.17</v>
      </c>
      <c r="U53" s="1"/>
      <c r="V53" s="5">
        <f t="shared" si="36"/>
        <v>9.4560766209010588E-3</v>
      </c>
      <c r="W53" s="1"/>
      <c r="X53" s="1">
        <f t="shared" si="37"/>
        <v>-34021.85</v>
      </c>
      <c r="Y53" s="1"/>
      <c r="Z53" s="5">
        <f t="shared" si="38"/>
        <v>-0.96842348262241196</v>
      </c>
    </row>
    <row r="54" spans="1:26" s="24" customFormat="1" hidden="1" outlineLevel="2" x14ac:dyDescent="0.25">
      <c r="A54" s="28"/>
      <c r="B54" s="11" t="str">
        <f>CONCATENATE("          ", "6381", " - ", "BANK/CREDIT CARD FEES")</f>
        <v xml:space="preserve">          6381 - BANK/CREDIT CARD FEES</v>
      </c>
      <c r="C54" s="11"/>
      <c r="D54" s="7">
        <v>493.43</v>
      </c>
      <c r="E54" s="2"/>
      <c r="F54" s="6">
        <f t="shared" si="31"/>
        <v>2.1357589185562235E-3</v>
      </c>
      <c r="G54" s="2"/>
      <c r="H54" s="7">
        <v>21564.449999999997</v>
      </c>
      <c r="I54" s="2"/>
      <c r="J54" s="6">
        <f t="shared" si="32"/>
        <v>9.927405589115831E-3</v>
      </c>
      <c r="K54" s="2"/>
      <c r="L54" s="7">
        <f t="shared" si="33"/>
        <v>-21071.019999999997</v>
      </c>
      <c r="M54" s="2"/>
      <c r="N54" s="6">
        <f t="shared" si="34"/>
        <v>-0.97711835915128831</v>
      </c>
      <c r="O54" s="11"/>
      <c r="P54" s="7">
        <v>1109.32</v>
      </c>
      <c r="Q54" s="2"/>
      <c r="R54" s="6">
        <f t="shared" si="35"/>
        <v>3.6266215704802707E-3</v>
      </c>
      <c r="S54" s="2"/>
      <c r="T54" s="7">
        <v>35131.17</v>
      </c>
      <c r="U54" s="2"/>
      <c r="V54" s="6">
        <f t="shared" si="36"/>
        <v>9.4560766209010588E-3</v>
      </c>
      <c r="W54" s="2"/>
      <c r="X54" s="7">
        <f t="shared" si="37"/>
        <v>-34021.85</v>
      </c>
      <c r="Y54" s="2"/>
      <c r="Z54" s="6">
        <f t="shared" si="38"/>
        <v>-0.96842348262241196</v>
      </c>
    </row>
    <row r="55" spans="1:26" s="27" customFormat="1" outlineLevel="1" collapsed="1" x14ac:dyDescent="0.25">
      <c r="A55" s="29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38440.44</v>
      </c>
      <c r="E55" s="1"/>
      <c r="F55" s="5">
        <f t="shared" si="31"/>
        <v>0.16638532834084954</v>
      </c>
      <c r="G55" s="1"/>
      <c r="H55" s="1">
        <f>SUM(OSRRefH22_5x_0)</f>
        <v>39571.050000000003</v>
      </c>
      <c r="I55" s="1"/>
      <c r="J55" s="5">
        <f t="shared" si="32"/>
        <v>1.8216920113296751E-2</v>
      </c>
      <c r="K55" s="1"/>
      <c r="L55" s="1">
        <f t="shared" si="33"/>
        <v>-1130.6100000000006</v>
      </c>
      <c r="M55" s="1"/>
      <c r="N55" s="5">
        <f t="shared" si="34"/>
        <v>-2.8571645179999026E-2</v>
      </c>
      <c r="O55" s="14"/>
      <c r="P55" s="1">
        <f>SUM(OSRRefP22_5x_0)</f>
        <v>114675.49</v>
      </c>
      <c r="Q55" s="1"/>
      <c r="R55" s="5">
        <f t="shared" si="35"/>
        <v>0.37490048465672182</v>
      </c>
      <c r="S55" s="1"/>
      <c r="T55" s="1">
        <f>SUM(OSRRefT22_5x_0)</f>
        <v>118713.15</v>
      </c>
      <c r="U55" s="1"/>
      <c r="V55" s="5">
        <f t="shared" si="36"/>
        <v>3.1953408961572317E-2</v>
      </c>
      <c r="W55" s="1"/>
      <c r="X55" s="1">
        <f t="shared" si="37"/>
        <v>-4037.6599999999889</v>
      </c>
      <c r="Y55" s="1"/>
      <c r="Z55" s="5">
        <f t="shared" si="38"/>
        <v>-3.4011901798579089E-2</v>
      </c>
    </row>
    <row r="56" spans="1:26" s="24" customFormat="1" hidden="1" outlineLevel="2" x14ac:dyDescent="0.25">
      <c r="A56" s="28"/>
      <c r="B56" s="11" t="str">
        <f>CONCATENATE("          ", "6321", " - ", "BUILDING DEPRECIATION")</f>
        <v xml:space="preserve">          6321 - BUILDING DEPRECIATION</v>
      </c>
      <c r="C56" s="11"/>
      <c r="D56" s="7">
        <v>23844.880000000001</v>
      </c>
      <c r="E56" s="2"/>
      <c r="F56" s="6">
        <f t="shared" si="31"/>
        <v>0.10321000977221272</v>
      </c>
      <c r="G56" s="2"/>
      <c r="H56" s="7">
        <v>24042.959999999999</v>
      </c>
      <c r="I56" s="2"/>
      <c r="J56" s="6">
        <f t="shared" si="32"/>
        <v>1.1068411922534004E-2</v>
      </c>
      <c r="K56" s="2"/>
      <c r="L56" s="7">
        <f t="shared" si="33"/>
        <v>-198.07999999999811</v>
      </c>
      <c r="M56" s="2"/>
      <c r="N56" s="6">
        <f t="shared" si="34"/>
        <v>-8.2385862639208357E-3</v>
      </c>
      <c r="O56" s="11"/>
      <c r="P56" s="7">
        <v>71534.66</v>
      </c>
      <c r="Q56" s="2"/>
      <c r="R56" s="6">
        <f t="shared" si="35"/>
        <v>0.23386321439528021</v>
      </c>
      <c r="S56" s="2"/>
      <c r="T56" s="7">
        <v>72128.88</v>
      </c>
      <c r="U56" s="2"/>
      <c r="V56" s="6">
        <f t="shared" si="36"/>
        <v>1.9414560228417612E-2</v>
      </c>
      <c r="W56" s="2"/>
      <c r="X56" s="7">
        <f t="shared" si="37"/>
        <v>-594.22000000000116</v>
      </c>
      <c r="Y56" s="2"/>
      <c r="Z56" s="6">
        <f t="shared" si="38"/>
        <v>-8.2383089824769381E-3</v>
      </c>
    </row>
    <row r="57" spans="1:26" s="24" customFormat="1" hidden="1" outlineLevel="2" x14ac:dyDescent="0.25">
      <c r="A57" s="28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14595.56</v>
      </c>
      <c r="E57" s="2"/>
      <c r="F57" s="6">
        <f t="shared" si="31"/>
        <v>6.3175318568636826E-2</v>
      </c>
      <c r="G57" s="2"/>
      <c r="H57" s="7">
        <v>15103.84</v>
      </c>
      <c r="I57" s="2"/>
      <c r="J57" s="6">
        <f t="shared" si="32"/>
        <v>6.9532005515147051E-3</v>
      </c>
      <c r="K57" s="2"/>
      <c r="L57" s="7">
        <f t="shared" si="33"/>
        <v>-508.28000000000065</v>
      </c>
      <c r="M57" s="2"/>
      <c r="N57" s="6">
        <f t="shared" si="34"/>
        <v>-3.3652369198826304E-2</v>
      </c>
      <c r="O57" s="11"/>
      <c r="P57" s="7">
        <v>43140.83</v>
      </c>
      <c r="Q57" s="2"/>
      <c r="R57" s="6">
        <f t="shared" si="35"/>
        <v>0.14103727026144161</v>
      </c>
      <c r="S57" s="2"/>
      <c r="T57" s="7">
        <v>45311.519999999997</v>
      </c>
      <c r="U57" s="2"/>
      <c r="V57" s="6">
        <f t="shared" si="36"/>
        <v>1.2196269151567986E-2</v>
      </c>
      <c r="W57" s="2"/>
      <c r="X57" s="7">
        <f t="shared" si="37"/>
        <v>-2170.6899999999951</v>
      </c>
      <c r="Y57" s="2"/>
      <c r="Z57" s="6">
        <f t="shared" si="38"/>
        <v>-4.7905918848010293E-2</v>
      </c>
    </row>
    <row r="58" spans="1:26" s="24" customFormat="1" hidden="1" outlineLevel="2" x14ac:dyDescent="0.25">
      <c r="A58" s="28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31"/>
        <v>0</v>
      </c>
      <c r="G58" s="2"/>
      <c r="H58" s="7">
        <v>424.25</v>
      </c>
      <c r="I58" s="2"/>
      <c r="J58" s="6">
        <f t="shared" si="32"/>
        <v>1.9530763924803982E-4</v>
      </c>
      <c r="K58" s="2"/>
      <c r="L58" s="7">
        <f t="shared" si="33"/>
        <v>-424.25</v>
      </c>
      <c r="M58" s="2"/>
      <c r="N58" s="6">
        <f t="shared" si="34"/>
        <v>-1</v>
      </c>
      <c r="O58" s="11"/>
      <c r="P58" s="7"/>
      <c r="Q58" s="2"/>
      <c r="R58" s="6">
        <f t="shared" si="35"/>
        <v>0</v>
      </c>
      <c r="S58" s="2"/>
      <c r="T58" s="7">
        <v>1272.75</v>
      </c>
      <c r="U58" s="2"/>
      <c r="V58" s="6">
        <f t="shared" si="36"/>
        <v>3.4257958158671691E-4</v>
      </c>
      <c r="W58" s="2"/>
      <c r="X58" s="7">
        <f t="shared" si="37"/>
        <v>-1272.75</v>
      </c>
      <c r="Y58" s="2"/>
      <c r="Z58" s="6">
        <f t="shared" si="38"/>
        <v>-1</v>
      </c>
    </row>
    <row r="59" spans="1:26" s="27" customFormat="1" outlineLevel="1" collapsed="1" x14ac:dyDescent="0.25">
      <c r="A59" s="29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8888.07</v>
      </c>
      <c r="E59" s="1"/>
      <c r="F59" s="5">
        <f t="shared" ref="F59:F69" si="39">IF(D$12=0,0,D59/D$12)</f>
        <v>3.8471059261196136E-2</v>
      </c>
      <c r="G59" s="1"/>
      <c r="H59" s="1">
        <f>SUM(OSRRefH22_6x_0)</f>
        <v>18816</v>
      </c>
      <c r="I59" s="1"/>
      <c r="J59" s="5">
        <f t="shared" ref="J59:J69" si="40">IF(H$12=0,0,H59/H$12)</f>
        <v>8.6621297350409354E-3</v>
      </c>
      <c r="K59" s="1"/>
      <c r="L59" s="1">
        <f t="shared" ref="L59:L69" si="41">+D59-H59</f>
        <v>-9927.93</v>
      </c>
      <c r="M59" s="1"/>
      <c r="N59" s="5">
        <f t="shared" ref="N59:N69" si="42">IF(H59=0,0,L59/H59)</f>
        <v>-0.5276323341836735</v>
      </c>
      <c r="O59" s="14"/>
      <c r="P59" s="1">
        <f>SUM(OSRRefP22_6x_0)</f>
        <v>11110.09</v>
      </c>
      <c r="Q59" s="1"/>
      <c r="R59" s="5">
        <f t="shared" ref="R59:R69" si="43">IF(P$12=0,0,P59/P$12)</f>
        <v>3.6321432989558609E-2</v>
      </c>
      <c r="S59" s="1"/>
      <c r="T59" s="1">
        <f>SUM(OSRRefT22_6x_0)</f>
        <v>26596.75</v>
      </c>
      <c r="U59" s="1"/>
      <c r="V59" s="5">
        <f t="shared" ref="V59:V69" si="44">IF(T$12=0,0,T59/T$12)</f>
        <v>7.1589106160412598E-3</v>
      </c>
      <c r="W59" s="1"/>
      <c r="X59" s="1">
        <f t="shared" ref="X59:X69" si="45">+P59-T59</f>
        <v>-15486.66</v>
      </c>
      <c r="Y59" s="1"/>
      <c r="Z59" s="5">
        <f t="shared" ref="Z59:Z69" si="46">IF(T59=0,0,X59/T59)</f>
        <v>-0.58227640595185504</v>
      </c>
    </row>
    <row r="60" spans="1:26" s="24" customFormat="1" hidden="1" outlineLevel="2" x14ac:dyDescent="0.25">
      <c r="A60" s="28"/>
      <c r="B60" s="11" t="str">
        <f>CONCATENATE("          ", "6399", " - ", "DONATION-ON CAMPUS")</f>
        <v xml:space="preserve">          6399 - DONATION-ON CAMPUS</v>
      </c>
      <c r="C60" s="11"/>
      <c r="D60" s="7">
        <v>8888.07</v>
      </c>
      <c r="E60" s="2"/>
      <c r="F60" s="6">
        <f t="shared" si="39"/>
        <v>3.8471059261196136E-2</v>
      </c>
      <c r="G60" s="2"/>
      <c r="H60" s="7">
        <v>18816</v>
      </c>
      <c r="I60" s="2"/>
      <c r="J60" s="6">
        <f t="shared" si="40"/>
        <v>8.6621297350409354E-3</v>
      </c>
      <c r="K60" s="2"/>
      <c r="L60" s="7">
        <f t="shared" si="41"/>
        <v>-9927.93</v>
      </c>
      <c r="M60" s="2"/>
      <c r="N60" s="6">
        <f t="shared" si="42"/>
        <v>-0.5276323341836735</v>
      </c>
      <c r="O60" s="11"/>
      <c r="P60" s="7">
        <v>11110.09</v>
      </c>
      <c r="Q60" s="2"/>
      <c r="R60" s="6">
        <f t="shared" si="43"/>
        <v>3.6321432989558609E-2</v>
      </c>
      <c r="S60" s="2"/>
      <c r="T60" s="7">
        <v>26596.75</v>
      </c>
      <c r="U60" s="2"/>
      <c r="V60" s="6">
        <f t="shared" si="44"/>
        <v>7.1589106160412598E-3</v>
      </c>
      <c r="W60" s="2"/>
      <c r="X60" s="7">
        <f t="shared" si="45"/>
        <v>-15486.66</v>
      </c>
      <c r="Y60" s="2"/>
      <c r="Z60" s="6">
        <f t="shared" si="46"/>
        <v>-0.58227640595185504</v>
      </c>
    </row>
    <row r="61" spans="1:26" s="27" customFormat="1" outlineLevel="1" collapsed="1" x14ac:dyDescent="0.25">
      <c r="A61" s="29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0</v>
      </c>
      <c r="E61" s="1"/>
      <c r="F61" s="5">
        <f t="shared" si="39"/>
        <v>0</v>
      </c>
      <c r="G61" s="1"/>
      <c r="H61" s="1">
        <f>SUM(OSRRefH22_7x_0)</f>
        <v>755.08</v>
      </c>
      <c r="I61" s="1"/>
      <c r="J61" s="5">
        <f t="shared" si="40"/>
        <v>3.4760846727969336E-4</v>
      </c>
      <c r="K61" s="1"/>
      <c r="L61" s="1">
        <f t="shared" si="41"/>
        <v>-755.08</v>
      </c>
      <c r="M61" s="1"/>
      <c r="N61" s="5">
        <f t="shared" si="42"/>
        <v>-1</v>
      </c>
      <c r="O61" s="14"/>
      <c r="P61" s="1">
        <f>SUM(OSRRefP22_7x_0)</f>
        <v>0</v>
      </c>
      <c r="Q61" s="1"/>
      <c r="R61" s="5">
        <f t="shared" si="43"/>
        <v>0</v>
      </c>
      <c r="S61" s="1"/>
      <c r="T61" s="1">
        <f>SUM(OSRRefT22_7x_0)</f>
        <v>1267.8599999999999</v>
      </c>
      <c r="U61" s="1"/>
      <c r="V61" s="5">
        <f t="shared" si="44"/>
        <v>3.4126336539818102E-4</v>
      </c>
      <c r="W61" s="1"/>
      <c r="X61" s="1">
        <f t="shared" si="45"/>
        <v>-1267.8599999999999</v>
      </c>
      <c r="Y61" s="1"/>
      <c r="Z61" s="5">
        <f t="shared" si="46"/>
        <v>-1</v>
      </c>
    </row>
    <row r="62" spans="1:26" s="24" customFormat="1" hidden="1" outlineLevel="2" x14ac:dyDescent="0.25">
      <c r="A62" s="28"/>
      <c r="B62" s="11" t="str">
        <f>CONCATENATE("          ", "6277", " - ", "EMPLOYEE APPRECIATION")</f>
        <v xml:space="preserve">          6277 - EMPLOYEE APPRECIATION</v>
      </c>
      <c r="C62" s="11"/>
      <c r="D62" s="7"/>
      <c r="E62" s="2"/>
      <c r="F62" s="6">
        <f t="shared" si="39"/>
        <v>0</v>
      </c>
      <c r="G62" s="2"/>
      <c r="H62" s="7">
        <v>755.08</v>
      </c>
      <c r="I62" s="2"/>
      <c r="J62" s="6">
        <f t="shared" si="40"/>
        <v>3.4760846727969336E-4</v>
      </c>
      <c r="K62" s="2"/>
      <c r="L62" s="7">
        <f t="shared" si="41"/>
        <v>-755.08</v>
      </c>
      <c r="M62" s="2"/>
      <c r="N62" s="6">
        <f t="shared" si="42"/>
        <v>-1</v>
      </c>
      <c r="O62" s="11"/>
      <c r="P62" s="7"/>
      <c r="Q62" s="2"/>
      <c r="R62" s="6">
        <f t="shared" si="43"/>
        <v>0</v>
      </c>
      <c r="S62" s="2"/>
      <c r="T62" s="7">
        <v>1267.8599999999999</v>
      </c>
      <c r="U62" s="2"/>
      <c r="V62" s="6">
        <f t="shared" si="44"/>
        <v>3.4126336539818102E-4</v>
      </c>
      <c r="W62" s="2"/>
      <c r="X62" s="7">
        <f t="shared" si="45"/>
        <v>-1267.8599999999999</v>
      </c>
      <c r="Y62" s="2"/>
      <c r="Z62" s="6">
        <f t="shared" si="46"/>
        <v>-1</v>
      </c>
    </row>
    <row r="63" spans="1:26" s="27" customFormat="1" outlineLevel="1" collapsed="1" x14ac:dyDescent="0.25">
      <c r="A63" s="29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885.78</v>
      </c>
      <c r="E63" s="1"/>
      <c r="F63" s="5">
        <f t="shared" si="39"/>
        <v>3.8340038807505245E-3</v>
      </c>
      <c r="G63" s="1"/>
      <c r="H63" s="1">
        <f>SUM(OSRRefH22_8x_0)</f>
        <v>747.36</v>
      </c>
      <c r="I63" s="1"/>
      <c r="J63" s="5">
        <f t="shared" si="40"/>
        <v>3.4405448973109026E-4</v>
      </c>
      <c r="K63" s="1"/>
      <c r="L63" s="1">
        <f t="shared" si="41"/>
        <v>138.41999999999996</v>
      </c>
      <c r="M63" s="1"/>
      <c r="N63" s="5">
        <f t="shared" si="42"/>
        <v>0.18521194605009628</v>
      </c>
      <c r="O63" s="14"/>
      <c r="P63" s="1">
        <f>SUM(OSRRefP22_8x_0)</f>
        <v>2975.29</v>
      </c>
      <c r="Q63" s="1"/>
      <c r="R63" s="5">
        <f t="shared" si="43"/>
        <v>9.7269055749776845E-3</v>
      </c>
      <c r="S63" s="1"/>
      <c r="T63" s="1">
        <f>SUM(OSRRefT22_8x_0)</f>
        <v>7614.03</v>
      </c>
      <c r="U63" s="1"/>
      <c r="V63" s="5">
        <f t="shared" si="44"/>
        <v>2.04942935500979E-3</v>
      </c>
      <c r="W63" s="1"/>
      <c r="X63" s="1">
        <f t="shared" si="45"/>
        <v>-4638.74</v>
      </c>
      <c r="Y63" s="1"/>
      <c r="Z63" s="5">
        <f t="shared" si="46"/>
        <v>-0.6092358448810945</v>
      </c>
    </row>
    <row r="64" spans="1:26" s="24" customFormat="1" hidden="1" outlineLevel="2" x14ac:dyDescent="0.25">
      <c r="A64" s="28"/>
      <c r="B64" s="11" t="str">
        <f>CONCATENATE("          ", "6351", " - ", "EQUIPMENT RENTAL")</f>
        <v xml:space="preserve">          6351 - EQUIPMENT RENTAL</v>
      </c>
      <c r="C64" s="11"/>
      <c r="D64" s="7">
        <v>885.78</v>
      </c>
      <c r="E64" s="2"/>
      <c r="F64" s="6">
        <f t="shared" si="39"/>
        <v>3.8340038807505245E-3</v>
      </c>
      <c r="G64" s="2"/>
      <c r="H64" s="7">
        <v>747.36</v>
      </c>
      <c r="I64" s="2"/>
      <c r="J64" s="6">
        <f t="shared" si="40"/>
        <v>3.4405448973109026E-4</v>
      </c>
      <c r="K64" s="2"/>
      <c r="L64" s="7">
        <f t="shared" si="41"/>
        <v>138.41999999999996</v>
      </c>
      <c r="M64" s="2"/>
      <c r="N64" s="6">
        <f t="shared" si="42"/>
        <v>0.18521194605009628</v>
      </c>
      <c r="O64" s="11"/>
      <c r="P64" s="7">
        <v>2975.29</v>
      </c>
      <c r="Q64" s="2"/>
      <c r="R64" s="6">
        <f t="shared" si="43"/>
        <v>9.7269055749776845E-3</v>
      </c>
      <c r="S64" s="2"/>
      <c r="T64" s="7">
        <v>7614.03</v>
      </c>
      <c r="U64" s="2"/>
      <c r="V64" s="6">
        <f t="shared" si="44"/>
        <v>2.04942935500979E-3</v>
      </c>
      <c r="W64" s="2"/>
      <c r="X64" s="7">
        <f t="shared" si="45"/>
        <v>-4638.74</v>
      </c>
      <c r="Y64" s="2"/>
      <c r="Z64" s="6">
        <f t="shared" si="46"/>
        <v>-0.6092358448810945</v>
      </c>
    </row>
    <row r="65" spans="1:26" s="27" customFormat="1" outlineLevel="1" collapsed="1" x14ac:dyDescent="0.25">
      <c r="A65" s="29"/>
      <c r="B65" s="14" t="str">
        <f>CONCATENATE("     ","Freight out/Postage                               ")</f>
        <v xml:space="preserve">     Freight out/Postage                               </v>
      </c>
      <c r="C65" s="14"/>
      <c r="D65" s="1">
        <f>SUM(OSRRefD22_9x_0)</f>
        <v>-5.41</v>
      </c>
      <c r="E65" s="1"/>
      <c r="F65" s="5">
        <f t="shared" si="39"/>
        <v>-2.3416605697645398E-5</v>
      </c>
      <c r="G65" s="1"/>
      <c r="H65" s="1">
        <f>SUM(OSRRefH22_9x_0)</f>
        <v>0</v>
      </c>
      <c r="I65" s="1"/>
      <c r="J65" s="5">
        <f t="shared" si="40"/>
        <v>0</v>
      </c>
      <c r="K65" s="1"/>
      <c r="L65" s="1">
        <f t="shared" si="41"/>
        <v>-5.41</v>
      </c>
      <c r="M65" s="1"/>
      <c r="N65" s="5">
        <f t="shared" si="42"/>
        <v>0</v>
      </c>
      <c r="O65" s="14"/>
      <c r="P65" s="1">
        <f>SUM(OSRRefP22_9x_0)</f>
        <v>-5.41</v>
      </c>
      <c r="Q65" s="1"/>
      <c r="R65" s="5">
        <f t="shared" si="43"/>
        <v>-1.7686531114825537E-5</v>
      </c>
      <c r="S65" s="1"/>
      <c r="T65" s="1">
        <f>SUM(OSRRefT22_9x_0)</f>
        <v>0</v>
      </c>
      <c r="U65" s="1"/>
      <c r="V65" s="5">
        <f t="shared" si="44"/>
        <v>0</v>
      </c>
      <c r="W65" s="1"/>
      <c r="X65" s="1">
        <f t="shared" si="45"/>
        <v>-5.41</v>
      </c>
      <c r="Y65" s="1"/>
      <c r="Z65" s="5">
        <f t="shared" si="46"/>
        <v>0</v>
      </c>
    </row>
    <row r="66" spans="1:26" s="24" customFormat="1" hidden="1" outlineLevel="2" x14ac:dyDescent="0.25">
      <c r="A66" s="28"/>
      <c r="B66" s="11" t="str">
        <f>CONCATENATE("          ", "6307", " - ", "POSTAGE")</f>
        <v xml:space="preserve">          6307 - POSTAGE</v>
      </c>
      <c r="C66" s="11"/>
      <c r="D66" s="7">
        <v>-5.41</v>
      </c>
      <c r="E66" s="2"/>
      <c r="F66" s="6">
        <f t="shared" si="39"/>
        <v>-2.3416605697645398E-5</v>
      </c>
      <c r="G66" s="2"/>
      <c r="H66" s="7"/>
      <c r="I66" s="2"/>
      <c r="J66" s="6">
        <f t="shared" si="40"/>
        <v>0</v>
      </c>
      <c r="K66" s="2"/>
      <c r="L66" s="7">
        <f t="shared" si="41"/>
        <v>-5.41</v>
      </c>
      <c r="M66" s="2"/>
      <c r="N66" s="6">
        <f t="shared" si="42"/>
        <v>0</v>
      </c>
      <c r="O66" s="11"/>
      <c r="P66" s="7">
        <v>-5.41</v>
      </c>
      <c r="Q66" s="2"/>
      <c r="R66" s="6">
        <f t="shared" si="43"/>
        <v>-1.7686531114825537E-5</v>
      </c>
      <c r="S66" s="2"/>
      <c r="T66" s="7"/>
      <c r="U66" s="2"/>
      <c r="V66" s="6">
        <f t="shared" si="44"/>
        <v>0</v>
      </c>
      <c r="W66" s="2"/>
      <c r="X66" s="7">
        <f t="shared" si="45"/>
        <v>-5.41</v>
      </c>
      <c r="Y66" s="2"/>
      <c r="Z66" s="6">
        <f t="shared" si="46"/>
        <v>0</v>
      </c>
    </row>
    <row r="67" spans="1:26" s="27" customFormat="1" outlineLevel="1" collapsed="1" x14ac:dyDescent="0.25">
      <c r="A67" s="29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SUM(OSRRefD22_10x_0)</f>
        <v>552.16999999999996</v>
      </c>
      <c r="E67" s="1"/>
      <c r="F67" s="5">
        <f t="shared" si="39"/>
        <v>2.3900087186818591E-3</v>
      </c>
      <c r="G67" s="1"/>
      <c r="H67" s="1">
        <f>SUM(OSRRefH22_10x_0)</f>
        <v>7536.15</v>
      </c>
      <c r="I67" s="1"/>
      <c r="J67" s="5">
        <f t="shared" si="40"/>
        <v>3.469340401930737E-3</v>
      </c>
      <c r="K67" s="1"/>
      <c r="L67" s="1">
        <f t="shared" si="41"/>
        <v>-6983.98</v>
      </c>
      <c r="M67" s="1"/>
      <c r="N67" s="5">
        <f t="shared" si="42"/>
        <v>-0.92673049236015737</v>
      </c>
      <c r="O67" s="14"/>
      <c r="P67" s="1">
        <f>SUM(OSRRefP22_10x_0)</f>
        <v>10147.4</v>
      </c>
      <c r="Q67" s="1"/>
      <c r="R67" s="5">
        <f t="shared" si="43"/>
        <v>3.3174178527648923E-2</v>
      </c>
      <c r="S67" s="1"/>
      <c r="T67" s="1">
        <f>SUM(OSRRefT22_10x_0)</f>
        <v>35712.990000000005</v>
      </c>
      <c r="U67" s="1"/>
      <c r="V67" s="5">
        <f t="shared" si="44"/>
        <v>9.6126821224990049E-3</v>
      </c>
      <c r="W67" s="1"/>
      <c r="X67" s="1">
        <f t="shared" si="45"/>
        <v>-25565.590000000004</v>
      </c>
      <c r="Y67" s="1"/>
      <c r="Z67" s="5">
        <f t="shared" si="46"/>
        <v>-0.7158624914911913</v>
      </c>
    </row>
    <row r="68" spans="1:26" s="24" customFormat="1" hidden="1" outlineLevel="2" x14ac:dyDescent="0.25">
      <c r="A68" s="28"/>
      <c r="B68" s="11" t="str">
        <f>CONCATENATE("          ", "6269", " - ", "ENTERTAINMENT")</f>
        <v xml:space="preserve">          6269 - ENTERTAINMENT</v>
      </c>
      <c r="C68" s="11"/>
      <c r="D68" s="7"/>
      <c r="E68" s="2"/>
      <c r="F68" s="6">
        <f t="shared" si="39"/>
        <v>0</v>
      </c>
      <c r="G68" s="2"/>
      <c r="H68" s="7">
        <v>1050</v>
      </c>
      <c r="I68" s="2"/>
      <c r="J68" s="6">
        <f t="shared" si="40"/>
        <v>4.8337777539290939E-4</v>
      </c>
      <c r="K68" s="2"/>
      <c r="L68" s="7">
        <f t="shared" si="41"/>
        <v>-1050</v>
      </c>
      <c r="M68" s="2"/>
      <c r="N68" s="6">
        <f t="shared" si="42"/>
        <v>-1</v>
      </c>
      <c r="O68" s="11"/>
      <c r="P68" s="7"/>
      <c r="Q68" s="2"/>
      <c r="R68" s="6">
        <f t="shared" si="43"/>
        <v>0</v>
      </c>
      <c r="S68" s="2"/>
      <c r="T68" s="7">
        <v>3650</v>
      </c>
      <c r="U68" s="2"/>
      <c r="V68" s="6">
        <f t="shared" si="44"/>
        <v>9.8245175626911554E-4</v>
      </c>
      <c r="W68" s="2"/>
      <c r="X68" s="7">
        <f t="shared" si="45"/>
        <v>-3650</v>
      </c>
      <c r="Y68" s="2"/>
      <c r="Z68" s="6">
        <f t="shared" si="46"/>
        <v>-1</v>
      </c>
    </row>
    <row r="69" spans="1:26" s="24" customFormat="1" hidden="1" outlineLevel="2" x14ac:dyDescent="0.25">
      <c r="A69" s="28"/>
      <c r="B69" s="11" t="str">
        <f>CONCATENATE("          ", "6279", " - ", "GENERAL EXPENSE")</f>
        <v xml:space="preserve">          6279 - GENERAL EXPENSE</v>
      </c>
      <c r="C69" s="11"/>
      <c r="D69" s="7">
        <v>552.16999999999996</v>
      </c>
      <c r="E69" s="2"/>
      <c r="F69" s="6">
        <f t="shared" si="39"/>
        <v>2.3900087186818591E-3</v>
      </c>
      <c r="G69" s="2"/>
      <c r="H69" s="7">
        <v>6486.15</v>
      </c>
      <c r="I69" s="2"/>
      <c r="J69" s="6">
        <f t="shared" si="40"/>
        <v>2.9859626265378277E-3</v>
      </c>
      <c r="K69" s="2"/>
      <c r="L69" s="7">
        <f t="shared" si="41"/>
        <v>-5933.98</v>
      </c>
      <c r="M69" s="2"/>
      <c r="N69" s="6">
        <f t="shared" si="42"/>
        <v>-0.9148693755155215</v>
      </c>
      <c r="O69" s="11"/>
      <c r="P69" s="7">
        <v>10147.4</v>
      </c>
      <c r="Q69" s="2"/>
      <c r="R69" s="6">
        <f t="shared" si="43"/>
        <v>3.3174178527648923E-2</v>
      </c>
      <c r="S69" s="2"/>
      <c r="T69" s="7">
        <v>32062.99</v>
      </c>
      <c r="U69" s="2"/>
      <c r="V69" s="6">
        <f t="shared" si="44"/>
        <v>8.6302303662298876E-3</v>
      </c>
      <c r="W69" s="2"/>
      <c r="X69" s="7">
        <f t="shared" si="45"/>
        <v>-21915.590000000004</v>
      </c>
      <c r="Y69" s="2"/>
      <c r="Z69" s="6">
        <f t="shared" si="46"/>
        <v>-0.68351672754162984</v>
      </c>
    </row>
    <row r="70" spans="1:26" s="27" customFormat="1" outlineLevel="1" collapsed="1" x14ac:dyDescent="0.25">
      <c r="A70" s="29"/>
      <c r="B70" s="14" t="str">
        <f>CONCATENATE("     ","Insurance                                         ")</f>
        <v xml:space="preserve">     Insurance                                         </v>
      </c>
      <c r="C70" s="14"/>
      <c r="D70" s="1">
        <f>SUM(OSRRefD22_11x_0)</f>
        <v>4246.03</v>
      </c>
      <c r="E70" s="1"/>
      <c r="F70" s="5">
        <f t="shared" ref="F70:F83" si="47">IF(D$12=0,0,D70/D$12)</f>
        <v>1.8378486190457167E-2</v>
      </c>
      <c r="G70" s="1"/>
      <c r="H70" s="1">
        <f>SUM(OSRRefH22_11x_0)</f>
        <v>4246.03</v>
      </c>
      <c r="I70" s="1"/>
      <c r="J70" s="5">
        <f t="shared" ref="J70:J83" si="48">IF(H$12=0,0,H70/H$12)</f>
        <v>1.9547014625252903E-3</v>
      </c>
      <c r="K70" s="1"/>
      <c r="L70" s="1">
        <f t="shared" ref="L70:L83" si="49">+D70-H70</f>
        <v>0</v>
      </c>
      <c r="M70" s="1"/>
      <c r="N70" s="5">
        <f t="shared" ref="N70:N83" si="50">IF(H70=0,0,L70/H70)</f>
        <v>0</v>
      </c>
      <c r="O70" s="14"/>
      <c r="P70" s="1">
        <f>SUM(OSRRefP22_11x_0)</f>
        <v>12738.09</v>
      </c>
      <c r="Q70" s="1"/>
      <c r="R70" s="5">
        <f t="shared" ref="R70:R83" si="51">IF(P$12=0,0,P70/P$12)</f>
        <v>4.1643738471062487E-2</v>
      </c>
      <c r="S70" s="1"/>
      <c r="T70" s="1">
        <f>SUM(OSRRefT22_11x_0)</f>
        <v>12738.09</v>
      </c>
      <c r="U70" s="1"/>
      <c r="V70" s="5">
        <f t="shared" ref="V70:V83" si="52">IF(T$12=0,0,T70/T$12)</f>
        <v>3.4286462717846734E-3</v>
      </c>
      <c r="W70" s="1"/>
      <c r="X70" s="1">
        <f t="shared" ref="X70:X83" si="53">+P70-T70</f>
        <v>0</v>
      </c>
      <c r="Y70" s="1"/>
      <c r="Z70" s="5">
        <f t="shared" ref="Z70:Z83" si="54">IF(T70=0,0,X70/T70)</f>
        <v>0</v>
      </c>
    </row>
    <row r="71" spans="1:26" s="24" customFormat="1" hidden="1" outlineLevel="2" x14ac:dyDescent="0.25">
      <c r="A71" s="28"/>
      <c r="B71" s="11" t="str">
        <f>CONCATENATE("          ", "6314", " - ", "LIABILITY INSURANCE")</f>
        <v xml:space="preserve">          6314 - LIABILITY INSURANCE</v>
      </c>
      <c r="C71" s="11"/>
      <c r="D71" s="7">
        <v>4246.03</v>
      </c>
      <c r="E71" s="2"/>
      <c r="F71" s="6">
        <f t="shared" si="47"/>
        <v>1.8378486190457167E-2</v>
      </c>
      <c r="G71" s="2"/>
      <c r="H71" s="7">
        <v>4246.03</v>
      </c>
      <c r="I71" s="2"/>
      <c r="J71" s="6">
        <f t="shared" si="48"/>
        <v>1.9547014625252903E-3</v>
      </c>
      <c r="K71" s="2"/>
      <c r="L71" s="7">
        <f t="shared" si="49"/>
        <v>0</v>
      </c>
      <c r="M71" s="2"/>
      <c r="N71" s="6">
        <f t="shared" si="50"/>
        <v>0</v>
      </c>
      <c r="O71" s="11"/>
      <c r="P71" s="7">
        <v>12738.09</v>
      </c>
      <c r="Q71" s="2"/>
      <c r="R71" s="6">
        <f t="shared" si="51"/>
        <v>4.1643738471062487E-2</v>
      </c>
      <c r="S71" s="2"/>
      <c r="T71" s="7">
        <v>12738.09</v>
      </c>
      <c r="U71" s="2"/>
      <c r="V71" s="6">
        <f t="shared" si="52"/>
        <v>3.4286462717846734E-3</v>
      </c>
      <c r="W71" s="2"/>
      <c r="X71" s="7">
        <f t="shared" si="53"/>
        <v>0</v>
      </c>
      <c r="Y71" s="2"/>
      <c r="Z71" s="6">
        <f t="shared" si="54"/>
        <v>0</v>
      </c>
    </row>
    <row r="72" spans="1:26" s="27" customFormat="1" outlineLevel="1" collapsed="1" x14ac:dyDescent="0.25">
      <c r="A72" s="29"/>
      <c r="B72" s="14" t="str">
        <f>CONCATENATE("     ","Interest                                          ")</f>
        <v xml:space="preserve">     Interest                                          </v>
      </c>
      <c r="C72" s="14"/>
      <c r="D72" s="1">
        <f>SUM(OSRRefD22_12x_0)</f>
        <v>7510</v>
      </c>
      <c r="E72" s="1"/>
      <c r="F72" s="5">
        <f t="shared" si="47"/>
        <v>3.2506230829818288E-2</v>
      </c>
      <c r="G72" s="1"/>
      <c r="H72" s="1">
        <f>SUM(OSRRefH22_12x_0)</f>
        <v>7630</v>
      </c>
      <c r="I72" s="1"/>
      <c r="J72" s="5">
        <f t="shared" si="48"/>
        <v>3.5125451678551414E-3</v>
      </c>
      <c r="K72" s="1"/>
      <c r="L72" s="1">
        <f t="shared" si="49"/>
        <v>-120</v>
      </c>
      <c r="M72" s="1"/>
      <c r="N72" s="5">
        <f t="shared" si="50"/>
        <v>-1.5727391874180863E-2</v>
      </c>
      <c r="O72" s="14"/>
      <c r="P72" s="1">
        <f>SUM(OSRRefP22_12x_0)</f>
        <v>22530</v>
      </c>
      <c r="Q72" s="1"/>
      <c r="R72" s="5">
        <f t="shared" si="51"/>
        <v>7.3655738635308568E-2</v>
      </c>
      <c r="S72" s="1"/>
      <c r="T72" s="1">
        <f>SUM(OSRRefT22_12x_0)</f>
        <v>22890</v>
      </c>
      <c r="U72" s="1"/>
      <c r="V72" s="5">
        <f t="shared" si="52"/>
        <v>6.1611837536986449E-3</v>
      </c>
      <c r="W72" s="1"/>
      <c r="X72" s="1">
        <f t="shared" si="53"/>
        <v>-360</v>
      </c>
      <c r="Y72" s="1"/>
      <c r="Z72" s="5">
        <f t="shared" si="54"/>
        <v>-1.5727391874180863E-2</v>
      </c>
    </row>
    <row r="73" spans="1:26" s="24" customFormat="1" hidden="1" outlineLevel="2" x14ac:dyDescent="0.25">
      <c r="A73" s="28"/>
      <c r="B73" s="11" t="str">
        <f>CONCATENATE("          ", "6401", " - ", "INTEREST EXPENSE")</f>
        <v xml:space="preserve">          6401 - INTEREST EXPENSE</v>
      </c>
      <c r="C73" s="11"/>
      <c r="D73" s="7">
        <v>7510</v>
      </c>
      <c r="E73" s="2"/>
      <c r="F73" s="6">
        <f t="shared" si="47"/>
        <v>3.2506230829818288E-2</v>
      </c>
      <c r="G73" s="2"/>
      <c r="H73" s="7">
        <v>7630</v>
      </c>
      <c r="I73" s="2"/>
      <c r="J73" s="6">
        <f t="shared" si="48"/>
        <v>3.5125451678551414E-3</v>
      </c>
      <c r="K73" s="2"/>
      <c r="L73" s="7">
        <f t="shared" si="49"/>
        <v>-120</v>
      </c>
      <c r="M73" s="2"/>
      <c r="N73" s="6">
        <f t="shared" si="50"/>
        <v>-1.5727391874180863E-2</v>
      </c>
      <c r="O73" s="11"/>
      <c r="P73" s="7">
        <v>22530</v>
      </c>
      <c r="Q73" s="2"/>
      <c r="R73" s="6">
        <f t="shared" si="51"/>
        <v>7.3655738635308568E-2</v>
      </c>
      <c r="S73" s="2"/>
      <c r="T73" s="7">
        <v>22890</v>
      </c>
      <c r="U73" s="2"/>
      <c r="V73" s="6">
        <f t="shared" si="52"/>
        <v>6.1611837536986449E-3</v>
      </c>
      <c r="W73" s="2"/>
      <c r="X73" s="7">
        <f t="shared" si="53"/>
        <v>-360</v>
      </c>
      <c r="Y73" s="2"/>
      <c r="Z73" s="6">
        <f t="shared" si="54"/>
        <v>-1.5727391874180863E-2</v>
      </c>
    </row>
    <row r="74" spans="1:26" s="27" customFormat="1" outlineLevel="1" collapsed="1" x14ac:dyDescent="0.25">
      <c r="A74" s="29"/>
      <c r="B74" s="14" t="str">
        <f>CONCATENATE("     ","Professional Services                             ")</f>
        <v xml:space="preserve">     Professional Services                             </v>
      </c>
      <c r="C74" s="14"/>
      <c r="D74" s="1">
        <f>SUM(OSRRefD22_13x_0)</f>
        <v>0</v>
      </c>
      <c r="E74" s="1"/>
      <c r="F74" s="5">
        <f t="shared" si="47"/>
        <v>0</v>
      </c>
      <c r="G74" s="1"/>
      <c r="H74" s="1">
        <f>SUM(OSRRefH22_13x_0)</f>
        <v>0</v>
      </c>
      <c r="I74" s="1"/>
      <c r="J74" s="5">
        <f t="shared" si="48"/>
        <v>0</v>
      </c>
      <c r="K74" s="1"/>
      <c r="L74" s="1">
        <f t="shared" si="49"/>
        <v>0</v>
      </c>
      <c r="M74" s="1"/>
      <c r="N74" s="5">
        <f t="shared" si="50"/>
        <v>0</v>
      </c>
      <c r="O74" s="14"/>
      <c r="P74" s="1">
        <f>SUM(OSRRefP22_13x_0)</f>
        <v>0</v>
      </c>
      <c r="Q74" s="1"/>
      <c r="R74" s="5">
        <f t="shared" si="51"/>
        <v>0</v>
      </c>
      <c r="S74" s="1"/>
      <c r="T74" s="1">
        <f>SUM(OSRRefT22_13x_0)</f>
        <v>125</v>
      </c>
      <c r="U74" s="1"/>
      <c r="V74" s="5">
        <f t="shared" si="52"/>
        <v>3.3645608091408066E-5</v>
      </c>
      <c r="W74" s="1"/>
      <c r="X74" s="1">
        <f t="shared" si="53"/>
        <v>-125</v>
      </c>
      <c r="Y74" s="1"/>
      <c r="Z74" s="5">
        <f t="shared" si="54"/>
        <v>-1</v>
      </c>
    </row>
    <row r="75" spans="1:26" s="24" customFormat="1" hidden="1" outlineLevel="2" x14ac:dyDescent="0.25">
      <c r="A75" s="28"/>
      <c r="B75" s="11" t="str">
        <f>CONCATENATE("          ", "6336", " - ", "PROFESSIONAL SERVICES")</f>
        <v xml:space="preserve">          6336 - PROFESSIONAL SERVICES</v>
      </c>
      <c r="C75" s="11"/>
      <c r="D75" s="7"/>
      <c r="E75" s="2"/>
      <c r="F75" s="6">
        <f t="shared" si="47"/>
        <v>0</v>
      </c>
      <c r="G75" s="2"/>
      <c r="H75" s="7"/>
      <c r="I75" s="2"/>
      <c r="J75" s="6">
        <f t="shared" si="48"/>
        <v>0</v>
      </c>
      <c r="K75" s="2"/>
      <c r="L75" s="7">
        <f t="shared" si="49"/>
        <v>0</v>
      </c>
      <c r="M75" s="2"/>
      <c r="N75" s="6">
        <f t="shared" si="50"/>
        <v>0</v>
      </c>
      <c r="O75" s="11"/>
      <c r="P75" s="7"/>
      <c r="Q75" s="2"/>
      <c r="R75" s="6">
        <f t="shared" si="51"/>
        <v>0</v>
      </c>
      <c r="S75" s="2"/>
      <c r="T75" s="7">
        <v>125</v>
      </c>
      <c r="U75" s="2"/>
      <c r="V75" s="6">
        <f t="shared" si="52"/>
        <v>3.3645608091408066E-5</v>
      </c>
      <c r="W75" s="2"/>
      <c r="X75" s="7">
        <f t="shared" si="53"/>
        <v>-125</v>
      </c>
      <c r="Y75" s="2"/>
      <c r="Z75" s="6">
        <f t="shared" si="54"/>
        <v>-1</v>
      </c>
    </row>
    <row r="76" spans="1:26" s="27" customFormat="1" outlineLevel="1" collapsed="1" x14ac:dyDescent="0.25">
      <c r="A76" s="29"/>
      <c r="B76" s="14" t="str">
        <f>CONCATENATE("     ","R/H Commissions                                   ")</f>
        <v xml:space="preserve">     R/H Commissions                                   </v>
      </c>
      <c r="C76" s="14"/>
      <c r="D76" s="1">
        <f>SUM(OSRRefD22_14x_0)</f>
        <v>11792.03</v>
      </c>
      <c r="E76" s="1"/>
      <c r="F76" s="5">
        <f t="shared" si="47"/>
        <v>5.104053916539842E-2</v>
      </c>
      <c r="G76" s="1"/>
      <c r="H76" s="1">
        <f>SUM(OSRRefH22_14x_0)</f>
        <v>115888.45000000001</v>
      </c>
      <c r="I76" s="1"/>
      <c r="J76" s="5">
        <f t="shared" si="48"/>
        <v>5.3350382052126111E-2</v>
      </c>
      <c r="K76" s="1"/>
      <c r="L76" s="1">
        <f t="shared" si="49"/>
        <v>-104096.42000000001</v>
      </c>
      <c r="M76" s="1"/>
      <c r="N76" s="5">
        <f t="shared" si="50"/>
        <v>-0.8982467191510457</v>
      </c>
      <c r="O76" s="14"/>
      <c r="P76" s="1">
        <f>SUM(OSRRefP22_14x_0)</f>
        <v>16477.52</v>
      </c>
      <c r="Q76" s="1"/>
      <c r="R76" s="5">
        <f t="shared" si="51"/>
        <v>5.3868793008347522E-2</v>
      </c>
      <c r="S76" s="1"/>
      <c r="T76" s="1">
        <f>SUM(OSRRefT22_14x_0)</f>
        <v>187921.28</v>
      </c>
      <c r="U76" s="1"/>
      <c r="V76" s="5">
        <f t="shared" si="52"/>
        <v>5.0581805911326085E-2</v>
      </c>
      <c r="W76" s="1"/>
      <c r="X76" s="1">
        <f t="shared" si="53"/>
        <v>-171443.76</v>
      </c>
      <c r="Y76" s="1"/>
      <c r="Z76" s="5">
        <f t="shared" si="54"/>
        <v>-0.9123169020560099</v>
      </c>
    </row>
    <row r="77" spans="1:26" s="24" customFormat="1" hidden="1" outlineLevel="2" x14ac:dyDescent="0.25">
      <c r="A77" s="28"/>
      <c r="B77" s="11" t="str">
        <f>CONCATENATE("          ", "6387", " - ", "COMMISSION DUE HOUSING")</f>
        <v xml:space="preserve">          6387 - COMMISSION DUE HOUSING</v>
      </c>
      <c r="C77" s="11"/>
      <c r="D77" s="7">
        <v>11792.03</v>
      </c>
      <c r="E77" s="2"/>
      <c r="F77" s="6">
        <f t="shared" si="47"/>
        <v>5.104053916539842E-2</v>
      </c>
      <c r="G77" s="2"/>
      <c r="H77" s="7">
        <v>115888.45000000001</v>
      </c>
      <c r="I77" s="2"/>
      <c r="J77" s="6">
        <f t="shared" si="48"/>
        <v>5.3350382052126111E-2</v>
      </c>
      <c r="K77" s="2"/>
      <c r="L77" s="7">
        <f t="shared" si="49"/>
        <v>-104096.42000000001</v>
      </c>
      <c r="M77" s="2"/>
      <c r="N77" s="6">
        <f t="shared" si="50"/>
        <v>-0.8982467191510457</v>
      </c>
      <c r="O77" s="11"/>
      <c r="P77" s="7">
        <v>16477.52</v>
      </c>
      <c r="Q77" s="2"/>
      <c r="R77" s="6">
        <f t="shared" si="51"/>
        <v>5.3868793008347522E-2</v>
      </c>
      <c r="S77" s="2"/>
      <c r="T77" s="7">
        <v>187921.28</v>
      </c>
      <c r="U77" s="2"/>
      <c r="V77" s="6">
        <f t="shared" si="52"/>
        <v>5.0581805911326085E-2</v>
      </c>
      <c r="W77" s="2"/>
      <c r="X77" s="7">
        <f t="shared" si="53"/>
        <v>-171443.76</v>
      </c>
      <c r="Y77" s="2"/>
      <c r="Z77" s="6">
        <f t="shared" si="54"/>
        <v>-0.9123169020560099</v>
      </c>
    </row>
    <row r="78" spans="1:26" s="27" customFormat="1" outlineLevel="1" collapsed="1" x14ac:dyDescent="0.25">
      <c r="A78" s="29"/>
      <c r="B78" s="14" t="str">
        <f>CONCATENATE("     ","Rent                                              ")</f>
        <v xml:space="preserve">     Rent                                              </v>
      </c>
      <c r="C78" s="14"/>
      <c r="D78" s="1">
        <f>SUM(OSRRefD22_15x_0)</f>
        <v>5550</v>
      </c>
      <c r="E78" s="1"/>
      <c r="F78" s="5">
        <f t="shared" si="47"/>
        <v>2.4022580706456922E-2</v>
      </c>
      <c r="G78" s="1"/>
      <c r="H78" s="1">
        <f>SUM(OSRRefH22_15x_0)</f>
        <v>1850</v>
      </c>
      <c r="I78" s="1"/>
      <c r="J78" s="5">
        <f t="shared" si="48"/>
        <v>8.5166560426369749E-4</v>
      </c>
      <c r="K78" s="1"/>
      <c r="L78" s="1">
        <f t="shared" si="49"/>
        <v>3700</v>
      </c>
      <c r="M78" s="1"/>
      <c r="N78" s="5">
        <f t="shared" si="50"/>
        <v>2</v>
      </c>
      <c r="O78" s="14"/>
      <c r="P78" s="1">
        <f>SUM(OSRRefP22_15x_0)</f>
        <v>5550</v>
      </c>
      <c r="Q78" s="1"/>
      <c r="R78" s="5">
        <f t="shared" si="51"/>
        <v>1.8144223232399583E-2</v>
      </c>
      <c r="S78" s="1"/>
      <c r="T78" s="1">
        <f>SUM(OSRRefT22_15x_0)</f>
        <v>5550</v>
      </c>
      <c r="U78" s="1"/>
      <c r="V78" s="5">
        <f t="shared" si="52"/>
        <v>1.4938649992585181E-3</v>
      </c>
      <c r="W78" s="1"/>
      <c r="X78" s="1">
        <f t="shared" si="53"/>
        <v>0</v>
      </c>
      <c r="Y78" s="1"/>
      <c r="Z78" s="5">
        <f t="shared" si="54"/>
        <v>0</v>
      </c>
    </row>
    <row r="79" spans="1:26" s="24" customFormat="1" hidden="1" outlineLevel="2" x14ac:dyDescent="0.25">
      <c r="A79" s="28"/>
      <c r="B79" s="11" t="str">
        <f>CONCATENATE("          ", "6273", " - ", "RENT")</f>
        <v xml:space="preserve">          6273 - RENT</v>
      </c>
      <c r="C79" s="11"/>
      <c r="D79" s="7">
        <v>5550</v>
      </c>
      <c r="E79" s="2"/>
      <c r="F79" s="6">
        <f t="shared" si="47"/>
        <v>2.4022580706456922E-2</v>
      </c>
      <c r="G79" s="2"/>
      <c r="H79" s="7">
        <v>1850</v>
      </c>
      <c r="I79" s="2"/>
      <c r="J79" s="6">
        <f t="shared" si="48"/>
        <v>8.5166560426369749E-4</v>
      </c>
      <c r="K79" s="2"/>
      <c r="L79" s="7">
        <f t="shared" si="49"/>
        <v>3700</v>
      </c>
      <c r="M79" s="2"/>
      <c r="N79" s="6">
        <f t="shared" si="50"/>
        <v>2</v>
      </c>
      <c r="O79" s="11"/>
      <c r="P79" s="7">
        <v>5550</v>
      </c>
      <c r="Q79" s="2"/>
      <c r="R79" s="6">
        <f t="shared" si="51"/>
        <v>1.8144223232399583E-2</v>
      </c>
      <c r="S79" s="2"/>
      <c r="T79" s="7">
        <v>5550</v>
      </c>
      <c r="U79" s="2"/>
      <c r="V79" s="6">
        <f t="shared" si="52"/>
        <v>1.4938649992585181E-3</v>
      </c>
      <c r="W79" s="2"/>
      <c r="X79" s="7">
        <f t="shared" si="53"/>
        <v>0</v>
      </c>
      <c r="Y79" s="2"/>
      <c r="Z79" s="6">
        <f t="shared" si="54"/>
        <v>0</v>
      </c>
    </row>
    <row r="80" spans="1:26" s="27" customFormat="1" outlineLevel="1" collapsed="1" x14ac:dyDescent="0.25">
      <c r="A80" s="29"/>
      <c r="B80" s="14" t="str">
        <f>CONCATENATE("     ","Repair and Maintenance                            ")</f>
        <v xml:space="preserve">     Repair and Maintenance                            </v>
      </c>
      <c r="C80" s="14"/>
      <c r="D80" s="1">
        <f>SUM(OSRRefD22_16x_0)</f>
        <v>3046.76</v>
      </c>
      <c r="E80" s="1"/>
      <c r="F80" s="5">
        <f t="shared" si="47"/>
        <v>1.3187574413190035E-2</v>
      </c>
      <c r="G80" s="1"/>
      <c r="H80" s="1">
        <f>SUM(OSRRefH22_16x_0)</f>
        <v>38752.29</v>
      </c>
      <c r="I80" s="1"/>
      <c r="J80" s="5">
        <f t="shared" si="48"/>
        <v>1.783999593483894E-2</v>
      </c>
      <c r="K80" s="1"/>
      <c r="L80" s="1">
        <f t="shared" si="49"/>
        <v>-35705.53</v>
      </c>
      <c r="M80" s="1"/>
      <c r="N80" s="5">
        <f t="shared" si="50"/>
        <v>-0.92137858175607168</v>
      </c>
      <c r="O80" s="14"/>
      <c r="P80" s="1">
        <f>SUM(OSRRefP22_16x_0)</f>
        <v>13921.23</v>
      </c>
      <c r="Q80" s="1"/>
      <c r="R80" s="5">
        <f t="shared" si="51"/>
        <v>4.5511694556680721E-2</v>
      </c>
      <c r="S80" s="1"/>
      <c r="T80" s="1">
        <f>SUM(OSRRefT22_16x_0)</f>
        <v>86591.31</v>
      </c>
      <c r="U80" s="1"/>
      <c r="V80" s="5">
        <f t="shared" si="52"/>
        <v>2.3307338243052991E-2</v>
      </c>
      <c r="W80" s="1"/>
      <c r="X80" s="1">
        <f t="shared" si="53"/>
        <v>-72670.080000000002</v>
      </c>
      <c r="Y80" s="1"/>
      <c r="Z80" s="5">
        <f t="shared" si="54"/>
        <v>-0.83923063411328458</v>
      </c>
    </row>
    <row r="81" spans="1:26" s="24" customFormat="1" hidden="1" outlineLevel="2" x14ac:dyDescent="0.25">
      <c r="A81" s="28"/>
      <c r="B81" s="11" t="str">
        <f>CONCATENATE("          ", "6371", " - ", "COMPUTER SOFTWARE MAINTENANCE")</f>
        <v xml:space="preserve">          6371 - COMPUTER SOFTWARE MAINTENANCE</v>
      </c>
      <c r="C81" s="11"/>
      <c r="D81" s="7"/>
      <c r="E81" s="2"/>
      <c r="F81" s="6">
        <f t="shared" si="47"/>
        <v>0</v>
      </c>
      <c r="G81" s="2"/>
      <c r="H81" s="7">
        <v>17273.12</v>
      </c>
      <c r="I81" s="2"/>
      <c r="J81" s="6">
        <f t="shared" si="48"/>
        <v>7.9518498282807326E-3</v>
      </c>
      <c r="K81" s="2"/>
      <c r="L81" s="7">
        <f t="shared" si="49"/>
        <v>-17273.12</v>
      </c>
      <c r="M81" s="2"/>
      <c r="N81" s="6">
        <f t="shared" si="50"/>
        <v>-1</v>
      </c>
      <c r="O81" s="11"/>
      <c r="P81" s="7"/>
      <c r="Q81" s="2"/>
      <c r="R81" s="6">
        <f t="shared" si="51"/>
        <v>0</v>
      </c>
      <c r="S81" s="2"/>
      <c r="T81" s="7">
        <v>17273.12</v>
      </c>
      <c r="U81" s="2"/>
      <c r="V81" s="6">
        <f t="shared" si="52"/>
        <v>4.6493170082868998E-3</v>
      </c>
      <c r="W81" s="2"/>
      <c r="X81" s="7">
        <f t="shared" si="53"/>
        <v>-17273.12</v>
      </c>
      <c r="Y81" s="2"/>
      <c r="Z81" s="6">
        <f t="shared" si="54"/>
        <v>-1</v>
      </c>
    </row>
    <row r="82" spans="1:26" s="24" customFormat="1" hidden="1" outlineLevel="2" x14ac:dyDescent="0.25">
      <c r="A82" s="28"/>
      <c r="B82" s="11" t="str">
        <f>CONCATENATE("          ", "6373", " - ", "MAINTENANCE CONTRACTS")</f>
        <v xml:space="preserve">          6373 - MAINTENANCE CONTRACTS</v>
      </c>
      <c r="C82" s="11"/>
      <c r="D82" s="7">
        <v>1889.94</v>
      </c>
      <c r="E82" s="2"/>
      <c r="F82" s="6">
        <f t="shared" si="47"/>
        <v>8.1804029153803963E-3</v>
      </c>
      <c r="G82" s="2"/>
      <c r="H82" s="7">
        <v>8726.11</v>
      </c>
      <c r="I82" s="2"/>
      <c r="J82" s="6">
        <f t="shared" si="48"/>
        <v>4.0171501329845909E-3</v>
      </c>
      <c r="K82" s="2"/>
      <c r="L82" s="7">
        <f t="shared" si="49"/>
        <v>-6836.17</v>
      </c>
      <c r="M82" s="2"/>
      <c r="N82" s="6">
        <f t="shared" si="50"/>
        <v>-0.78341551963016731</v>
      </c>
      <c r="O82" s="11"/>
      <c r="P82" s="7">
        <v>8406.19</v>
      </c>
      <c r="Q82" s="2"/>
      <c r="R82" s="6">
        <f t="shared" si="51"/>
        <v>2.7481763584498206E-2</v>
      </c>
      <c r="S82" s="2"/>
      <c r="T82" s="7">
        <v>24846.52</v>
      </c>
      <c r="U82" s="2"/>
      <c r="V82" s="6">
        <f t="shared" si="52"/>
        <v>6.6878101948426591E-3</v>
      </c>
      <c r="W82" s="2"/>
      <c r="X82" s="7">
        <f t="shared" si="53"/>
        <v>-16440.330000000002</v>
      </c>
      <c r="Y82" s="2"/>
      <c r="Z82" s="6">
        <f t="shared" si="54"/>
        <v>-0.66167535735386696</v>
      </c>
    </row>
    <row r="83" spans="1:26" s="24" customFormat="1" hidden="1" outlineLevel="2" x14ac:dyDescent="0.25">
      <c r="A83" s="28"/>
      <c r="B83" s="11" t="str">
        <f>CONCATENATE("          ", "6375", " - ", "OUTSIDE REPAIRS &amp; MAINTENANCE")</f>
        <v xml:space="preserve">          6375 - OUTSIDE REPAIRS &amp; MAINTENANCE</v>
      </c>
      <c r="C83" s="11"/>
      <c r="D83" s="7">
        <v>1156.82</v>
      </c>
      <c r="E83" s="2"/>
      <c r="F83" s="6">
        <f t="shared" si="47"/>
        <v>5.0071714978096385E-3</v>
      </c>
      <c r="G83" s="2"/>
      <c r="H83" s="7">
        <v>12753.06</v>
      </c>
      <c r="I83" s="2"/>
      <c r="J83" s="6">
        <f t="shared" si="48"/>
        <v>5.8709959735736153E-3</v>
      </c>
      <c r="K83" s="2"/>
      <c r="L83" s="7">
        <f t="shared" si="49"/>
        <v>-11596.24</v>
      </c>
      <c r="M83" s="2"/>
      <c r="N83" s="6">
        <f t="shared" si="50"/>
        <v>-0.90929078981828682</v>
      </c>
      <c r="O83" s="11"/>
      <c r="P83" s="7">
        <v>5515.04</v>
      </c>
      <c r="Q83" s="2"/>
      <c r="R83" s="6">
        <f t="shared" si="51"/>
        <v>1.8029930972182522E-2</v>
      </c>
      <c r="S83" s="2"/>
      <c r="T83" s="7">
        <v>44471.67</v>
      </c>
      <c r="U83" s="2"/>
      <c r="V83" s="6">
        <f t="shared" si="52"/>
        <v>1.1970211039923434E-2</v>
      </c>
      <c r="W83" s="2"/>
      <c r="X83" s="7">
        <f t="shared" si="53"/>
        <v>-38956.629999999997</v>
      </c>
      <c r="Y83" s="2"/>
      <c r="Z83" s="6">
        <f t="shared" si="54"/>
        <v>-0.87598756691619628</v>
      </c>
    </row>
    <row r="84" spans="1:26" s="27" customFormat="1" outlineLevel="1" collapsed="1" x14ac:dyDescent="0.25">
      <c r="A84" s="29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SUM(OSRRefD22_17x_0)</f>
        <v>0</v>
      </c>
      <c r="E84" s="1"/>
      <c r="F84" s="5">
        <f t="shared" ref="F84:F86" si="55">IF(D$12=0,0,D84/D$12)</f>
        <v>0</v>
      </c>
      <c r="G84" s="1"/>
      <c r="H84" s="1">
        <f>SUM(OSRRefH22_17x_0)</f>
        <v>26561.729999999996</v>
      </c>
      <c r="I84" s="1"/>
      <c r="J84" s="5">
        <f t="shared" ref="J84:J86" si="56">IF(H$12=0,0,H84/H$12)</f>
        <v>1.2227952340940096E-2</v>
      </c>
      <c r="K84" s="1"/>
      <c r="L84" s="1">
        <f t="shared" ref="L84:L86" si="57">+D84-H84</f>
        <v>-26561.729999999996</v>
      </c>
      <c r="M84" s="1"/>
      <c r="N84" s="5">
        <f t="shared" ref="N84:N86" si="58">IF(H84=0,0,L84/H84)</f>
        <v>-1</v>
      </c>
      <c r="O84" s="14"/>
      <c r="P84" s="1">
        <f>SUM(OSRRefP22_17x_0)</f>
        <v>0</v>
      </c>
      <c r="Q84" s="1"/>
      <c r="R84" s="5">
        <f t="shared" ref="R84:R86" si="59">IF(P$12=0,0,P84/P$12)</f>
        <v>0</v>
      </c>
      <c r="S84" s="1"/>
      <c r="T84" s="1">
        <f>SUM(OSRRefT22_17x_0)</f>
        <v>60263.770000000004</v>
      </c>
      <c r="U84" s="1"/>
      <c r="V84" s="5">
        <f t="shared" ref="V84:V86" si="60">IF(T$12=0,0,T84/T$12)</f>
        <v>1.6220889500246038E-2</v>
      </c>
      <c r="W84" s="1"/>
      <c r="X84" s="1">
        <f t="shared" ref="X84:X86" si="61">+P84-T84</f>
        <v>-60263.770000000004</v>
      </c>
      <c r="Y84" s="1"/>
      <c r="Z84" s="5">
        <f t="shared" ref="Z84:Z86" si="62">IF(T84=0,0,X84/T84)</f>
        <v>-1</v>
      </c>
    </row>
    <row r="85" spans="1:26" s="24" customFormat="1" hidden="1" outlineLevel="2" x14ac:dyDescent="0.25">
      <c r="A85" s="28"/>
      <c r="B85" s="11" t="str">
        <f>CONCATENATE("          ", "6254", " - ", "ROYALTY &amp; COMMISSIONS")</f>
        <v xml:space="preserve">          6254 - ROYALTY &amp; COMMISSIONS</v>
      </c>
      <c r="C85" s="11"/>
      <c r="D85" s="7"/>
      <c r="E85" s="2"/>
      <c r="F85" s="6">
        <f t="shared" si="55"/>
        <v>0</v>
      </c>
      <c r="G85" s="2"/>
      <c r="H85" s="7">
        <v>9813.9699999999993</v>
      </c>
      <c r="I85" s="2"/>
      <c r="J85" s="6">
        <f t="shared" si="56"/>
        <v>4.5179571298788095E-3</v>
      </c>
      <c r="K85" s="2"/>
      <c r="L85" s="7">
        <f t="shared" si="57"/>
        <v>-9813.9699999999993</v>
      </c>
      <c r="M85" s="2"/>
      <c r="N85" s="6">
        <f t="shared" si="58"/>
        <v>-1</v>
      </c>
      <c r="O85" s="11"/>
      <c r="P85" s="7"/>
      <c r="Q85" s="2"/>
      <c r="R85" s="6">
        <f t="shared" si="59"/>
        <v>0</v>
      </c>
      <c r="S85" s="2"/>
      <c r="T85" s="7">
        <v>34657.61</v>
      </c>
      <c r="U85" s="2"/>
      <c r="V85" s="6">
        <f t="shared" si="60"/>
        <v>9.3286109075589214E-3</v>
      </c>
      <c r="W85" s="2"/>
      <c r="X85" s="7">
        <f t="shared" si="61"/>
        <v>-34657.61</v>
      </c>
      <c r="Y85" s="2"/>
      <c r="Z85" s="6">
        <f t="shared" si="62"/>
        <v>-1</v>
      </c>
    </row>
    <row r="86" spans="1:26" s="24" customFormat="1" hidden="1" outlineLevel="2" x14ac:dyDescent="0.25">
      <c r="A86" s="28"/>
      <c r="B86" s="11" t="str">
        <f>CONCATENATE("          ", "6259", " - ", "ROYALTY &amp; COMMISSIONS")</f>
        <v xml:space="preserve">          6259 - ROYALTY &amp; COMMISSIONS</v>
      </c>
      <c r="C86" s="11"/>
      <c r="D86" s="7"/>
      <c r="E86" s="2"/>
      <c r="F86" s="6">
        <f t="shared" si="55"/>
        <v>0</v>
      </c>
      <c r="G86" s="2"/>
      <c r="H86" s="7">
        <v>16747.759999999998</v>
      </c>
      <c r="I86" s="2"/>
      <c r="J86" s="6">
        <f t="shared" si="56"/>
        <v>7.7099952110612864E-3</v>
      </c>
      <c r="K86" s="2"/>
      <c r="L86" s="7">
        <f t="shared" si="57"/>
        <v>-16747.759999999998</v>
      </c>
      <c r="M86" s="2"/>
      <c r="N86" s="6">
        <f t="shared" si="58"/>
        <v>-1</v>
      </c>
      <c r="O86" s="11"/>
      <c r="P86" s="7"/>
      <c r="Q86" s="2"/>
      <c r="R86" s="6">
        <f t="shared" si="59"/>
        <v>0</v>
      </c>
      <c r="S86" s="2"/>
      <c r="T86" s="7">
        <v>25606.16</v>
      </c>
      <c r="U86" s="2"/>
      <c r="V86" s="6">
        <f t="shared" si="60"/>
        <v>6.8922785926871163E-3</v>
      </c>
      <c r="W86" s="2"/>
      <c r="X86" s="7">
        <f t="shared" si="61"/>
        <v>-25606.16</v>
      </c>
      <c r="Y86" s="2"/>
      <c r="Z86" s="6">
        <f t="shared" si="62"/>
        <v>-1</v>
      </c>
    </row>
    <row r="87" spans="1:26" s="27" customFormat="1" outlineLevel="1" collapsed="1" x14ac:dyDescent="0.25">
      <c r="A87" s="29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SUM(OSRRefD22_18x_0)</f>
        <v>17313.03</v>
      </c>
      <c r="E87" s="1"/>
      <c r="F87" s="5">
        <f t="shared" ref="F87:F92" si="63">IF(D$12=0,0,D87/D$12)</f>
        <v>7.4937596477172949E-2</v>
      </c>
      <c r="G87" s="1"/>
      <c r="H87" s="1">
        <f>SUM(OSRRefH22_18x_0)</f>
        <v>40984.65</v>
      </c>
      <c r="I87" s="1"/>
      <c r="J87" s="5">
        <f t="shared" ref="J87:J92" si="64">IF(H$12=0,0,H87/H$12)</f>
        <v>1.8867684706911431E-2</v>
      </c>
      <c r="K87" s="1"/>
      <c r="L87" s="1">
        <f t="shared" ref="L87:L92" si="65">+D87-H87</f>
        <v>-23671.620000000003</v>
      </c>
      <c r="M87" s="1"/>
      <c r="N87" s="5">
        <f t="shared" ref="N87:N92" si="66">IF(H87=0,0,L87/H87)</f>
        <v>-0.5775728229959266</v>
      </c>
      <c r="O87" s="14"/>
      <c r="P87" s="1">
        <f>SUM(OSRRefP22_18x_0)</f>
        <v>42294.310000000005</v>
      </c>
      <c r="Q87" s="1"/>
      <c r="R87" s="5">
        <f t="shared" ref="R87:R92" si="67">IF(P$12=0,0,P87/P$12)</f>
        <v>0.13826980218023605</v>
      </c>
      <c r="S87" s="1"/>
      <c r="T87" s="1">
        <f>SUM(OSRRefT22_18x_0)</f>
        <v>117733.61</v>
      </c>
      <c r="U87" s="1"/>
      <c r="V87" s="5">
        <f t="shared" ref="V87:V92" si="68">IF(T$12=0,0,T87/T$12)</f>
        <v>3.168975120997345E-2</v>
      </c>
      <c r="W87" s="1"/>
      <c r="X87" s="1">
        <f t="shared" ref="X87:X92" si="69">+P87-T87</f>
        <v>-75439.299999999988</v>
      </c>
      <c r="Y87" s="1"/>
      <c r="Z87" s="5">
        <f t="shared" ref="Z87:Z92" si="70">IF(T87=0,0,X87/T87)</f>
        <v>-0.64076265052944514</v>
      </c>
    </row>
    <row r="88" spans="1:26" s="24" customFormat="1" hidden="1" outlineLevel="2" x14ac:dyDescent="0.25">
      <c r="A88" s="28"/>
      <c r="B88" s="11" t="str">
        <f>CONCATENATE("          ", "6282", " - ", "JANITORIAL/EXTERMINATOR EXPENS")</f>
        <v xml:space="preserve">          6282 - JANITORIAL/EXTERMINATOR EXPENS</v>
      </c>
      <c r="C88" s="11"/>
      <c r="D88" s="7">
        <v>8.36</v>
      </c>
      <c r="E88" s="2"/>
      <c r="F88" s="6">
        <f t="shared" si="63"/>
        <v>3.6185364811888258E-5</v>
      </c>
      <c r="G88" s="2"/>
      <c r="H88" s="7">
        <v>2905.87</v>
      </c>
      <c r="I88" s="2"/>
      <c r="J88" s="6">
        <f t="shared" si="64"/>
        <v>1.3377456916009462E-3</v>
      </c>
      <c r="K88" s="2"/>
      <c r="L88" s="7">
        <f t="shared" si="65"/>
        <v>-2897.5099999999998</v>
      </c>
      <c r="M88" s="2"/>
      <c r="N88" s="6">
        <f t="shared" si="66"/>
        <v>-0.9971230646931899</v>
      </c>
      <c r="O88" s="11"/>
      <c r="P88" s="7">
        <v>2912.98</v>
      </c>
      <c r="Q88" s="2"/>
      <c r="R88" s="6">
        <f t="shared" si="67"/>
        <v>9.5231998903631231E-3</v>
      </c>
      <c r="S88" s="2"/>
      <c r="T88" s="7">
        <v>8627.61</v>
      </c>
      <c r="U88" s="2"/>
      <c r="V88" s="6">
        <f t="shared" si="68"/>
        <v>2.3222494786041053E-3</v>
      </c>
      <c r="W88" s="2"/>
      <c r="X88" s="7">
        <f t="shared" si="69"/>
        <v>-5714.630000000001</v>
      </c>
      <c r="Y88" s="2"/>
      <c r="Z88" s="6">
        <f t="shared" si="70"/>
        <v>-0.66236535958394049</v>
      </c>
    </row>
    <row r="89" spans="1:26" s="24" customFormat="1" hidden="1" outlineLevel="2" x14ac:dyDescent="0.25">
      <c r="A89" s="28"/>
      <c r="B89" s="11" t="str">
        <f>CONCATENATE("          ", "6283", " - ", "PLANT SERVICE")</f>
        <v xml:space="preserve">          6283 - PLANT SERVICE</v>
      </c>
      <c r="C89" s="11"/>
      <c r="D89" s="7"/>
      <c r="E89" s="2"/>
      <c r="F89" s="6">
        <f t="shared" si="63"/>
        <v>0</v>
      </c>
      <c r="G89" s="2"/>
      <c r="H89" s="7">
        <v>199.78</v>
      </c>
      <c r="I89" s="2"/>
      <c r="J89" s="6">
        <f t="shared" si="64"/>
        <v>9.1970678064757556E-5</v>
      </c>
      <c r="K89" s="2"/>
      <c r="L89" s="7">
        <f t="shared" si="65"/>
        <v>-199.78</v>
      </c>
      <c r="M89" s="2"/>
      <c r="N89" s="6">
        <f t="shared" si="66"/>
        <v>-1</v>
      </c>
      <c r="O89" s="11"/>
      <c r="P89" s="7"/>
      <c r="Q89" s="2"/>
      <c r="R89" s="6">
        <f t="shared" si="67"/>
        <v>0</v>
      </c>
      <c r="S89" s="2"/>
      <c r="T89" s="7">
        <v>599.34</v>
      </c>
      <c r="U89" s="2"/>
      <c r="V89" s="6">
        <f t="shared" si="68"/>
        <v>1.6132127002803609E-4</v>
      </c>
      <c r="W89" s="2"/>
      <c r="X89" s="7">
        <f t="shared" si="69"/>
        <v>-599.34</v>
      </c>
      <c r="Y89" s="2"/>
      <c r="Z89" s="6">
        <f t="shared" si="70"/>
        <v>-1</v>
      </c>
    </row>
    <row r="90" spans="1:26" s="24" customFormat="1" hidden="1" outlineLevel="2" x14ac:dyDescent="0.25">
      <c r="A90" s="28"/>
      <c r="B90" s="11" t="str">
        <f>CONCATENATE("          ", "6284", " - ", "TRASH REMOVAL EXPENSE")</f>
        <v xml:space="preserve">          6284 - TRASH REMOVAL EXPENSE</v>
      </c>
      <c r="C90" s="11"/>
      <c r="D90" s="7">
        <v>761</v>
      </c>
      <c r="E90" s="2"/>
      <c r="F90" s="6">
        <f t="shared" si="63"/>
        <v>3.2939070121826516E-3</v>
      </c>
      <c r="G90" s="2"/>
      <c r="H90" s="7">
        <v>623</v>
      </c>
      <c r="I90" s="2"/>
      <c r="J90" s="6">
        <f t="shared" si="64"/>
        <v>2.8680414673312623E-4</v>
      </c>
      <c r="K90" s="2"/>
      <c r="L90" s="7">
        <f t="shared" si="65"/>
        <v>138</v>
      </c>
      <c r="M90" s="2"/>
      <c r="N90" s="6">
        <f t="shared" si="66"/>
        <v>0.22150882825040127</v>
      </c>
      <c r="O90" s="11"/>
      <c r="P90" s="7">
        <v>2761</v>
      </c>
      <c r="Q90" s="2"/>
      <c r="R90" s="6">
        <f t="shared" si="67"/>
        <v>9.0263424044423855E-3</v>
      </c>
      <c r="S90" s="2"/>
      <c r="T90" s="7">
        <v>4822</v>
      </c>
      <c r="U90" s="2"/>
      <c r="V90" s="6">
        <f t="shared" si="68"/>
        <v>1.2979129777341575E-3</v>
      </c>
      <c r="W90" s="2"/>
      <c r="X90" s="7">
        <f t="shared" si="69"/>
        <v>-2061</v>
      </c>
      <c r="Y90" s="2"/>
      <c r="Z90" s="6">
        <f t="shared" si="70"/>
        <v>-0.42741600995437579</v>
      </c>
    </row>
    <row r="91" spans="1:26" s="24" customFormat="1" hidden="1" outlineLevel="2" x14ac:dyDescent="0.25">
      <c r="A91" s="28"/>
      <c r="B91" s="11" t="str">
        <f>CONCATENATE("          ", "6285", " - ", "JANITORIAL SERVICES")</f>
        <v xml:space="preserve">          6285 - JANITORIAL SERVICES</v>
      </c>
      <c r="C91" s="11"/>
      <c r="D91" s="7">
        <v>15033.729999999998</v>
      </c>
      <c r="E91" s="2"/>
      <c r="F91" s="6">
        <f t="shared" si="63"/>
        <v>6.5071890494429296E-2</v>
      </c>
      <c r="G91" s="2"/>
      <c r="H91" s="7">
        <v>28773.47</v>
      </c>
      <c r="I91" s="2"/>
      <c r="J91" s="6">
        <f t="shared" si="64"/>
        <v>1.3246148494223444E-2</v>
      </c>
      <c r="K91" s="2"/>
      <c r="L91" s="7">
        <f t="shared" si="65"/>
        <v>-13739.740000000003</v>
      </c>
      <c r="M91" s="2"/>
      <c r="N91" s="6">
        <f t="shared" si="66"/>
        <v>-0.47751418233532494</v>
      </c>
      <c r="O91" s="11"/>
      <c r="P91" s="7">
        <v>30660.460000000003</v>
      </c>
      <c r="Q91" s="2"/>
      <c r="R91" s="6">
        <f t="shared" si="67"/>
        <v>0.1002360775942447</v>
      </c>
      <c r="S91" s="2"/>
      <c r="T91" s="7">
        <v>79584.37000000001</v>
      </c>
      <c r="U91" s="2"/>
      <c r="V91" s="6">
        <f t="shared" si="68"/>
        <v>2.142131618577291E-2</v>
      </c>
      <c r="W91" s="2"/>
      <c r="X91" s="7">
        <f t="shared" si="69"/>
        <v>-48923.91</v>
      </c>
      <c r="Y91" s="2"/>
      <c r="Z91" s="6">
        <f t="shared" si="70"/>
        <v>-0.61474269382292024</v>
      </c>
    </row>
    <row r="92" spans="1:26" s="24" customFormat="1" hidden="1" outlineLevel="2" x14ac:dyDescent="0.25">
      <c r="A92" s="28"/>
      <c r="B92" s="11" t="str">
        <f>CONCATENATE("          ", "6286", " - ", "LAUNDRY EXPENSE")</f>
        <v xml:space="preserve">          6286 - LAUNDRY EXPENSE</v>
      </c>
      <c r="C92" s="11"/>
      <c r="D92" s="7">
        <v>1509.94</v>
      </c>
      <c r="E92" s="2"/>
      <c r="F92" s="6">
        <f t="shared" si="63"/>
        <v>6.5356136057491106E-3</v>
      </c>
      <c r="G92" s="2"/>
      <c r="H92" s="7">
        <v>8482.5300000000007</v>
      </c>
      <c r="I92" s="2"/>
      <c r="J92" s="6">
        <f t="shared" si="64"/>
        <v>3.9050156962891578E-3</v>
      </c>
      <c r="K92" s="2"/>
      <c r="L92" s="7">
        <f t="shared" si="65"/>
        <v>-6972.59</v>
      </c>
      <c r="M92" s="2"/>
      <c r="N92" s="6">
        <f t="shared" si="66"/>
        <v>-0.82199414561457484</v>
      </c>
      <c r="O92" s="11"/>
      <c r="P92" s="7">
        <v>5959.87</v>
      </c>
      <c r="Q92" s="2"/>
      <c r="R92" s="6">
        <f t="shared" si="67"/>
        <v>1.9484182291185818E-2</v>
      </c>
      <c r="S92" s="2"/>
      <c r="T92" s="7">
        <v>24100.289999999997</v>
      </c>
      <c r="U92" s="2"/>
      <c r="V92" s="6">
        <f t="shared" si="68"/>
        <v>6.4869512978342463E-3</v>
      </c>
      <c r="W92" s="2"/>
      <c r="X92" s="7">
        <f t="shared" si="69"/>
        <v>-18140.419999999998</v>
      </c>
      <c r="Y92" s="2"/>
      <c r="Z92" s="6">
        <f t="shared" si="70"/>
        <v>-0.75270546536991878</v>
      </c>
    </row>
    <row r="93" spans="1:26" s="27" customFormat="1" outlineLevel="1" collapsed="1" x14ac:dyDescent="0.25">
      <c r="A93" s="29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SUM(OSRRefD22_19x_0)</f>
        <v>131.34</v>
      </c>
      <c r="E93" s="1"/>
      <c r="F93" s="5">
        <f t="shared" ref="F93:F104" si="71">IF(D$12=0,0,D93/D$12)</f>
        <v>5.6849112612361303E-4</v>
      </c>
      <c r="G93" s="1"/>
      <c r="H93" s="1">
        <f>SUM(OSRRefH22_19x_0)</f>
        <v>454.78</v>
      </c>
      <c r="I93" s="1"/>
      <c r="J93" s="5">
        <f t="shared" ref="J93:J104" si="72">IF(H$12=0,0,H93/H$12)</f>
        <v>2.0936242351732125E-4</v>
      </c>
      <c r="K93" s="1"/>
      <c r="L93" s="1">
        <f t="shared" ref="L93:L104" si="73">+D93-H93</f>
        <v>-323.43999999999994</v>
      </c>
      <c r="M93" s="1"/>
      <c r="N93" s="5">
        <f t="shared" ref="N93:N104" si="74">IF(H93=0,0,L93/H93)</f>
        <v>-0.71120102027353882</v>
      </c>
      <c r="O93" s="14"/>
      <c r="P93" s="1">
        <f>SUM(OSRRefP22_19x_0)</f>
        <v>140.66</v>
      </c>
      <c r="Q93" s="1"/>
      <c r="R93" s="5">
        <f t="shared" ref="R93:R104" si="75">IF(P$12=0,0,P93/P$12)</f>
        <v>4.5984980898546398E-4</v>
      </c>
      <c r="S93" s="1"/>
      <c r="T93" s="1">
        <f>SUM(OSRRefT22_19x_0)</f>
        <v>1302.98</v>
      </c>
      <c r="U93" s="1"/>
      <c r="V93" s="5">
        <f t="shared" ref="V93:V104" si="76">IF(T$12=0,0,T93/T$12)</f>
        <v>3.5071643544754304E-4</v>
      </c>
      <c r="W93" s="1"/>
      <c r="X93" s="1">
        <f t="shared" ref="X93:X104" si="77">+P93-T93</f>
        <v>-1162.32</v>
      </c>
      <c r="Y93" s="1"/>
      <c r="Z93" s="5">
        <f t="shared" ref="Z93:Z104" si="78">IF(T93=0,0,X93/T93)</f>
        <v>-0.89204746043684469</v>
      </c>
    </row>
    <row r="94" spans="1:26" s="24" customFormat="1" hidden="1" outlineLevel="2" x14ac:dyDescent="0.25">
      <c r="A94" s="28"/>
      <c r="B94" s="11" t="str">
        <f>CONCATENATE("          ", "6275", " - ", "SUBSCRIPTIONS")</f>
        <v xml:space="preserve">          6275 - SUBSCRIPTIONS</v>
      </c>
      <c r="C94" s="11"/>
      <c r="D94" s="7">
        <v>131.34</v>
      </c>
      <c r="E94" s="2"/>
      <c r="F94" s="6">
        <f t="shared" si="71"/>
        <v>5.6849112612361303E-4</v>
      </c>
      <c r="G94" s="2"/>
      <c r="H94" s="7">
        <v>454.78</v>
      </c>
      <c r="I94" s="2"/>
      <c r="J94" s="6">
        <f t="shared" si="72"/>
        <v>2.0936242351732125E-4</v>
      </c>
      <c r="K94" s="2"/>
      <c r="L94" s="7">
        <f t="shared" si="73"/>
        <v>-323.43999999999994</v>
      </c>
      <c r="M94" s="2"/>
      <c r="N94" s="6">
        <f t="shared" si="74"/>
        <v>-0.71120102027353882</v>
      </c>
      <c r="O94" s="11"/>
      <c r="P94" s="7">
        <v>140.66</v>
      </c>
      <c r="Q94" s="2"/>
      <c r="R94" s="6">
        <f t="shared" si="75"/>
        <v>4.5984980898546398E-4</v>
      </c>
      <c r="S94" s="2"/>
      <c r="T94" s="7">
        <v>1302.98</v>
      </c>
      <c r="U94" s="2"/>
      <c r="V94" s="6">
        <f t="shared" si="76"/>
        <v>3.5071643544754304E-4</v>
      </c>
      <c r="W94" s="2"/>
      <c r="X94" s="7">
        <f t="shared" si="77"/>
        <v>-1162.32</v>
      </c>
      <c r="Y94" s="2"/>
      <c r="Z94" s="6">
        <f t="shared" si="78"/>
        <v>-0.89204746043684469</v>
      </c>
    </row>
    <row r="95" spans="1:26" s="27" customFormat="1" outlineLevel="1" collapsed="1" x14ac:dyDescent="0.25">
      <c r="A95" s="29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SUM(OSRRefD22_20x_0)</f>
        <v>9165.2500000000018</v>
      </c>
      <c r="E95" s="1"/>
      <c r="F95" s="5">
        <f t="shared" si="71"/>
        <v>3.9670803210784568E-2</v>
      </c>
      <c r="G95" s="1"/>
      <c r="H95" s="1">
        <f>SUM(OSRRefH22_20x_0)</f>
        <v>50963.089999999989</v>
      </c>
      <c r="I95" s="1"/>
      <c r="J95" s="5">
        <f t="shared" si="72"/>
        <v>2.346135721080821E-2</v>
      </c>
      <c r="K95" s="1"/>
      <c r="L95" s="1">
        <f t="shared" si="73"/>
        <v>-41797.839999999989</v>
      </c>
      <c r="M95" s="1"/>
      <c r="N95" s="5">
        <f t="shared" si="74"/>
        <v>-0.82015906021397056</v>
      </c>
      <c r="O95" s="14"/>
      <c r="P95" s="1">
        <f>SUM(OSRRefP22_20x_0)</f>
        <v>6998.779999999997</v>
      </c>
      <c r="Q95" s="1"/>
      <c r="R95" s="5">
        <f t="shared" si="75"/>
        <v>2.2880617418820449E-2</v>
      </c>
      <c r="S95" s="1"/>
      <c r="T95" s="1">
        <f>SUM(OSRRefT22_20x_0)</f>
        <v>136938.69999999998</v>
      </c>
      <c r="U95" s="1"/>
      <c r="V95" s="5">
        <f t="shared" si="76"/>
        <v>3.685908666197521E-2</v>
      </c>
      <c r="W95" s="1"/>
      <c r="X95" s="1">
        <f t="shared" si="77"/>
        <v>-129939.91999999998</v>
      </c>
      <c r="Y95" s="1"/>
      <c r="Z95" s="5">
        <f t="shared" si="78"/>
        <v>-0.94889114618438763</v>
      </c>
    </row>
    <row r="96" spans="1:26" s="24" customFormat="1" hidden="1" outlineLevel="2" x14ac:dyDescent="0.25">
      <c r="A96" s="28"/>
      <c r="B96" s="11" t="str">
        <f>CONCATENATE("          ", "6234", " - ", "EXPENDABLE SUPPLIES &amp; EQUIPMEN")</f>
        <v xml:space="preserve">          6234 - EXPENDABLE SUPPLIES &amp; EQUIPMEN</v>
      </c>
      <c r="C96" s="11"/>
      <c r="D96" s="7"/>
      <c r="E96" s="2"/>
      <c r="F96" s="6">
        <f t="shared" si="71"/>
        <v>0</v>
      </c>
      <c r="G96" s="2"/>
      <c r="H96" s="7">
        <v>7670.09</v>
      </c>
      <c r="I96" s="2"/>
      <c r="J96" s="6">
        <f t="shared" si="72"/>
        <v>3.531000991679429E-3</v>
      </c>
      <c r="K96" s="2"/>
      <c r="L96" s="7">
        <f t="shared" si="73"/>
        <v>-7670.09</v>
      </c>
      <c r="M96" s="2"/>
      <c r="N96" s="6">
        <f t="shared" si="74"/>
        <v>-1</v>
      </c>
      <c r="O96" s="11"/>
      <c r="P96" s="7">
        <v>255.78</v>
      </c>
      <c r="Q96" s="2"/>
      <c r="R96" s="6">
        <f t="shared" si="75"/>
        <v>8.3620349880777752E-4</v>
      </c>
      <c r="S96" s="2"/>
      <c r="T96" s="7">
        <v>7670.09</v>
      </c>
      <c r="U96" s="2"/>
      <c r="V96" s="6">
        <f t="shared" si="76"/>
        <v>2.0645187373266247E-3</v>
      </c>
      <c r="W96" s="2"/>
      <c r="X96" s="7">
        <f t="shared" si="77"/>
        <v>-7414.31</v>
      </c>
      <c r="Y96" s="2"/>
      <c r="Z96" s="6">
        <f t="shared" si="78"/>
        <v>-0.96665228178548102</v>
      </c>
    </row>
    <row r="97" spans="1:26" s="24" customFormat="1" hidden="1" outlineLevel="2" x14ac:dyDescent="0.25">
      <c r="A97" s="28"/>
      <c r="B97" s="11" t="str">
        <f>CONCATENATE("          ", "6235", " - ", "COVID-19 EXPENSES")</f>
        <v xml:space="preserve">          6235 - COVID-19 EXPENSES</v>
      </c>
      <c r="C97" s="11"/>
      <c r="D97" s="7">
        <v>4045.26</v>
      </c>
      <c r="E97" s="2"/>
      <c r="F97" s="6">
        <f t="shared" si="71"/>
        <v>1.750947474389224E-2</v>
      </c>
      <c r="G97" s="2"/>
      <c r="H97" s="7"/>
      <c r="I97" s="2"/>
      <c r="J97" s="6">
        <f t="shared" si="72"/>
        <v>0</v>
      </c>
      <c r="K97" s="2"/>
      <c r="L97" s="7">
        <f t="shared" si="73"/>
        <v>4045.26</v>
      </c>
      <c r="M97" s="2"/>
      <c r="N97" s="6">
        <f t="shared" si="74"/>
        <v>0</v>
      </c>
      <c r="O97" s="11"/>
      <c r="P97" s="7">
        <v>18540.96</v>
      </c>
      <c r="Q97" s="2"/>
      <c r="R97" s="6">
        <f t="shared" si="75"/>
        <v>6.0614651744683119E-2</v>
      </c>
      <c r="S97" s="2"/>
      <c r="T97" s="7"/>
      <c r="U97" s="2"/>
      <c r="V97" s="6">
        <f t="shared" si="76"/>
        <v>0</v>
      </c>
      <c r="W97" s="2"/>
      <c r="X97" s="7">
        <f t="shared" si="77"/>
        <v>18540.96</v>
      </c>
      <c r="Y97" s="2"/>
      <c r="Z97" s="6">
        <f t="shared" si="78"/>
        <v>0</v>
      </c>
    </row>
    <row r="98" spans="1:26" s="24" customFormat="1" hidden="1" outlineLevel="2" x14ac:dyDescent="0.25">
      <c r="A98" s="28"/>
      <c r="B98" s="11" t="str">
        <f>CONCATENATE("          ", "6237", " - ", "JANITORIAL SUPPLIES")</f>
        <v xml:space="preserve">          6237 - JANITORIAL SUPPLIES</v>
      </c>
      <c r="C98" s="11"/>
      <c r="D98" s="7">
        <v>3488.76</v>
      </c>
      <c r="E98" s="2"/>
      <c r="F98" s="6">
        <f t="shared" si="71"/>
        <v>1.5100724083866424E-2</v>
      </c>
      <c r="G98" s="2"/>
      <c r="H98" s="7">
        <v>11178</v>
      </c>
      <c r="I98" s="2"/>
      <c r="J98" s="6">
        <f t="shared" si="72"/>
        <v>5.1459016888970865E-3</v>
      </c>
      <c r="K98" s="2"/>
      <c r="L98" s="7">
        <f t="shared" si="73"/>
        <v>-7689.24</v>
      </c>
      <c r="M98" s="2"/>
      <c r="N98" s="6">
        <f t="shared" si="74"/>
        <v>-0.68789049919484702</v>
      </c>
      <c r="O98" s="11"/>
      <c r="P98" s="7">
        <v>6093.71</v>
      </c>
      <c r="Q98" s="2"/>
      <c r="R98" s="6">
        <f t="shared" si="75"/>
        <v>1.9921735955586606E-2</v>
      </c>
      <c r="S98" s="2"/>
      <c r="T98" s="7">
        <v>34451.910000000003</v>
      </c>
      <c r="U98" s="2"/>
      <c r="V98" s="6">
        <f t="shared" si="76"/>
        <v>9.2732436948837014E-3</v>
      </c>
      <c r="W98" s="2"/>
      <c r="X98" s="7">
        <f t="shared" si="77"/>
        <v>-28358.200000000004</v>
      </c>
      <c r="Y98" s="2"/>
      <c r="Z98" s="6">
        <f t="shared" si="78"/>
        <v>-0.8231241751183026</v>
      </c>
    </row>
    <row r="99" spans="1:26" s="24" customFormat="1" hidden="1" outlineLevel="2" x14ac:dyDescent="0.25">
      <c r="A99" s="28"/>
      <c r="B99" s="11" t="str">
        <f>CONCATENATE("          ", "6239", " - ", "KITCHEN SUPPLIES")</f>
        <v xml:space="preserve">          6239 - KITCHEN SUPPLIES</v>
      </c>
      <c r="C99" s="11"/>
      <c r="D99" s="7">
        <v>553.01</v>
      </c>
      <c r="E99" s="2"/>
      <c r="F99" s="6">
        <f t="shared" si="71"/>
        <v>2.3936445687347285E-3</v>
      </c>
      <c r="G99" s="2"/>
      <c r="H99" s="7">
        <v>16957.86</v>
      </c>
      <c r="I99" s="2"/>
      <c r="J99" s="6">
        <f t="shared" si="72"/>
        <v>7.8067168021184784E-3</v>
      </c>
      <c r="K99" s="2"/>
      <c r="L99" s="7">
        <f t="shared" si="73"/>
        <v>-16404.850000000002</v>
      </c>
      <c r="M99" s="2"/>
      <c r="N99" s="6">
        <f t="shared" si="74"/>
        <v>-0.96738916349114812</v>
      </c>
      <c r="O99" s="11"/>
      <c r="P99" s="7">
        <v>2927.32</v>
      </c>
      <c r="Q99" s="2"/>
      <c r="R99" s="6">
        <f t="shared" si="75"/>
        <v>9.5700806401203507E-3</v>
      </c>
      <c r="S99" s="2"/>
      <c r="T99" s="7">
        <v>33175.129999999997</v>
      </c>
      <c r="U99" s="2"/>
      <c r="V99" s="6">
        <f t="shared" si="76"/>
        <v>8.9295793788921156E-3</v>
      </c>
      <c r="W99" s="2"/>
      <c r="X99" s="7">
        <f t="shared" si="77"/>
        <v>-30247.809999999998</v>
      </c>
      <c r="Y99" s="2"/>
      <c r="Z99" s="6">
        <f t="shared" si="78"/>
        <v>-0.91176161178569615</v>
      </c>
    </row>
    <row r="100" spans="1:26" s="24" customFormat="1" hidden="1" outlineLevel="2" x14ac:dyDescent="0.25">
      <c r="A100" s="28"/>
      <c r="B100" s="11" t="str">
        <f>CONCATENATE("          ", "6241", " - ", "OFFICE EXPENSE")</f>
        <v xml:space="preserve">          6241 - OFFICE EXPENSE</v>
      </c>
      <c r="C100" s="11"/>
      <c r="D100" s="7">
        <v>774.52</v>
      </c>
      <c r="E100" s="2"/>
      <c r="F100" s="6">
        <f t="shared" si="71"/>
        <v>3.3524268844621649E-3</v>
      </c>
      <c r="G100" s="2"/>
      <c r="H100" s="7">
        <v>3621.21</v>
      </c>
      <c r="I100" s="2"/>
      <c r="J100" s="6">
        <f t="shared" si="72"/>
        <v>1.6670594609814833E-3</v>
      </c>
      <c r="K100" s="2"/>
      <c r="L100" s="7">
        <f t="shared" si="73"/>
        <v>-2846.69</v>
      </c>
      <c r="M100" s="2"/>
      <c r="N100" s="6">
        <f t="shared" si="74"/>
        <v>-0.78611569061170161</v>
      </c>
      <c r="O100" s="11"/>
      <c r="P100" s="7">
        <v>-28293.84</v>
      </c>
      <c r="Q100" s="2"/>
      <c r="R100" s="6">
        <f t="shared" si="75"/>
        <v>-9.2499053885008398E-2</v>
      </c>
      <c r="S100" s="2"/>
      <c r="T100" s="7">
        <v>32432.11</v>
      </c>
      <c r="U100" s="2"/>
      <c r="V100" s="6">
        <f t="shared" si="76"/>
        <v>8.7295845010994921E-3</v>
      </c>
      <c r="W100" s="2"/>
      <c r="X100" s="7">
        <f t="shared" si="77"/>
        <v>-60725.95</v>
      </c>
      <c r="Y100" s="2"/>
      <c r="Z100" s="6">
        <f t="shared" si="78"/>
        <v>-1.8724020731306104</v>
      </c>
    </row>
    <row r="101" spans="1:26" s="24" customFormat="1" hidden="1" outlineLevel="2" x14ac:dyDescent="0.25">
      <c r="A101" s="28"/>
      <c r="B101" s="11" t="str">
        <f>CONCATENATE("          ", "6243", " - ", "PAPER SUPPLIES")</f>
        <v xml:space="preserve">          6243 - PAPER SUPPLIES</v>
      </c>
      <c r="C101" s="11"/>
      <c r="D101" s="7"/>
      <c r="E101" s="2"/>
      <c r="F101" s="6">
        <f t="shared" si="71"/>
        <v>0</v>
      </c>
      <c r="G101" s="2"/>
      <c r="H101" s="7">
        <v>10226.030000000001</v>
      </c>
      <c r="I101" s="2"/>
      <c r="J101" s="6">
        <f t="shared" si="72"/>
        <v>4.7076529833344318E-3</v>
      </c>
      <c r="K101" s="2"/>
      <c r="L101" s="7">
        <f t="shared" si="73"/>
        <v>-10226.030000000001</v>
      </c>
      <c r="M101" s="2"/>
      <c r="N101" s="6">
        <f t="shared" si="74"/>
        <v>-1</v>
      </c>
      <c r="O101" s="11"/>
      <c r="P101" s="7">
        <v>3660.17</v>
      </c>
      <c r="Q101" s="2"/>
      <c r="R101" s="6">
        <f t="shared" si="75"/>
        <v>1.1965935414149906E-2</v>
      </c>
      <c r="S101" s="2"/>
      <c r="T101" s="7">
        <v>26699.69</v>
      </c>
      <c r="U101" s="2"/>
      <c r="V101" s="6">
        <f t="shared" si="76"/>
        <v>7.1866184472166956E-3</v>
      </c>
      <c r="W101" s="2"/>
      <c r="X101" s="7">
        <f t="shared" si="77"/>
        <v>-23039.519999999997</v>
      </c>
      <c r="Y101" s="2"/>
      <c r="Z101" s="6">
        <f t="shared" si="78"/>
        <v>-0.86291338963111552</v>
      </c>
    </row>
    <row r="102" spans="1:26" s="24" customFormat="1" hidden="1" outlineLevel="2" x14ac:dyDescent="0.25">
      <c r="A102" s="28"/>
      <c r="B102" s="11" t="str">
        <f>CONCATENATE("          ", "6245", " - ", "PRINTING")</f>
        <v xml:space="preserve">          6245 - PRINTING</v>
      </c>
      <c r="C102" s="11"/>
      <c r="D102" s="7"/>
      <c r="E102" s="2"/>
      <c r="F102" s="6">
        <f t="shared" si="71"/>
        <v>0</v>
      </c>
      <c r="G102" s="2"/>
      <c r="H102" s="7">
        <v>28.27</v>
      </c>
      <c r="I102" s="2"/>
      <c r="J102" s="6">
        <f t="shared" si="72"/>
        <v>1.3014371152721475E-5</v>
      </c>
      <c r="K102" s="2"/>
      <c r="L102" s="7">
        <f t="shared" si="73"/>
        <v>-28.27</v>
      </c>
      <c r="M102" s="2"/>
      <c r="N102" s="6">
        <f t="shared" si="74"/>
        <v>-1</v>
      </c>
      <c r="O102" s="11"/>
      <c r="P102" s="7"/>
      <c r="Q102" s="2"/>
      <c r="R102" s="6">
        <f t="shared" si="75"/>
        <v>0</v>
      </c>
      <c r="S102" s="2"/>
      <c r="T102" s="7">
        <v>1522.19</v>
      </c>
      <c r="U102" s="2"/>
      <c r="V102" s="6">
        <f t="shared" si="76"/>
        <v>4.0972006544528355E-4</v>
      </c>
      <c r="W102" s="2"/>
      <c r="X102" s="7">
        <f t="shared" si="77"/>
        <v>-1522.19</v>
      </c>
      <c r="Y102" s="2"/>
      <c r="Z102" s="6">
        <f t="shared" si="78"/>
        <v>-1</v>
      </c>
    </row>
    <row r="103" spans="1:26" s="24" customFormat="1" hidden="1" outlineLevel="2" x14ac:dyDescent="0.25">
      <c r="A103" s="28"/>
      <c r="B103" s="11" t="str">
        <f>CONCATENATE("          ", "6247", " - ", "STORE SUPPLIES")</f>
        <v xml:space="preserve">          6247 - STORE SUPPLIES</v>
      </c>
      <c r="C103" s="11"/>
      <c r="D103" s="7"/>
      <c r="E103" s="2"/>
      <c r="F103" s="6">
        <f t="shared" si="71"/>
        <v>0</v>
      </c>
      <c r="G103" s="2"/>
      <c r="H103" s="7">
        <v>612.28</v>
      </c>
      <c r="I103" s="2"/>
      <c r="J103" s="6">
        <f t="shared" si="72"/>
        <v>2.8186908982625767E-4</v>
      </c>
      <c r="K103" s="2"/>
      <c r="L103" s="7">
        <f t="shared" si="73"/>
        <v>-612.28</v>
      </c>
      <c r="M103" s="2"/>
      <c r="N103" s="6">
        <f t="shared" si="74"/>
        <v>-1</v>
      </c>
      <c r="O103" s="11"/>
      <c r="P103" s="7"/>
      <c r="Q103" s="2"/>
      <c r="R103" s="6">
        <f t="shared" si="75"/>
        <v>0</v>
      </c>
      <c r="S103" s="2"/>
      <c r="T103" s="7">
        <v>2099.5</v>
      </c>
      <c r="U103" s="2"/>
      <c r="V103" s="6">
        <f t="shared" si="76"/>
        <v>5.6511163350328984E-4</v>
      </c>
      <c r="W103" s="2"/>
      <c r="X103" s="7">
        <f t="shared" si="77"/>
        <v>-2099.5</v>
      </c>
      <c r="Y103" s="2"/>
      <c r="Z103" s="6">
        <f t="shared" si="78"/>
        <v>-1</v>
      </c>
    </row>
    <row r="104" spans="1:26" s="24" customFormat="1" hidden="1" outlineLevel="2" x14ac:dyDescent="0.25">
      <c r="A104" s="28"/>
      <c r="B104" s="11" t="str">
        <f>CONCATENATE("          ", "6248", " - ", "UNIFORMS")</f>
        <v xml:space="preserve">          6248 - UNIFORMS</v>
      </c>
      <c r="C104" s="11"/>
      <c r="D104" s="7">
        <v>303.7</v>
      </c>
      <c r="E104" s="2"/>
      <c r="F104" s="6">
        <f t="shared" si="71"/>
        <v>1.3145329298290031E-3</v>
      </c>
      <c r="G104" s="2"/>
      <c r="H104" s="7">
        <v>669.35</v>
      </c>
      <c r="I104" s="2"/>
      <c r="J104" s="6">
        <f t="shared" si="72"/>
        <v>3.0814182281832753E-4</v>
      </c>
      <c r="K104" s="2"/>
      <c r="L104" s="7">
        <f t="shared" si="73"/>
        <v>-365.65000000000003</v>
      </c>
      <c r="M104" s="2"/>
      <c r="N104" s="6">
        <f t="shared" si="74"/>
        <v>-0.54627623814148052</v>
      </c>
      <c r="O104" s="11"/>
      <c r="P104" s="7">
        <v>3814.68</v>
      </c>
      <c r="Q104" s="2"/>
      <c r="R104" s="6">
        <f t="shared" si="75"/>
        <v>1.2471064050481087E-2</v>
      </c>
      <c r="S104" s="2"/>
      <c r="T104" s="7">
        <v>-1111.92</v>
      </c>
      <c r="U104" s="2"/>
      <c r="V104" s="6">
        <f t="shared" si="76"/>
        <v>-2.9928979639198768E-4</v>
      </c>
      <c r="W104" s="2"/>
      <c r="X104" s="7">
        <f t="shared" si="77"/>
        <v>4926.6000000000004</v>
      </c>
      <c r="Y104" s="2"/>
      <c r="Z104" s="6">
        <f t="shared" si="78"/>
        <v>-4.4307144398877618</v>
      </c>
    </row>
    <row r="105" spans="1:26" s="27" customFormat="1" outlineLevel="1" collapsed="1" x14ac:dyDescent="0.25">
      <c r="A105" s="29"/>
      <c r="B105" s="14" t="str">
        <f>CONCATENATE("     ","Telephone/Data Lines                              ")</f>
        <v xml:space="preserve">     Telephone/Data Lines                              </v>
      </c>
      <c r="C105" s="14"/>
      <c r="D105" s="1">
        <f>SUM(OSRRefD22_21x_0)</f>
        <v>1613.63</v>
      </c>
      <c r="E105" s="1"/>
      <c r="F105" s="5">
        <f t="shared" ref="F105:F112" si="79">IF(D$12=0,0,D105/D$12)</f>
        <v>6.984424667632448E-3</v>
      </c>
      <c r="G105" s="1"/>
      <c r="H105" s="1">
        <f>SUM(OSRRefH22_21x_0)</f>
        <v>3579.21</v>
      </c>
      <c r="I105" s="1"/>
      <c r="J105" s="5">
        <f t="shared" ref="J105:J112" si="80">IF(H$12=0,0,H105/H$12)</f>
        <v>1.6477243499657668E-3</v>
      </c>
      <c r="K105" s="1"/>
      <c r="L105" s="1">
        <f t="shared" ref="L105:L112" si="81">+D105-H105</f>
        <v>-1965.58</v>
      </c>
      <c r="M105" s="1"/>
      <c r="N105" s="5">
        <f t="shared" ref="N105:N112" si="82">IF(H105=0,0,L105/H105)</f>
        <v>-0.54916587738635059</v>
      </c>
      <c r="O105" s="14"/>
      <c r="P105" s="1">
        <f>SUM(OSRRefP22_21x_0)</f>
        <v>5311.41</v>
      </c>
      <c r="Q105" s="1"/>
      <c r="R105" s="5">
        <f t="shared" ref="R105:R112" si="83">IF(P$12=0,0,P105/P$12)</f>
        <v>1.7364217787171073E-2</v>
      </c>
      <c r="S105" s="1"/>
      <c r="T105" s="1">
        <f>SUM(OSRRefT22_21x_0)</f>
        <v>6201.04</v>
      </c>
      <c r="U105" s="1"/>
      <c r="V105" s="5">
        <f t="shared" ref="V105:V112" si="84">IF(T$12=0,0,T105/T$12)</f>
        <v>1.6691020927931605E-3</v>
      </c>
      <c r="W105" s="1"/>
      <c r="X105" s="1">
        <f t="shared" ref="X105:X112" si="85">+P105-T105</f>
        <v>-889.63000000000011</v>
      </c>
      <c r="Y105" s="1"/>
      <c r="Z105" s="5">
        <f t="shared" ref="Z105:Z112" si="86">IF(T105=0,0,X105/T105)</f>
        <v>-0.14346464464025391</v>
      </c>
    </row>
    <row r="106" spans="1:26" s="24" customFormat="1" hidden="1" outlineLevel="2" x14ac:dyDescent="0.25">
      <c r="A106" s="28"/>
      <c r="B106" s="11" t="str">
        <f>CONCATENATE("          ", "6309", " - ", "TELEPHONE")</f>
        <v xml:space="preserve">          6309 - TELEPHONE</v>
      </c>
      <c r="C106" s="11"/>
      <c r="D106" s="7">
        <v>1613.63</v>
      </c>
      <c r="E106" s="2"/>
      <c r="F106" s="6">
        <f t="shared" si="79"/>
        <v>6.984424667632448E-3</v>
      </c>
      <c r="G106" s="2"/>
      <c r="H106" s="7">
        <v>3579.21</v>
      </c>
      <c r="I106" s="2"/>
      <c r="J106" s="6">
        <f t="shared" si="80"/>
        <v>1.6477243499657668E-3</v>
      </c>
      <c r="K106" s="2"/>
      <c r="L106" s="7">
        <f t="shared" si="81"/>
        <v>-1965.58</v>
      </c>
      <c r="M106" s="2"/>
      <c r="N106" s="6">
        <f t="shared" si="82"/>
        <v>-0.54916587738635059</v>
      </c>
      <c r="O106" s="11"/>
      <c r="P106" s="7">
        <v>5311.41</v>
      </c>
      <c r="Q106" s="2"/>
      <c r="R106" s="6">
        <f t="shared" si="83"/>
        <v>1.7364217787171073E-2</v>
      </c>
      <c r="S106" s="2"/>
      <c r="T106" s="7">
        <v>6201.04</v>
      </c>
      <c r="U106" s="2"/>
      <c r="V106" s="6">
        <f t="shared" si="84"/>
        <v>1.6691020927931605E-3</v>
      </c>
      <c r="W106" s="2"/>
      <c r="X106" s="7">
        <f t="shared" si="85"/>
        <v>-889.63000000000011</v>
      </c>
      <c r="Y106" s="2"/>
      <c r="Z106" s="6">
        <f t="shared" si="86"/>
        <v>-0.14346464464025391</v>
      </c>
    </row>
    <row r="107" spans="1:26" s="27" customFormat="1" outlineLevel="1" collapsed="1" x14ac:dyDescent="0.25">
      <c r="A107" s="29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SUM(OSRRefD22_22x_0)</f>
        <v>0</v>
      </c>
      <c r="E107" s="1"/>
      <c r="F107" s="5">
        <f t="shared" si="79"/>
        <v>0</v>
      </c>
      <c r="G107" s="1"/>
      <c r="H107" s="1">
        <f>SUM(OSRRefH22_22x_0)</f>
        <v>526.70000000000005</v>
      </c>
      <c r="I107" s="1"/>
      <c r="J107" s="5">
        <f t="shared" si="80"/>
        <v>2.4247149933280513E-4</v>
      </c>
      <c r="K107" s="1"/>
      <c r="L107" s="1">
        <f t="shared" si="81"/>
        <v>-526.70000000000005</v>
      </c>
      <c r="M107" s="1"/>
      <c r="N107" s="5">
        <f t="shared" si="82"/>
        <v>-1</v>
      </c>
      <c r="O107" s="14"/>
      <c r="P107" s="1">
        <f>SUM(OSRRefP22_22x_0)</f>
        <v>350</v>
      </c>
      <c r="Q107" s="1"/>
      <c r="R107" s="5">
        <f t="shared" si="83"/>
        <v>1.1442302939351087E-3</v>
      </c>
      <c r="S107" s="1"/>
      <c r="T107" s="1">
        <f>SUM(OSRRefT22_22x_0)</f>
        <v>4966.82</v>
      </c>
      <c r="U107" s="1"/>
      <c r="V107" s="5">
        <f t="shared" si="84"/>
        <v>1.3368934334445392E-3</v>
      </c>
      <c r="W107" s="1"/>
      <c r="X107" s="1">
        <f t="shared" si="85"/>
        <v>-4616.82</v>
      </c>
      <c r="Y107" s="1"/>
      <c r="Z107" s="5">
        <f t="shared" si="86"/>
        <v>-0.92953237685279511</v>
      </c>
    </row>
    <row r="108" spans="1:26" s="24" customFormat="1" hidden="1" outlineLevel="2" x14ac:dyDescent="0.25">
      <c r="A108" s="28"/>
      <c r="B108" s="11" t="str">
        <f>CONCATENATE("          ", "6376", " - ", "TRAINING")</f>
        <v xml:space="preserve">          6376 - TRAINING</v>
      </c>
      <c r="C108" s="11"/>
      <c r="D108" s="7"/>
      <c r="E108" s="2"/>
      <c r="F108" s="6">
        <f t="shared" si="79"/>
        <v>0</v>
      </c>
      <c r="G108" s="2"/>
      <c r="H108" s="7">
        <v>526.70000000000005</v>
      </c>
      <c r="I108" s="2"/>
      <c r="J108" s="6">
        <f t="shared" si="80"/>
        <v>2.4247149933280513E-4</v>
      </c>
      <c r="K108" s="2"/>
      <c r="L108" s="7">
        <f t="shared" si="81"/>
        <v>-526.70000000000005</v>
      </c>
      <c r="M108" s="2"/>
      <c r="N108" s="6">
        <f t="shared" si="82"/>
        <v>-1</v>
      </c>
      <c r="O108" s="11"/>
      <c r="P108" s="7">
        <v>350</v>
      </c>
      <c r="Q108" s="2"/>
      <c r="R108" s="6">
        <f t="shared" si="83"/>
        <v>1.1442302939351087E-3</v>
      </c>
      <c r="S108" s="2"/>
      <c r="T108" s="7">
        <v>4966.82</v>
      </c>
      <c r="U108" s="2"/>
      <c r="V108" s="6">
        <f t="shared" si="84"/>
        <v>1.3368934334445392E-3</v>
      </c>
      <c r="W108" s="2"/>
      <c r="X108" s="7">
        <f t="shared" si="85"/>
        <v>-4616.82</v>
      </c>
      <c r="Y108" s="2"/>
      <c r="Z108" s="6">
        <f t="shared" si="86"/>
        <v>-0.92953237685279511</v>
      </c>
    </row>
    <row r="109" spans="1:26" s="27" customFormat="1" outlineLevel="1" collapsed="1" x14ac:dyDescent="0.25">
      <c r="A109" s="29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SUM(OSRRefD22_23x_0)</f>
        <v>152.52000000000001</v>
      </c>
      <c r="E109" s="1"/>
      <c r="F109" s="5">
        <f t="shared" si="79"/>
        <v>6.6016648817095679E-4</v>
      </c>
      <c r="G109" s="1"/>
      <c r="H109" s="1">
        <f>SUM(OSRRefH22_23x_0)</f>
        <v>249.82</v>
      </c>
      <c r="I109" s="1"/>
      <c r="J109" s="5">
        <f t="shared" si="80"/>
        <v>1.1500708176062535E-4</v>
      </c>
      <c r="K109" s="1"/>
      <c r="L109" s="1">
        <f t="shared" si="81"/>
        <v>-97.299999999999983</v>
      </c>
      <c r="M109" s="1"/>
      <c r="N109" s="5">
        <f t="shared" si="82"/>
        <v>-0.38948042590665272</v>
      </c>
      <c r="O109" s="14"/>
      <c r="P109" s="1">
        <f>SUM(OSRRefP22_23x_0)</f>
        <v>332.21</v>
      </c>
      <c r="Q109" s="1"/>
      <c r="R109" s="5">
        <f t="shared" si="83"/>
        <v>1.0860707027090927E-3</v>
      </c>
      <c r="S109" s="1"/>
      <c r="T109" s="1">
        <f>SUM(OSRRefT22_23x_0)</f>
        <v>2789.5899999999997</v>
      </c>
      <c r="U109" s="1"/>
      <c r="V109" s="5">
        <f t="shared" si="84"/>
        <v>7.5085961500568818E-4</v>
      </c>
      <c r="W109" s="1"/>
      <c r="X109" s="1">
        <f t="shared" si="85"/>
        <v>-2457.3799999999997</v>
      </c>
      <c r="Y109" s="1"/>
      <c r="Z109" s="5">
        <f t="shared" si="86"/>
        <v>-0.88091081485092793</v>
      </c>
    </row>
    <row r="110" spans="1:26" s="24" customFormat="1" hidden="1" outlineLevel="2" x14ac:dyDescent="0.25">
      <c r="A110" s="28"/>
      <c r="B110" s="11" t="str">
        <f>CONCATENATE("          ", "6292", " - ", "TRAVEL/CONFERENCE")</f>
        <v xml:space="preserve">          6292 - TRAVEL/CONFERENCE</v>
      </c>
      <c r="C110" s="11"/>
      <c r="D110" s="7"/>
      <c r="E110" s="2"/>
      <c r="F110" s="6">
        <f t="shared" si="79"/>
        <v>0</v>
      </c>
      <c r="G110" s="2"/>
      <c r="H110" s="7"/>
      <c r="I110" s="2"/>
      <c r="J110" s="6">
        <f t="shared" si="80"/>
        <v>0</v>
      </c>
      <c r="K110" s="2"/>
      <c r="L110" s="7">
        <f t="shared" si="81"/>
        <v>0</v>
      </c>
      <c r="M110" s="2"/>
      <c r="N110" s="6">
        <f t="shared" si="82"/>
        <v>0</v>
      </c>
      <c r="O110" s="11"/>
      <c r="P110" s="7"/>
      <c r="Q110" s="2"/>
      <c r="R110" s="6">
        <f t="shared" si="83"/>
        <v>0</v>
      </c>
      <c r="S110" s="2"/>
      <c r="T110" s="7">
        <v>2234.1</v>
      </c>
      <c r="U110" s="2"/>
      <c r="V110" s="6">
        <f t="shared" si="84"/>
        <v>6.0134122429611806E-4</v>
      </c>
      <c r="W110" s="2"/>
      <c r="X110" s="7">
        <f t="shared" si="85"/>
        <v>-2234.1</v>
      </c>
      <c r="Y110" s="2"/>
      <c r="Z110" s="6">
        <f t="shared" si="86"/>
        <v>-1</v>
      </c>
    </row>
    <row r="111" spans="1:26" s="24" customFormat="1" hidden="1" outlineLevel="2" x14ac:dyDescent="0.25">
      <c r="A111" s="28"/>
      <c r="B111" s="11" t="str">
        <f>CONCATENATE("          ", "6294", " - ", "TRAVEL OPERATIONAL")</f>
        <v xml:space="preserve">          6294 - TRAVEL OPERATIONAL</v>
      </c>
      <c r="C111" s="11"/>
      <c r="D111" s="7"/>
      <c r="E111" s="2"/>
      <c r="F111" s="6">
        <f t="shared" si="79"/>
        <v>0</v>
      </c>
      <c r="G111" s="2"/>
      <c r="H111" s="7"/>
      <c r="I111" s="2"/>
      <c r="J111" s="6">
        <f t="shared" si="80"/>
        <v>0</v>
      </c>
      <c r="K111" s="2"/>
      <c r="L111" s="7">
        <f t="shared" si="81"/>
        <v>0</v>
      </c>
      <c r="M111" s="2"/>
      <c r="N111" s="6">
        <f t="shared" si="82"/>
        <v>0</v>
      </c>
      <c r="O111" s="11"/>
      <c r="P111" s="7"/>
      <c r="Q111" s="2"/>
      <c r="R111" s="6">
        <f t="shared" si="83"/>
        <v>0</v>
      </c>
      <c r="S111" s="2"/>
      <c r="T111" s="7">
        <v>45.49</v>
      </c>
      <c r="U111" s="2"/>
      <c r="V111" s="6">
        <f t="shared" si="84"/>
        <v>1.2244309696625224E-5</v>
      </c>
      <c r="W111" s="2"/>
      <c r="X111" s="7">
        <f t="shared" si="85"/>
        <v>-45.49</v>
      </c>
      <c r="Y111" s="2"/>
      <c r="Z111" s="6">
        <f t="shared" si="86"/>
        <v>-1</v>
      </c>
    </row>
    <row r="112" spans="1:26" s="24" customFormat="1" hidden="1" outlineLevel="2" x14ac:dyDescent="0.25">
      <c r="A112" s="28"/>
      <c r="B112" s="11" t="str">
        <f>CONCATENATE("          ", "6298", " - ", "VEHICLE MILEAGE")</f>
        <v xml:space="preserve">          6298 - VEHICLE MILEAGE</v>
      </c>
      <c r="C112" s="11"/>
      <c r="D112" s="7">
        <v>152.52000000000001</v>
      </c>
      <c r="E112" s="2"/>
      <c r="F112" s="6">
        <f t="shared" si="79"/>
        <v>6.6016648817095679E-4</v>
      </c>
      <c r="G112" s="2"/>
      <c r="H112" s="7">
        <v>249.82</v>
      </c>
      <c r="I112" s="2"/>
      <c r="J112" s="6">
        <f t="shared" si="80"/>
        <v>1.1500708176062535E-4</v>
      </c>
      <c r="K112" s="2"/>
      <c r="L112" s="7">
        <f t="shared" si="81"/>
        <v>-97.299999999999983</v>
      </c>
      <c r="M112" s="2"/>
      <c r="N112" s="6">
        <f t="shared" si="82"/>
        <v>-0.38948042590665272</v>
      </c>
      <c r="O112" s="11"/>
      <c r="P112" s="7">
        <v>332.21</v>
      </c>
      <c r="Q112" s="2"/>
      <c r="R112" s="6">
        <f t="shared" si="83"/>
        <v>1.0860707027090927E-3</v>
      </c>
      <c r="S112" s="2"/>
      <c r="T112" s="7">
        <v>510</v>
      </c>
      <c r="U112" s="2"/>
      <c r="V112" s="6">
        <f t="shared" si="84"/>
        <v>1.3727408101294492E-4</v>
      </c>
      <c r="W112" s="2"/>
      <c r="X112" s="7">
        <f t="shared" si="85"/>
        <v>-177.79000000000002</v>
      </c>
      <c r="Y112" s="2"/>
      <c r="Z112" s="6">
        <f t="shared" si="86"/>
        <v>-0.34860784313725496</v>
      </c>
    </row>
    <row r="113" spans="1:26" s="27" customFormat="1" outlineLevel="1" collapsed="1" x14ac:dyDescent="0.25">
      <c r="A113" s="29"/>
      <c r="B113" s="14" t="str">
        <f>CONCATENATE("     ","Utilities                                         ")</f>
        <v xml:space="preserve">     Utilities                                         </v>
      </c>
      <c r="C113" s="14"/>
      <c r="D113" s="1">
        <f>SUM(OSRRefD22_24x_0)</f>
        <v>2300</v>
      </c>
      <c r="E113" s="1"/>
      <c r="F113" s="5">
        <f t="shared" ref="F113:F114" si="87">IF(D$12=0,0,D113/D$12)</f>
        <v>9.9553037161893548E-3</v>
      </c>
      <c r="G113" s="1"/>
      <c r="H113" s="1">
        <f>SUM(OSRRefH22_24x_0)</f>
        <v>17267</v>
      </c>
      <c r="I113" s="1"/>
      <c r="J113" s="5">
        <f t="shared" ref="J113:J114" si="88">IF(H$12=0,0,H113/H$12)</f>
        <v>7.949032426389873E-3</v>
      </c>
      <c r="K113" s="1"/>
      <c r="L113" s="1">
        <f t="shared" ref="L113:L114" si="89">+D113-H113</f>
        <v>-14967</v>
      </c>
      <c r="M113" s="1"/>
      <c r="N113" s="5">
        <f t="shared" ref="N113:N114" si="90">IF(H113=0,0,L113/H113)</f>
        <v>-0.86679793826374008</v>
      </c>
      <c r="O113" s="14"/>
      <c r="P113" s="1">
        <f>SUM(OSRRefP22_24x_0)</f>
        <v>6900</v>
      </c>
      <c r="Q113" s="1"/>
      <c r="R113" s="5">
        <f t="shared" ref="R113:R114" si="91">IF(P$12=0,0,P113/P$12)</f>
        <v>2.2557682937577858E-2</v>
      </c>
      <c r="S113" s="1"/>
      <c r="T113" s="1">
        <f>SUM(OSRRefT22_24x_0)</f>
        <v>30958</v>
      </c>
      <c r="U113" s="1"/>
      <c r="V113" s="5">
        <f t="shared" ref="V113:V114" si="92">IF(T$12=0,0,T113/T$12)</f>
        <v>8.3328058823504865E-3</v>
      </c>
      <c r="W113" s="1"/>
      <c r="X113" s="1">
        <f t="shared" ref="X113:X114" si="93">+P113-T113</f>
        <v>-24058</v>
      </c>
      <c r="Y113" s="1"/>
      <c r="Z113" s="5">
        <f t="shared" ref="Z113:Z114" si="94">IF(T113=0,0,X113/T113)</f>
        <v>-0.77711738484398218</v>
      </c>
    </row>
    <row r="114" spans="1:26" s="24" customFormat="1" hidden="1" outlineLevel="2" x14ac:dyDescent="0.25">
      <c r="A114" s="28"/>
      <c r="B114" s="11" t="str">
        <f>CONCATENATE("          ", "6274", " - ", "UTILITIES")</f>
        <v xml:space="preserve">          6274 - UTILITIES</v>
      </c>
      <c r="C114" s="11"/>
      <c r="D114" s="7">
        <v>2300</v>
      </c>
      <c r="E114" s="2"/>
      <c r="F114" s="6">
        <f t="shared" si="87"/>
        <v>9.9553037161893548E-3</v>
      </c>
      <c r="G114" s="2"/>
      <c r="H114" s="7">
        <v>17267</v>
      </c>
      <c r="I114" s="2"/>
      <c r="J114" s="6">
        <f t="shared" si="88"/>
        <v>7.949032426389873E-3</v>
      </c>
      <c r="K114" s="2"/>
      <c r="L114" s="7">
        <f t="shared" si="89"/>
        <v>-14967</v>
      </c>
      <c r="M114" s="2"/>
      <c r="N114" s="6">
        <f t="shared" si="90"/>
        <v>-0.86679793826374008</v>
      </c>
      <c r="O114" s="11"/>
      <c r="P114" s="7">
        <v>6900</v>
      </c>
      <c r="Q114" s="2"/>
      <c r="R114" s="6">
        <f t="shared" si="91"/>
        <v>2.2557682937577858E-2</v>
      </c>
      <c r="S114" s="2"/>
      <c r="T114" s="7">
        <v>30958</v>
      </c>
      <c r="U114" s="2"/>
      <c r="V114" s="6">
        <f t="shared" si="92"/>
        <v>8.3328058823504865E-3</v>
      </c>
      <c r="W114" s="2"/>
      <c r="X114" s="7">
        <f t="shared" si="93"/>
        <v>-24058</v>
      </c>
      <c r="Y114" s="2"/>
      <c r="Z114" s="6">
        <f t="shared" si="94"/>
        <v>-0.77711738484398218</v>
      </c>
    </row>
    <row r="115" spans="1:26" s="60" customFormat="1" x14ac:dyDescent="0.25">
      <c r="A115" s="37"/>
      <c r="B115" s="37"/>
      <c r="C115" s="37"/>
      <c r="D115" s="1"/>
      <c r="E115" s="1"/>
      <c r="F115" s="5"/>
      <c r="G115" s="1"/>
      <c r="H115" s="1"/>
      <c r="I115" s="1"/>
      <c r="J115" s="5"/>
      <c r="K115" s="1"/>
      <c r="L115" s="1"/>
      <c r="M115" s="1"/>
      <c r="N115" s="5"/>
      <c r="O115" s="37"/>
      <c r="P115" s="1"/>
      <c r="Q115" s="1"/>
      <c r="R115" s="5"/>
      <c r="S115" s="1"/>
      <c r="T115" s="1"/>
      <c r="U115" s="1"/>
      <c r="V115" s="5"/>
      <c r="W115" s="1"/>
      <c r="X115" s="1"/>
      <c r="Y115" s="1"/>
      <c r="Z115" s="5"/>
    </row>
    <row r="116" spans="1:26" s="23" customFormat="1" collapsed="1" x14ac:dyDescent="0.25">
      <c r="A116" s="10"/>
      <c r="B116" s="26" t="s">
        <v>0</v>
      </c>
      <c r="C116" s="10"/>
      <c r="D116" s="4">
        <f>SUM(OSRRefD25x_0)</f>
        <v>805.53</v>
      </c>
      <c r="E116" s="4"/>
      <c r="F116" s="12">
        <f t="shared" ref="F116:F119" si="95">IF(D$12=0,0,D116/D$12)</f>
        <v>3.4866503489139177E-3</v>
      </c>
      <c r="G116" s="4"/>
      <c r="H116" s="4">
        <f>SUM(OSRRefH25x_0)</f>
        <v>237266.33000000002</v>
      </c>
      <c r="I116" s="4"/>
      <c r="J116" s="12">
        <f t="shared" ref="J116:J119" si="96">IF(H$12=0,0,H116/H$12)</f>
        <v>0.10922787692479992</v>
      </c>
      <c r="K116" s="4"/>
      <c r="L116" s="4">
        <f t="shared" ref="L116:L119" si="97">+D116-H116</f>
        <v>-236460.80000000002</v>
      </c>
      <c r="M116" s="4"/>
      <c r="N116" s="12">
        <f t="shared" ref="N116:N119" si="98">IF(H116=0,0,L116/H116)</f>
        <v>-0.99660495444085972</v>
      </c>
      <c r="O116" s="10"/>
      <c r="P116" s="4">
        <f>SUM(OSRRefP25x_0)</f>
        <v>3619.9199999999996</v>
      </c>
      <c r="Q116" s="4"/>
      <c r="R116" s="12">
        <f t="shared" ref="R116:R119" si="99">IF(P$12=0,0,P116/P$12)</f>
        <v>1.1834348930347367E-2</v>
      </c>
      <c r="S116" s="4"/>
      <c r="T116" s="4">
        <f>SUM(OSRRefT25x_0)</f>
        <v>302660.99</v>
      </c>
      <c r="U116" s="4"/>
      <c r="V116" s="12">
        <f t="shared" ref="V116:V119" si="100">IF(T$12=0,0,T116/T$12)</f>
        <v>8.1465704432780603E-2</v>
      </c>
      <c r="W116" s="4"/>
      <c r="X116" s="4">
        <f t="shared" ref="X116:X119" si="101">+P116-T116</f>
        <v>-299041.07</v>
      </c>
      <c r="Y116" s="4"/>
      <c r="Z116" s="12">
        <f t="shared" ref="Z116:Z119" si="102">IF(T116=0,0,X116/T116)</f>
        <v>-0.98803968757255445</v>
      </c>
    </row>
    <row r="117" spans="1:26" s="24" customFormat="1" hidden="1" outlineLevel="1" x14ac:dyDescent="0.25">
      <c r="A117" s="44"/>
      <c r="B117" s="11" t="str">
        <f>CONCATENATE("          ", "9150", " - ", "MISC. INCOME")</f>
        <v xml:space="preserve">          9150 - MISC. INCOME</v>
      </c>
      <c r="C117" s="11"/>
      <c r="D117" s="2">
        <f>--180.85</f>
        <v>180.85</v>
      </c>
      <c r="E117" s="2"/>
      <c r="F117" s="19">
        <f t="shared" si="95"/>
        <v>7.8278985959688899E-4</v>
      </c>
      <c r="G117" s="2"/>
      <c r="H117" s="2">
        <f>--18738.99</f>
        <v>18738.990000000002</v>
      </c>
      <c r="I117" s="2"/>
      <c r="J117" s="19">
        <f t="shared" si="96"/>
        <v>8.6266774279142623E-3</v>
      </c>
      <c r="K117" s="2"/>
      <c r="L117" s="2">
        <f t="shared" si="97"/>
        <v>-18558.140000000003</v>
      </c>
      <c r="M117" s="2"/>
      <c r="N117" s="19">
        <f t="shared" si="98"/>
        <v>-0.99034899959923139</v>
      </c>
      <c r="O117" s="11"/>
      <c r="P117" s="2">
        <f>--804.68</f>
        <v>804.68</v>
      </c>
      <c r="Q117" s="2"/>
      <c r="R117" s="19">
        <f t="shared" si="99"/>
        <v>2.630683522639152E-3</v>
      </c>
      <c r="S117" s="2"/>
      <c r="T117" s="2">
        <f>--66526.94</f>
        <v>66526.94</v>
      </c>
      <c r="U117" s="2"/>
      <c r="V117" s="19">
        <f t="shared" si="100"/>
        <v>1.7906714806084953E-2</v>
      </c>
      <c r="W117" s="2"/>
      <c r="X117" s="2">
        <f t="shared" si="101"/>
        <v>-65722.260000000009</v>
      </c>
      <c r="Y117" s="2"/>
      <c r="Z117" s="19">
        <f t="shared" si="102"/>
        <v>-0.98790444893452201</v>
      </c>
    </row>
    <row r="118" spans="1:26" s="24" customFormat="1" hidden="1" outlineLevel="1" x14ac:dyDescent="0.25">
      <c r="A118" s="44"/>
      <c r="B118" s="11" t="str">
        <f>CONCATENATE("          ", "9160", " - ", "MISC. INCOME")</f>
        <v xml:space="preserve">          9160 - MISC. INCOME</v>
      </c>
      <c r="C118" s="11"/>
      <c r="D118" s="2">
        <f>0</f>
        <v>0</v>
      </c>
      <c r="E118" s="2"/>
      <c r="F118" s="19">
        <f t="shared" si="95"/>
        <v>0</v>
      </c>
      <c r="G118" s="2"/>
      <c r="H118" s="2">
        <f>--20000</f>
        <v>20000</v>
      </c>
      <c r="I118" s="2"/>
      <c r="J118" s="19">
        <f t="shared" si="96"/>
        <v>9.2071957217697026E-3</v>
      </c>
      <c r="K118" s="2"/>
      <c r="L118" s="2">
        <f t="shared" si="97"/>
        <v>-20000</v>
      </c>
      <c r="M118" s="2"/>
      <c r="N118" s="19">
        <f t="shared" si="98"/>
        <v>-1</v>
      </c>
      <c r="O118" s="11"/>
      <c r="P118" s="2">
        <f>--1990.06</f>
        <v>1990.06</v>
      </c>
      <c r="Q118" s="2"/>
      <c r="R118" s="19">
        <f t="shared" si="99"/>
        <v>6.5059626821385788E-3</v>
      </c>
      <c r="S118" s="2"/>
      <c r="T118" s="2">
        <f>--30973.27</f>
        <v>30973.27</v>
      </c>
      <c r="U118" s="2"/>
      <c r="V118" s="19">
        <f t="shared" si="100"/>
        <v>8.3369160298349329E-3</v>
      </c>
      <c r="W118" s="2"/>
      <c r="X118" s="2">
        <f t="shared" si="101"/>
        <v>-28983.21</v>
      </c>
      <c r="Y118" s="2"/>
      <c r="Z118" s="19">
        <f t="shared" si="102"/>
        <v>-0.93574911528553484</v>
      </c>
    </row>
    <row r="119" spans="1:26" s="24" customFormat="1" hidden="1" outlineLevel="1" x14ac:dyDescent="0.25">
      <c r="A119" s="44"/>
      <c r="B119" s="11" t="str">
        <f>CONCATENATE("          ", "9165", " - ", "OTHER INCOME")</f>
        <v xml:space="preserve">          9165 - OTHER INCOME</v>
      </c>
      <c r="C119" s="11"/>
      <c r="D119" s="2">
        <f>--624.68</f>
        <v>624.67999999999995</v>
      </c>
      <c r="E119" s="2"/>
      <c r="F119" s="19">
        <f t="shared" si="95"/>
        <v>2.7038604893170285E-3</v>
      </c>
      <c r="G119" s="2"/>
      <c r="H119" s="2">
        <f>--198527.34</f>
        <v>198527.34</v>
      </c>
      <c r="I119" s="2"/>
      <c r="J119" s="19">
        <f t="shared" si="96"/>
        <v>9.1394003775115945E-2</v>
      </c>
      <c r="K119" s="2"/>
      <c r="L119" s="2">
        <f t="shared" si="97"/>
        <v>-197902.66</v>
      </c>
      <c r="M119" s="2"/>
      <c r="N119" s="19">
        <f t="shared" si="98"/>
        <v>-0.99685343086750677</v>
      </c>
      <c r="O119" s="11"/>
      <c r="P119" s="2">
        <f>--825.18</f>
        <v>825.18</v>
      </c>
      <c r="Q119" s="2"/>
      <c r="R119" s="19">
        <f t="shared" si="99"/>
        <v>2.6977027255696371E-3</v>
      </c>
      <c r="S119" s="2"/>
      <c r="T119" s="2">
        <f>--205160.78</f>
        <v>205160.78</v>
      </c>
      <c r="U119" s="2"/>
      <c r="V119" s="19">
        <f t="shared" si="100"/>
        <v>5.5222073596860717E-2</v>
      </c>
      <c r="W119" s="2"/>
      <c r="X119" s="2">
        <f t="shared" si="101"/>
        <v>-204335.6</v>
      </c>
      <c r="Y119" s="2"/>
      <c r="Z119" s="19">
        <f t="shared" si="102"/>
        <v>-0.99597788622172334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5" t="s">
        <v>3</v>
      </c>
      <c r="C121" s="25"/>
      <c r="D121" s="22">
        <f>+D28-D30+D116</f>
        <v>-173263.55000000013</v>
      </c>
      <c r="E121" s="13"/>
      <c r="F121" s="21">
        <f>IF(D$12=0,0,D121/D$12)</f>
        <v>-0.74995272312833106</v>
      </c>
      <c r="G121" s="13"/>
      <c r="H121" s="22">
        <f>+H28-H30+H116</f>
        <v>737367.02000000048</v>
      </c>
      <c r="I121" s="13"/>
      <c r="J121" s="21">
        <f>IF(H$12=0,0,H121/H$12)</f>
        <v>0.33945412359590393</v>
      </c>
      <c r="K121" s="15"/>
      <c r="L121" s="22">
        <f>+D121-H121</f>
        <v>-910630.57000000065</v>
      </c>
      <c r="M121" s="15"/>
      <c r="N121" s="21">
        <f>IF(H121=0,0,L121/H121)</f>
        <v>-1.234975996078588</v>
      </c>
      <c r="O121" s="26"/>
      <c r="P121" s="22">
        <f>+P28-P30+P116</f>
        <v>-753631.5299999998</v>
      </c>
      <c r="Q121" s="13"/>
      <c r="R121" s="21">
        <f>IF(P$12=0,0,P121/P$12)</f>
        <v>-2.4637943631161869</v>
      </c>
      <c r="S121" s="13"/>
      <c r="T121" s="22">
        <f>+T28-T30+T116</f>
        <v>296003.95999999973</v>
      </c>
      <c r="U121" s="13"/>
      <c r="V121" s="21">
        <f>IF(T$12=0,0,T121/T$12)</f>
        <v>7.9673865853318565E-2</v>
      </c>
      <c r="W121" s="15"/>
      <c r="X121" s="22">
        <f>+P121-T121</f>
        <v>-1049635.4899999995</v>
      </c>
      <c r="Y121" s="15"/>
      <c r="Z121" s="21">
        <f>IF(T121=0,0,X121/T121)</f>
        <v>-3.5460184046186427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1"/>
      <c r="B123" s="10" t="s">
        <v>13</v>
      </c>
      <c r="C123" s="10"/>
      <c r="D123" s="4">
        <v>44028.87</v>
      </c>
      <c r="E123" s="4"/>
      <c r="F123" s="12">
        <f>IF(D$12=0,0,D123/D$12)</f>
        <v>0.19057424918722524</v>
      </c>
      <c r="G123" s="4"/>
      <c r="H123" s="4">
        <v>206679.61</v>
      </c>
      <c r="I123" s="4"/>
      <c r="J123" s="12">
        <f>IF(H$12=0,0,H123/H$12)</f>
        <v>9.5146981048451526E-2</v>
      </c>
      <c r="K123" s="4"/>
      <c r="L123" s="4">
        <f>+D123-H123</f>
        <v>-162650.74</v>
      </c>
      <c r="M123" s="4"/>
      <c r="N123" s="12">
        <f>IF(H123=0,0,L123/H123)</f>
        <v>-0.78697042248144367</v>
      </c>
      <c r="O123" s="10"/>
      <c r="P123" s="4">
        <v>56666.259999999995</v>
      </c>
      <c r="Q123" s="4"/>
      <c r="R123" s="12">
        <f>IF(P$12=0,0,P123/P$12)</f>
        <v>0.18525500381715226</v>
      </c>
      <c r="S123" s="4"/>
      <c r="T123" s="4">
        <v>399061.18</v>
      </c>
      <c r="U123" s="4"/>
      <c r="V123" s="12">
        <f>IF(T$12=0,0,T123/T$12)</f>
        <v>0.1074132485341988</v>
      </c>
      <c r="W123" s="4"/>
      <c r="X123" s="4">
        <f>+P123-T123</f>
        <v>-342394.92</v>
      </c>
      <c r="Y123" s="4"/>
      <c r="Z123" s="12">
        <f>IF(T123=0,0,X123/T123)</f>
        <v>-0.85800107141466375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5" t="s">
        <v>4</v>
      </c>
      <c r="C125" s="25"/>
      <c r="D125" s="33">
        <f>+D121-D123</f>
        <v>-217292.42000000013</v>
      </c>
      <c r="E125" s="13"/>
      <c r="F125" s="32">
        <f>IF(D$12=0,0,D125/D$12)</f>
        <v>-0.94052697231555626</v>
      </c>
      <c r="G125" s="13"/>
      <c r="H125" s="33">
        <f>+H121-H123</f>
        <v>530687.4100000005</v>
      </c>
      <c r="I125" s="13"/>
      <c r="J125" s="32">
        <f>IF(H$12=0,0,H125/H$12)</f>
        <v>0.24430714254745242</v>
      </c>
      <c r="K125" s="15"/>
      <c r="L125" s="33">
        <f>D125-H125</f>
        <v>-747979.83000000066</v>
      </c>
      <c r="M125" s="15"/>
      <c r="N125" s="32">
        <f>IF(H125=0,0,L125/H125)</f>
        <v>-1.4094546354510276</v>
      </c>
      <c r="O125" s="26"/>
      <c r="P125" s="33">
        <f>+P121-P123</f>
        <v>-810297.7899999998</v>
      </c>
      <c r="Q125" s="13"/>
      <c r="R125" s="32">
        <f>IF(P$12=0,0,P125/P$12)</f>
        <v>-2.6490493669333395</v>
      </c>
      <c r="S125" s="13"/>
      <c r="T125" s="33">
        <f>+T121-T123</f>
        <v>-103057.22000000026</v>
      </c>
      <c r="U125" s="13"/>
      <c r="V125" s="32">
        <f>IF(T$12=0,0,T125/T$12)</f>
        <v>-2.7739382680880241E-2</v>
      </c>
      <c r="W125" s="15"/>
      <c r="X125" s="33">
        <f>P125-T125</f>
        <v>-707240.5699999996</v>
      </c>
      <c r="Y125" s="15"/>
      <c r="Z125" s="32">
        <f>IF(T125=0,0,X125/T125)</f>
        <v>6.8626008929796258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5" t="s">
        <v>5</v>
      </c>
      <c r="C128" s="25"/>
      <c r="D128" s="34">
        <f>SUM(D125:D127)</f>
        <v>-217292.42000000013</v>
      </c>
      <c r="E128" s="13"/>
      <c r="F128" s="31">
        <f>IF(D$12=0,0,D128/D$12)</f>
        <v>-0.94052697231555626</v>
      </c>
      <c r="G128" s="13"/>
      <c r="H128" s="34">
        <f>SUM(H125:H127)</f>
        <v>530687.4100000005</v>
      </c>
      <c r="I128" s="13"/>
      <c r="J128" s="31">
        <f>IF(H$12=0,0,H128/H$12)</f>
        <v>0.24430714254745242</v>
      </c>
      <c r="K128" s="15"/>
      <c r="L128" s="34">
        <f>+D128-H128</f>
        <v>-747979.83000000066</v>
      </c>
      <c r="M128" s="15"/>
      <c r="N128" s="31">
        <f>IF(H128=0,0,L128/H128)</f>
        <v>-1.4094546354510276</v>
      </c>
      <c r="O128" s="26"/>
      <c r="P128" s="34">
        <f>SUM(P125:P127)</f>
        <v>-810297.7899999998</v>
      </c>
      <c r="Q128" s="13"/>
      <c r="R128" s="31">
        <f>IF(P$12=0,0,P128/P$12)</f>
        <v>-2.6490493669333395</v>
      </c>
      <c r="S128" s="13"/>
      <c r="T128" s="34">
        <f>SUM(T125:T127)</f>
        <v>-103057.22000000026</v>
      </c>
      <c r="U128" s="13"/>
      <c r="V128" s="31">
        <f>IF(T$12=0,0,T128/T$12)</f>
        <v>-2.7739382680880241E-2</v>
      </c>
      <c r="W128" s="15"/>
      <c r="X128" s="34">
        <f>+P128-T128</f>
        <v>-707240.5699999996</v>
      </c>
      <c r="Y128" s="15"/>
      <c r="Z128" s="31">
        <f>IF(T128=0,0,X128/T128)</f>
        <v>6.8626008929796258</v>
      </c>
    </row>
    <row r="129" spans="1:24" ht="15.75" thickTop="1" x14ac:dyDescent="0.25">
      <c r="A129" s="9"/>
      <c r="C129" s="9"/>
      <c r="D129" s="18"/>
      <c r="E129" s="18"/>
      <c r="G129" s="18"/>
      <c r="H129" s="18"/>
      <c r="I129" s="18"/>
      <c r="J129" s="42"/>
      <c r="K129" s="18"/>
      <c r="L129" s="18"/>
      <c r="M129" s="18"/>
      <c r="P129" s="18"/>
      <c r="Q129" s="18"/>
      <c r="R129" s="42"/>
      <c r="S129" s="18"/>
      <c r="T129" s="18"/>
      <c r="U129" s="18"/>
      <c r="V129" s="42"/>
      <c r="W129" s="18"/>
      <c r="X129" s="18"/>
    </row>
    <row r="130" spans="1:24" x14ac:dyDescent="0.25">
      <c r="A130" s="9"/>
      <c r="B130" s="54">
        <v>44123.564797418985</v>
      </c>
      <c r="D130" s="18"/>
      <c r="E130" s="18"/>
      <c r="G130" s="18"/>
      <c r="H130" s="18"/>
      <c r="I130" s="18"/>
      <c r="J130" s="42"/>
      <c r="K130" s="18"/>
      <c r="L130" s="18"/>
      <c r="M130" s="18"/>
      <c r="P130" s="18"/>
      <c r="Q130" s="18"/>
      <c r="R130" s="42"/>
      <c r="S130" s="18"/>
      <c r="T130" s="18"/>
      <c r="U130" s="18"/>
      <c r="V130" s="42"/>
      <c r="W130" s="18"/>
      <c r="X130" s="18"/>
    </row>
    <row r="131" spans="1:24" x14ac:dyDescent="0.25">
      <c r="A131" s="9"/>
      <c r="B131" s="59" t="s">
        <v>313</v>
      </c>
      <c r="D131" s="18"/>
      <c r="E131" s="18"/>
      <c r="G131" s="18"/>
      <c r="H131" s="18"/>
      <c r="I131" s="18"/>
      <c r="J131" s="42"/>
      <c r="K131" s="18"/>
      <c r="L131" s="18"/>
      <c r="M131" s="18"/>
      <c r="P131" s="18"/>
      <c r="Q131" s="18"/>
      <c r="R131" s="42"/>
      <c r="S131" s="18"/>
      <c r="T131" s="18"/>
      <c r="U131" s="18"/>
      <c r="V131" s="42"/>
      <c r="W131" s="18"/>
      <c r="X131" s="18"/>
    </row>
    <row r="132" spans="1:24" x14ac:dyDescent="0.25">
      <c r="A132" s="9"/>
      <c r="B132" s="58"/>
      <c r="D132" s="18"/>
      <c r="E132" s="18"/>
      <c r="G132" s="18"/>
      <c r="H132" s="18"/>
      <c r="I132" s="18"/>
      <c r="J132" s="42"/>
      <c r="K132" s="18"/>
      <c r="L132" s="18"/>
      <c r="M132" s="18"/>
      <c r="P132" s="18"/>
      <c r="Q132" s="18"/>
      <c r="R132" s="42"/>
      <c r="S132" s="18"/>
      <c r="T132" s="18"/>
      <c r="U132" s="18"/>
      <c r="V132" s="42"/>
      <c r="W132" s="18"/>
      <c r="X132" s="18"/>
    </row>
    <row r="133" spans="1:24" x14ac:dyDescent="0.25"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312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10440.119999999999</v>
      </c>
      <c r="E12" s="4"/>
      <c r="F12" s="12"/>
      <c r="G12" s="4"/>
      <c r="H12" s="4">
        <f>SUM(OSRRefH13x_0)</f>
        <v>1113873.7</v>
      </c>
      <c r="I12" s="4"/>
      <c r="J12" s="12"/>
      <c r="K12" s="4"/>
      <c r="L12" s="4">
        <f t="shared" ref="L12:L27" si="0">+D12-H12</f>
        <v>-1103433.5799999998</v>
      </c>
      <c r="M12" s="4"/>
      <c r="N12" s="12">
        <f t="shared" ref="N12:N27" si="1">IF(H12=0,0,L12/H12)</f>
        <v>-0.99062719588405745</v>
      </c>
      <c r="O12" s="10"/>
      <c r="P12" s="4">
        <f>SUM(OSRRefP13x_0)</f>
        <v>16957.97</v>
      </c>
      <c r="Q12" s="4"/>
      <c r="R12" s="12"/>
      <c r="S12" s="4"/>
      <c r="T12" s="4">
        <f>SUM(OSRRefT13x_0)</f>
        <v>1828362.9300000002</v>
      </c>
      <c r="U12" s="4"/>
      <c r="V12" s="12"/>
      <c r="W12" s="4"/>
      <c r="X12" s="4">
        <f t="shared" ref="X12:X27" si="2">+P12-T12</f>
        <v>-1811404.9600000002</v>
      </c>
      <c r="Y12" s="4"/>
      <c r="Z12" s="12">
        <f t="shared" ref="Z12:Z27" si="3">IF(T12=0,0,X12/T12)</f>
        <v>-0.99072505260211108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--356.39</f>
        <v>356.39</v>
      </c>
      <c r="E13" s="2"/>
      <c r="F13" s="19"/>
      <c r="G13" s="2"/>
      <c r="H13" s="2">
        <f>--47906.96</f>
        <v>47906.96</v>
      </c>
      <c r="I13" s="2"/>
      <c r="J13" s="19"/>
      <c r="K13" s="2"/>
      <c r="L13" s="2">
        <f t="shared" si="0"/>
        <v>-47550.57</v>
      </c>
      <c r="M13" s="2"/>
      <c r="N13" s="19">
        <f t="shared" si="1"/>
        <v>-0.99256078866202324</v>
      </c>
      <c r="O13" s="11"/>
      <c r="P13" s="2">
        <f>--444.59</f>
        <v>444.59</v>
      </c>
      <c r="Q13" s="2"/>
      <c r="R13" s="19"/>
      <c r="S13" s="2"/>
      <c r="T13" s="2">
        <f>--72656.34</f>
        <v>72656.34</v>
      </c>
      <c r="U13" s="2"/>
      <c r="V13" s="19"/>
      <c r="W13" s="2"/>
      <c r="X13" s="2">
        <f t="shared" si="2"/>
        <v>-72211.75</v>
      </c>
      <c r="Y13" s="2"/>
      <c r="Z13" s="19">
        <f t="shared" si="3"/>
        <v>-0.99388091940772139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0</f>
        <v>0</v>
      </c>
      <c r="E14" s="2"/>
      <c r="F14" s="19"/>
      <c r="G14" s="2"/>
      <c r="H14" s="2">
        <f>--503.93</f>
        <v>503.93</v>
      </c>
      <c r="I14" s="2"/>
      <c r="J14" s="19"/>
      <c r="K14" s="2"/>
      <c r="L14" s="2">
        <f t="shared" si="0"/>
        <v>-503.93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--1150.33</f>
        <v>1150.33</v>
      </c>
      <c r="U14" s="2"/>
      <c r="V14" s="19"/>
      <c r="W14" s="2"/>
      <c r="X14" s="2">
        <f t="shared" si="2"/>
        <v>-1150.33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--4141.96</f>
        <v>4141.96</v>
      </c>
      <c r="E15" s="2"/>
      <c r="F15" s="19"/>
      <c r="G15" s="2"/>
      <c r="H15" s="2">
        <f>--110327</f>
        <v>110327</v>
      </c>
      <c r="I15" s="2"/>
      <c r="J15" s="19"/>
      <c r="K15" s="2"/>
      <c r="L15" s="2">
        <f t="shared" si="0"/>
        <v>-106185.04</v>
      </c>
      <c r="M15" s="2"/>
      <c r="N15" s="19">
        <f t="shared" si="1"/>
        <v>-0.96245742202724627</v>
      </c>
      <c r="O15" s="11"/>
      <c r="P15" s="2">
        <f>--6652.68</f>
        <v>6652.68</v>
      </c>
      <c r="Q15" s="2"/>
      <c r="R15" s="19"/>
      <c r="S15" s="2"/>
      <c r="T15" s="2">
        <f>--174689.63</f>
        <v>174689.63</v>
      </c>
      <c r="U15" s="2"/>
      <c r="V15" s="19"/>
      <c r="W15" s="2"/>
      <c r="X15" s="2">
        <f t="shared" si="2"/>
        <v>-168036.95</v>
      </c>
      <c r="Y15" s="2"/>
      <c r="Z15" s="19">
        <f t="shared" si="3"/>
        <v>-0.96191714413729079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 t="shared" ref="D16:D19" si="4">0</f>
        <v>0</v>
      </c>
      <c r="E16" s="2"/>
      <c r="F16" s="19"/>
      <c r="G16" s="2"/>
      <c r="H16" s="2">
        <f>--113975.81</f>
        <v>113975.81</v>
      </c>
      <c r="I16" s="2"/>
      <c r="J16" s="19"/>
      <c r="K16" s="2"/>
      <c r="L16" s="2">
        <f t="shared" si="0"/>
        <v>-113975.81</v>
      </c>
      <c r="M16" s="2"/>
      <c r="N16" s="19">
        <f t="shared" si="1"/>
        <v>-1</v>
      </c>
      <c r="O16" s="11"/>
      <c r="P16" s="2">
        <f t="shared" ref="P16:P18" si="5">0</f>
        <v>0</v>
      </c>
      <c r="Q16" s="2"/>
      <c r="R16" s="19"/>
      <c r="S16" s="2"/>
      <c r="T16" s="2">
        <f>--253506.01</f>
        <v>253506.01</v>
      </c>
      <c r="U16" s="2"/>
      <c r="V16" s="19"/>
      <c r="W16" s="2"/>
      <c r="X16" s="2">
        <f t="shared" si="2"/>
        <v>-253506.01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si="4"/>
        <v>0</v>
      </c>
      <c r="E17" s="2"/>
      <c r="F17" s="19"/>
      <c r="G17" s="2"/>
      <c r="H17" s="2">
        <f>--1983.68</f>
        <v>1983.68</v>
      </c>
      <c r="I17" s="2"/>
      <c r="J17" s="19"/>
      <c r="K17" s="2"/>
      <c r="L17" s="2">
        <f t="shared" si="0"/>
        <v>-1983.68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--46832.42</f>
        <v>46832.42</v>
      </c>
      <c r="U17" s="2"/>
      <c r="V17" s="19"/>
      <c r="W17" s="2"/>
      <c r="X17" s="2">
        <f t="shared" si="2"/>
        <v>-46832.42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4"/>
        <v>0</v>
      </c>
      <c r="E18" s="2"/>
      <c r="F18" s="19"/>
      <c r="G18" s="2"/>
      <c r="H18" s="2">
        <f>--66898.61</f>
        <v>66898.61</v>
      </c>
      <c r="I18" s="2"/>
      <c r="J18" s="19"/>
      <c r="K18" s="2"/>
      <c r="L18" s="2">
        <f t="shared" si="0"/>
        <v>-66898.61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--110835.68</f>
        <v>110835.68</v>
      </c>
      <c r="U18" s="2"/>
      <c r="V18" s="19"/>
      <c r="W18" s="2"/>
      <c r="X18" s="2">
        <f t="shared" si="2"/>
        <v>-110835.68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4"/>
        <v>0</v>
      </c>
      <c r="E19" s="2"/>
      <c r="F19" s="19"/>
      <c r="G19" s="2"/>
      <c r="H19" s="2">
        <f>--24452.76</f>
        <v>24452.76</v>
      </c>
      <c r="I19" s="2"/>
      <c r="J19" s="19"/>
      <c r="K19" s="2"/>
      <c r="L19" s="2">
        <f t="shared" si="0"/>
        <v>-24452.76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--42290.9</f>
        <v>42290.9</v>
      </c>
      <c r="U19" s="2"/>
      <c r="V19" s="19"/>
      <c r="W19" s="2"/>
      <c r="X19" s="2">
        <f t="shared" si="2"/>
        <v>-41315.99</v>
      </c>
      <c r="Y19" s="2"/>
      <c r="Z19" s="19">
        <f t="shared" si="3"/>
        <v>-0.97694752298957921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>--1406.08</f>
        <v>1406.08</v>
      </c>
      <c r="E20" s="2"/>
      <c r="F20" s="19"/>
      <c r="G20" s="2"/>
      <c r="H20" s="2">
        <f>--181943.15</f>
        <v>181943.15</v>
      </c>
      <c r="I20" s="2"/>
      <c r="J20" s="19"/>
      <c r="K20" s="2"/>
      <c r="L20" s="2">
        <f t="shared" si="0"/>
        <v>-180537.07</v>
      </c>
      <c r="M20" s="2"/>
      <c r="N20" s="19">
        <f t="shared" si="1"/>
        <v>-0.99227187173575926</v>
      </c>
      <c r="O20" s="11"/>
      <c r="P20" s="2">
        <f>--2031.88</f>
        <v>2031.88</v>
      </c>
      <c r="Q20" s="2"/>
      <c r="R20" s="19"/>
      <c r="S20" s="2"/>
      <c r="T20" s="2">
        <f>--275941.99</f>
        <v>275941.99</v>
      </c>
      <c r="U20" s="2"/>
      <c r="V20" s="19"/>
      <c r="W20" s="2"/>
      <c r="X20" s="2">
        <f t="shared" si="2"/>
        <v>-273910.11</v>
      </c>
      <c r="Y20" s="2"/>
      <c r="Z20" s="19">
        <f t="shared" si="3"/>
        <v>-0.99263656828741431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ref="D21:D22" si="6">0</f>
        <v>0</v>
      </c>
      <c r="E21" s="2"/>
      <c r="F21" s="19"/>
      <c r="G21" s="2"/>
      <c r="H21" s="2">
        <f>--3.78</f>
        <v>3.78</v>
      </c>
      <c r="I21" s="2"/>
      <c r="J21" s="19"/>
      <c r="K21" s="2"/>
      <c r="L21" s="2">
        <f t="shared" si="0"/>
        <v>-3.78</v>
      </c>
      <c r="M21" s="2"/>
      <c r="N21" s="19">
        <f t="shared" si="1"/>
        <v>-1</v>
      </c>
      <c r="O21" s="11"/>
      <c r="P21" s="2">
        <f t="shared" ref="P21:P22" si="7">0</f>
        <v>0</v>
      </c>
      <c r="Q21" s="2"/>
      <c r="R21" s="19"/>
      <c r="S21" s="2"/>
      <c r="T21" s="2">
        <f>--0.39</f>
        <v>0.39</v>
      </c>
      <c r="U21" s="2"/>
      <c r="V21" s="19"/>
      <c r="W21" s="2"/>
      <c r="X21" s="2">
        <f t="shared" si="2"/>
        <v>-0.39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6"/>
        <v>0</v>
      </c>
      <c r="E22" s="2"/>
      <c r="F22" s="19"/>
      <c r="G22" s="2"/>
      <c r="H22" s="2">
        <f>--237.57</f>
        <v>237.57</v>
      </c>
      <c r="I22" s="2"/>
      <c r="J22" s="19"/>
      <c r="K22" s="2"/>
      <c r="L22" s="2">
        <f t="shared" si="0"/>
        <v>-237.57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--621.09</f>
        <v>621.09</v>
      </c>
      <c r="U22" s="2"/>
      <c r="V22" s="19"/>
      <c r="W22" s="2"/>
      <c r="X22" s="2">
        <f t="shared" si="2"/>
        <v>-621.09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--4535.69</f>
        <v>4535.6899999999996</v>
      </c>
      <c r="E23" s="2"/>
      <c r="F23" s="19"/>
      <c r="G23" s="2"/>
      <c r="H23" s="2">
        <f>--371360.7</f>
        <v>371360.7</v>
      </c>
      <c r="I23" s="2"/>
      <c r="J23" s="19"/>
      <c r="K23" s="2"/>
      <c r="L23" s="2">
        <f t="shared" si="0"/>
        <v>-366825.01</v>
      </c>
      <c r="M23" s="2"/>
      <c r="N23" s="19">
        <f t="shared" si="1"/>
        <v>-0.987786295103386</v>
      </c>
      <c r="O23" s="11"/>
      <c r="P23" s="2">
        <f>--6743.91</f>
        <v>6743.91</v>
      </c>
      <c r="Q23" s="2"/>
      <c r="R23" s="19"/>
      <c r="S23" s="2"/>
      <c r="T23" s="2">
        <f>--536341.42</f>
        <v>536341.42000000004</v>
      </c>
      <c r="U23" s="2"/>
      <c r="V23" s="19"/>
      <c r="W23" s="2"/>
      <c r="X23" s="2">
        <f t="shared" si="2"/>
        <v>-529597.51</v>
      </c>
      <c r="Y23" s="2"/>
      <c r="Z23" s="19">
        <f t="shared" si="3"/>
        <v>-0.98742608765886475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 t="shared" ref="D24:D27" si="8">0</f>
        <v>0</v>
      </c>
      <c r="E24" s="2"/>
      <c r="F24" s="19"/>
      <c r="G24" s="2"/>
      <c r="H24" s="2">
        <f>--8131.54</f>
        <v>8131.54</v>
      </c>
      <c r="I24" s="2"/>
      <c r="J24" s="19"/>
      <c r="K24" s="2"/>
      <c r="L24" s="2">
        <f t="shared" si="0"/>
        <v>-8131.54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--15789.06</f>
        <v>15789.06</v>
      </c>
      <c r="U24" s="2"/>
      <c r="V24" s="19"/>
      <c r="W24" s="2"/>
      <c r="X24" s="2">
        <f t="shared" si="2"/>
        <v>-15789.06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 t="shared" si="8"/>
        <v>0</v>
      </c>
      <c r="E25" s="2"/>
      <c r="F25" s="19"/>
      <c r="G25" s="2"/>
      <c r="H25" s="2">
        <f>--1942</f>
        <v>1942</v>
      </c>
      <c r="I25" s="2"/>
      <c r="J25" s="19"/>
      <c r="K25" s="2"/>
      <c r="L25" s="2">
        <f t="shared" si="0"/>
        <v>-1942</v>
      </c>
      <c r="M25" s="2"/>
      <c r="N25" s="19">
        <f t="shared" si="1"/>
        <v>-1</v>
      </c>
      <c r="O25" s="11"/>
      <c r="P25" s="2">
        <f>--110</f>
        <v>110</v>
      </c>
      <c r="Q25" s="2"/>
      <c r="R25" s="19"/>
      <c r="S25" s="2"/>
      <c r="T25" s="2">
        <f>--2406.5</f>
        <v>2406.5</v>
      </c>
      <c r="U25" s="2"/>
      <c r="V25" s="19"/>
      <c r="W25" s="2"/>
      <c r="X25" s="2">
        <f t="shared" si="2"/>
        <v>-2296.5</v>
      </c>
      <c r="Y25" s="2"/>
      <c r="Z25" s="19">
        <f t="shared" si="3"/>
        <v>-0.95429046332848533</v>
      </c>
    </row>
    <row r="26" spans="1:26" s="24" customFormat="1" hidden="1" outlineLevel="1" x14ac:dyDescent="0.25">
      <c r="A26" s="44"/>
      <c r="B26" s="11" t="str">
        <f>CONCATENATE("          ", "4155", " - ", "NON-TAXABLE SALES-FOOD")</f>
        <v xml:space="preserve">          4155 - NON-TAXABLE SALES-FOOD</v>
      </c>
      <c r="C26" s="11"/>
      <c r="D26" s="2">
        <f t="shared" si="8"/>
        <v>0</v>
      </c>
      <c r="E26" s="2"/>
      <c r="F26" s="19"/>
      <c r="G26" s="2"/>
      <c r="H26" s="2">
        <f>--112329.49</f>
        <v>112329.49</v>
      </c>
      <c r="I26" s="2"/>
      <c r="J26" s="19"/>
      <c r="K26" s="2"/>
      <c r="L26" s="2">
        <f t="shared" si="0"/>
        <v>-112329.49</v>
      </c>
      <c r="M26" s="2"/>
      <c r="N26" s="19">
        <f t="shared" si="1"/>
        <v>-1</v>
      </c>
      <c r="O26" s="11"/>
      <c r="P26" s="2">
        <f t="shared" ref="P26:P27" si="9">0</f>
        <v>0</v>
      </c>
      <c r="Q26" s="2"/>
      <c r="R26" s="19"/>
      <c r="S26" s="2"/>
      <c r="T26" s="2">
        <f>--183054.54</f>
        <v>183054.54</v>
      </c>
      <c r="U26" s="2"/>
      <c r="V26" s="19"/>
      <c r="W26" s="2"/>
      <c r="X26" s="2">
        <f t="shared" si="2"/>
        <v>-183054.54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"4158", " - ", "NON-TAXABLE SALES-FOOD")</f>
        <v xml:space="preserve">          4158 - NON-TAXABLE SALES-FOOD</v>
      </c>
      <c r="C27" s="11"/>
      <c r="D27" s="2">
        <f t="shared" si="8"/>
        <v>0</v>
      </c>
      <c r="E27" s="2"/>
      <c r="F27" s="19"/>
      <c r="G27" s="2"/>
      <c r="H27" s="2">
        <f>--71876.72</f>
        <v>71876.72</v>
      </c>
      <c r="I27" s="2"/>
      <c r="J27" s="19"/>
      <c r="K27" s="2"/>
      <c r="L27" s="2">
        <f t="shared" si="0"/>
        <v>-71876.72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--112246.63</f>
        <v>112246.63</v>
      </c>
      <c r="U27" s="2"/>
      <c r="V27" s="19"/>
      <c r="W27" s="2"/>
      <c r="X27" s="2">
        <f t="shared" si="2"/>
        <v>-112246.63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6" t="s">
        <v>8</v>
      </c>
      <c r="C29" s="10"/>
      <c r="D29" s="4">
        <f>SUM(OSRRefD16x_0)</f>
        <v>1823.61</v>
      </c>
      <c r="E29" s="4"/>
      <c r="F29" s="12">
        <f t="shared" ref="F29:F31" si="10">IF(D$12=0,0,D29/D$12)</f>
        <v>0.17467327961747567</v>
      </c>
      <c r="G29" s="4"/>
      <c r="H29" s="4">
        <f>SUM(OSRRefH16x_0)</f>
        <v>446024.77999999997</v>
      </c>
      <c r="I29" s="4"/>
      <c r="J29" s="12">
        <f t="shared" ref="J29:J31" si="11">IF(H$12=0,0,H29/H$12)</f>
        <v>0.40042670906046168</v>
      </c>
      <c r="K29" s="4"/>
      <c r="L29" s="4">
        <f t="shared" ref="L29:L31" si="12">+D29-H29</f>
        <v>-444201.17</v>
      </c>
      <c r="M29" s="4"/>
      <c r="N29" s="12">
        <f t="shared" ref="N29:N31" si="13">IF(H29=0,0,L29/H29)</f>
        <v>-0.99591141550476192</v>
      </c>
      <c r="O29" s="10"/>
      <c r="P29" s="4">
        <f>SUM(OSRRefP16x_0)</f>
        <v>3799.91</v>
      </c>
      <c r="Q29" s="4"/>
      <c r="R29" s="12">
        <f t="shared" ref="R29:R31" si="14">IF(P$12=0,0,P29/P$12)</f>
        <v>0.22407811784075568</v>
      </c>
      <c r="S29" s="4"/>
      <c r="T29" s="4">
        <f>SUM(OSRRefT16x_0)</f>
        <v>715948.42</v>
      </c>
      <c r="U29" s="4"/>
      <c r="V29" s="12">
        <f t="shared" ref="V29:V31" si="15">IF(T$12=0,0,T29/T$12)</f>
        <v>0.39157894105849106</v>
      </c>
      <c r="W29" s="4"/>
      <c r="X29" s="4">
        <f t="shared" ref="X29:X31" si="16">+P29-T29</f>
        <v>-712148.51</v>
      </c>
      <c r="Y29" s="4"/>
      <c r="Z29" s="12">
        <f t="shared" ref="Z29:Z31" si="17">IF(T29=0,0,X29/T29)</f>
        <v>-0.99469248077955108</v>
      </c>
    </row>
    <row r="30" spans="1:26" s="24" customFormat="1" hidden="1" outlineLevel="1" x14ac:dyDescent="0.25">
      <c r="A30" s="44"/>
      <c r="B30" s="11" t="str">
        <f>CONCATENATE("          ", "5053", " - ", "PURCHASES @ COST-FOOD")</f>
        <v xml:space="preserve">          5053 - PURCHASES @ COST-FOOD</v>
      </c>
      <c r="C30" s="11"/>
      <c r="D30" s="2">
        <v>1282.55</v>
      </c>
      <c r="E30" s="2"/>
      <c r="F30" s="19">
        <f t="shared" si="10"/>
        <v>0.12284820480990641</v>
      </c>
      <c r="G30" s="2"/>
      <c r="H30" s="2">
        <v>441567.08999999997</v>
      </c>
      <c r="I30" s="2"/>
      <c r="J30" s="19">
        <f t="shared" si="11"/>
        <v>0.39642473828047109</v>
      </c>
      <c r="K30" s="2"/>
      <c r="L30" s="2">
        <f t="shared" si="12"/>
        <v>-440284.54</v>
      </c>
      <c r="M30" s="2"/>
      <c r="N30" s="19">
        <f t="shared" si="13"/>
        <v>-0.99709545835945335</v>
      </c>
      <c r="O30" s="11"/>
      <c r="P30" s="2">
        <v>3144.94</v>
      </c>
      <c r="Q30" s="2"/>
      <c r="R30" s="19">
        <f t="shared" si="14"/>
        <v>0.18545498075536163</v>
      </c>
      <c r="S30" s="2"/>
      <c r="T30" s="2">
        <v>782555.91</v>
      </c>
      <c r="U30" s="2"/>
      <c r="V30" s="19">
        <f t="shared" si="15"/>
        <v>0.42800906601185573</v>
      </c>
      <c r="W30" s="2"/>
      <c r="X30" s="2">
        <f t="shared" si="16"/>
        <v>-779410.97000000009</v>
      </c>
      <c r="Y30" s="2"/>
      <c r="Z30" s="19">
        <f t="shared" si="17"/>
        <v>-0.99598119449382227</v>
      </c>
    </row>
    <row r="31" spans="1:26" s="24" customFormat="1" hidden="1" outlineLevel="1" x14ac:dyDescent="0.25">
      <c r="A31" s="44"/>
      <c r="B31" s="11" t="str">
        <f>CONCATENATE("          ", "5059", " - ", "PURCHASES @ COST-FOOD")</f>
        <v xml:space="preserve">          5059 - PURCHASES @ COST-FOOD</v>
      </c>
      <c r="C31" s="11"/>
      <c r="D31" s="2">
        <v>541.05999999999995</v>
      </c>
      <c r="E31" s="2"/>
      <c r="F31" s="19">
        <f t="shared" si="10"/>
        <v>5.182507480756926E-2</v>
      </c>
      <c r="G31" s="2"/>
      <c r="H31" s="2">
        <v>4457.6899999999996</v>
      </c>
      <c r="I31" s="2"/>
      <c r="J31" s="19">
        <f t="shared" si="11"/>
        <v>4.0019707799905857E-3</v>
      </c>
      <c r="K31" s="2"/>
      <c r="L31" s="2">
        <f t="shared" si="12"/>
        <v>-3916.6299999999997</v>
      </c>
      <c r="M31" s="2"/>
      <c r="N31" s="19">
        <f t="shared" si="13"/>
        <v>-0.87862323310952539</v>
      </c>
      <c r="O31" s="11"/>
      <c r="P31" s="2">
        <v>654.97</v>
      </c>
      <c r="Q31" s="2"/>
      <c r="R31" s="19">
        <f t="shared" si="14"/>
        <v>3.8623137085394062E-2</v>
      </c>
      <c r="S31" s="2"/>
      <c r="T31" s="2">
        <v>-66607.490000000005</v>
      </c>
      <c r="U31" s="2"/>
      <c r="V31" s="19">
        <f t="shared" si="15"/>
        <v>-3.6430124953364701E-2</v>
      </c>
      <c r="W31" s="2"/>
      <c r="X31" s="2">
        <f t="shared" si="16"/>
        <v>67262.460000000006</v>
      </c>
      <c r="Y31" s="2"/>
      <c r="Z31" s="19">
        <f t="shared" si="17"/>
        <v>-1.0098332785096691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5" t="s">
        <v>6</v>
      </c>
      <c r="C33" s="25"/>
      <c r="D33" s="22">
        <f>D12-D29</f>
        <v>8616.5099999999984</v>
      </c>
      <c r="E33" s="13"/>
      <c r="F33" s="21">
        <f>IF(D$12=0,0,D33/D$12)</f>
        <v>0.8253267203825243</v>
      </c>
      <c r="G33" s="13"/>
      <c r="H33" s="22">
        <f>H12-H29</f>
        <v>667848.91999999993</v>
      </c>
      <c r="I33" s="13"/>
      <c r="J33" s="21">
        <f>IF(H$12=0,0,H33/H$12)</f>
        <v>0.59957329093953826</v>
      </c>
      <c r="K33" s="15"/>
      <c r="L33" s="22">
        <f>+D33-H33</f>
        <v>-659232.40999999992</v>
      </c>
      <c r="M33" s="15"/>
      <c r="N33" s="21">
        <f>IF(H33=0,0,L33/H33)</f>
        <v>-0.98709811494491895</v>
      </c>
      <c r="O33" s="26"/>
      <c r="P33" s="22">
        <f>P12-P29</f>
        <v>13158.060000000001</v>
      </c>
      <c r="Q33" s="13"/>
      <c r="R33" s="21">
        <f>IF(P$12=0,0,P33/P$12)</f>
        <v>0.77592188215924429</v>
      </c>
      <c r="S33" s="13"/>
      <c r="T33" s="22">
        <f>T12-T29</f>
        <v>1112414.5100000002</v>
      </c>
      <c r="U33" s="13"/>
      <c r="V33" s="21">
        <f>IF(T$12=0,0,T33/T$12)</f>
        <v>0.608421058941509</v>
      </c>
      <c r="W33" s="15"/>
      <c r="X33" s="22">
        <f>+P33-T33</f>
        <v>-1099256.4500000002</v>
      </c>
      <c r="Y33" s="15"/>
      <c r="Z33" s="21">
        <f>IF(T33=0,0,X33/T33)</f>
        <v>-0.98817162138598857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6" t="s">
        <v>9</v>
      </c>
      <c r="C35" s="10"/>
      <c r="D35" s="20">
        <f>SUM(OSRRefD22x_0)</f>
        <v>150007.05000000002</v>
      </c>
      <c r="E35" s="20"/>
      <c r="F35" s="36">
        <f t="shared" ref="F35:F45" si="18">IF(D$12=0,0,D35/D$12)</f>
        <v>14.368326226135334</v>
      </c>
      <c r="G35" s="20"/>
      <c r="H35" s="20">
        <f>SUM(OSRRefH22x_0)</f>
        <v>656678.59</v>
      </c>
      <c r="I35" s="20"/>
      <c r="J35" s="36">
        <f t="shared" ref="J35:J45" si="19">IF(H$12=0,0,H35/H$12)</f>
        <v>0.58954492775976308</v>
      </c>
      <c r="K35" s="4"/>
      <c r="L35" s="20">
        <f t="shared" ref="L35:L45" si="20">+D35-H35</f>
        <v>-506671.53999999992</v>
      </c>
      <c r="M35" s="4"/>
      <c r="N35" s="36">
        <f t="shared" ref="N35:N45" si="21">IF(H35=0,0,L35/H35)</f>
        <v>-0.77156701576032793</v>
      </c>
      <c r="O35" s="10"/>
      <c r="P35" s="20">
        <f>SUM(OSRRefP22x_0)</f>
        <v>427222.50000000006</v>
      </c>
      <c r="Q35" s="20"/>
      <c r="R35" s="36">
        <f t="shared" ref="R35:R45" si="22">IF(P$12=0,0,P35/P$12)</f>
        <v>25.193021334511148</v>
      </c>
      <c r="S35" s="20"/>
      <c r="T35" s="20">
        <f>SUM(OSRRefT22x_0)</f>
        <v>1623816.5200000003</v>
      </c>
      <c r="U35" s="20"/>
      <c r="V35" s="36">
        <f t="shared" ref="V35:V45" si="23">IF(T$12=0,0,T35/T$12)</f>
        <v>0.88812592585215022</v>
      </c>
      <c r="W35" s="4"/>
      <c r="X35" s="20">
        <f t="shared" ref="X35:X45" si="24">+P35-T35</f>
        <v>-1196594.0200000003</v>
      </c>
      <c r="Y35" s="4"/>
      <c r="Z35" s="36">
        <f t="shared" ref="Z35:Z45" si="25">IF(T35=0,0,X35/T35)</f>
        <v>-0.73690223326463022</v>
      </c>
    </row>
    <row r="36" spans="1:26" s="27" customFormat="1" outlineLevel="1" collapsed="1" x14ac:dyDescent="0.25">
      <c r="A36" s="29"/>
      <c r="B36" s="14" t="str">
        <f>CONCATENATE("     ","*Benefits                                         ")</f>
        <v xml:space="preserve">     *Benefits                                         </v>
      </c>
      <c r="C36" s="14"/>
      <c r="D36" s="1">
        <f>SUM(OSRRefD22_0x_0)</f>
        <v>27566.019999999997</v>
      </c>
      <c r="E36" s="1"/>
      <c r="F36" s="5">
        <f t="shared" si="18"/>
        <v>2.6403930223024257</v>
      </c>
      <c r="G36" s="1"/>
      <c r="H36" s="1">
        <f>SUM(OSRRefH22_0x_0)</f>
        <v>92222.64</v>
      </c>
      <c r="I36" s="1"/>
      <c r="J36" s="5">
        <f t="shared" si="19"/>
        <v>8.2794521497365464E-2</v>
      </c>
      <c r="K36" s="1"/>
      <c r="L36" s="1">
        <f t="shared" si="20"/>
        <v>-64656.62</v>
      </c>
      <c r="M36" s="1"/>
      <c r="N36" s="5">
        <f t="shared" si="21"/>
        <v>-0.70109270348365649</v>
      </c>
      <c r="O36" s="14"/>
      <c r="P36" s="1">
        <f>SUM(OSRRefP22_0x_0)</f>
        <v>89794.95</v>
      </c>
      <c r="Q36" s="1"/>
      <c r="R36" s="5">
        <f t="shared" si="22"/>
        <v>5.2951473554912525</v>
      </c>
      <c r="S36" s="1"/>
      <c r="T36" s="1">
        <f>SUM(OSRRefT22_0x_0)</f>
        <v>244817.78000000003</v>
      </c>
      <c r="U36" s="1"/>
      <c r="V36" s="5">
        <f t="shared" si="23"/>
        <v>0.13389999107015368</v>
      </c>
      <c r="W36" s="1"/>
      <c r="X36" s="1">
        <f t="shared" si="24"/>
        <v>-155022.83000000002</v>
      </c>
      <c r="Y36" s="1"/>
      <c r="Z36" s="5">
        <f t="shared" si="25"/>
        <v>-0.63321720342370558</v>
      </c>
    </row>
    <row r="37" spans="1:26" s="24" customFormat="1" hidden="1" outlineLevel="2" x14ac:dyDescent="0.25">
      <c r="A37" s="28"/>
      <c r="B37" s="11" t="str">
        <f>CONCATENATE("          ", "6111", " - ", "F.I.C.A.")</f>
        <v xml:space="preserve">          6111 - F.I.C.A.</v>
      </c>
      <c r="C37" s="11"/>
      <c r="D37" s="7">
        <v>3178.71</v>
      </c>
      <c r="E37" s="2"/>
      <c r="F37" s="6">
        <f t="shared" si="18"/>
        <v>0.30447063826852566</v>
      </c>
      <c r="G37" s="2"/>
      <c r="H37" s="7">
        <v>13179.45</v>
      </c>
      <c r="I37" s="2"/>
      <c r="J37" s="6">
        <f t="shared" si="19"/>
        <v>1.1832086528302088E-2</v>
      </c>
      <c r="K37" s="2"/>
      <c r="L37" s="7">
        <f t="shared" si="20"/>
        <v>-10000.740000000002</v>
      </c>
      <c r="M37" s="2"/>
      <c r="N37" s="6">
        <f t="shared" si="21"/>
        <v>-0.75881315229391222</v>
      </c>
      <c r="O37" s="11"/>
      <c r="P37" s="7">
        <v>9769.8700000000008</v>
      </c>
      <c r="Q37" s="2"/>
      <c r="R37" s="6">
        <f t="shared" si="22"/>
        <v>0.57612261373265783</v>
      </c>
      <c r="S37" s="2"/>
      <c r="T37" s="7">
        <v>41159.270000000004</v>
      </c>
      <c r="U37" s="2"/>
      <c r="V37" s="6">
        <f t="shared" si="23"/>
        <v>2.2511542607134352E-2</v>
      </c>
      <c r="W37" s="2"/>
      <c r="X37" s="7">
        <f t="shared" si="24"/>
        <v>-31389.4</v>
      </c>
      <c r="Y37" s="2"/>
      <c r="Z37" s="6">
        <f t="shared" si="25"/>
        <v>-0.76263257341541768</v>
      </c>
    </row>
    <row r="38" spans="1:26" s="24" customFormat="1" hidden="1" outlineLevel="2" x14ac:dyDescent="0.25">
      <c r="A38" s="28"/>
      <c r="B38" s="11" t="str">
        <f>CONCATENATE("          ", "6112", " - ", "COMPENSATION INSURANCE")</f>
        <v xml:space="preserve">          6112 - COMPENSATION INSURANCE</v>
      </c>
      <c r="C38" s="11"/>
      <c r="D38" s="7">
        <v>988.18</v>
      </c>
      <c r="E38" s="2"/>
      <c r="F38" s="6">
        <f t="shared" si="18"/>
        <v>9.4652168749018217E-2</v>
      </c>
      <c r="G38" s="2"/>
      <c r="H38" s="7">
        <v>9955.99</v>
      </c>
      <c r="I38" s="2"/>
      <c r="J38" s="6">
        <f t="shared" si="19"/>
        <v>8.9381677653400018E-3</v>
      </c>
      <c r="K38" s="2"/>
      <c r="L38" s="7">
        <f t="shared" si="20"/>
        <v>-8967.81</v>
      </c>
      <c r="M38" s="2"/>
      <c r="N38" s="6">
        <f t="shared" si="21"/>
        <v>-0.90074517953513411</v>
      </c>
      <c r="O38" s="11"/>
      <c r="P38" s="7">
        <v>2504.19</v>
      </c>
      <c r="Q38" s="2"/>
      <c r="R38" s="6">
        <f t="shared" si="22"/>
        <v>0.14767038743434502</v>
      </c>
      <c r="S38" s="2"/>
      <c r="T38" s="7">
        <v>22632.86</v>
      </c>
      <c r="U38" s="2"/>
      <c r="V38" s="6">
        <f t="shared" si="23"/>
        <v>1.2378756771228128E-2</v>
      </c>
      <c r="W38" s="2"/>
      <c r="X38" s="7">
        <f t="shared" si="24"/>
        <v>-20128.670000000002</v>
      </c>
      <c r="Y38" s="2"/>
      <c r="Z38" s="6">
        <f t="shared" si="25"/>
        <v>-0.8893560071506651</v>
      </c>
    </row>
    <row r="39" spans="1:26" s="24" customFormat="1" hidden="1" outlineLevel="2" x14ac:dyDescent="0.25">
      <c r="A39" s="28"/>
      <c r="B39" s="11" t="str">
        <f>CONCATENATE("          ", "6113", " - ", "GROUP INSURANCE")</f>
        <v xml:space="preserve">          6113 - GROUP INSURANCE</v>
      </c>
      <c r="C39" s="11"/>
      <c r="D39" s="7">
        <v>13367.12</v>
      </c>
      <c r="E39" s="2"/>
      <c r="F39" s="6">
        <f t="shared" si="18"/>
        <v>1.2803607621368338</v>
      </c>
      <c r="G39" s="2"/>
      <c r="H39" s="7">
        <v>27020.53</v>
      </c>
      <c r="I39" s="2"/>
      <c r="J39" s="6">
        <f t="shared" si="19"/>
        <v>2.4258163201088239E-2</v>
      </c>
      <c r="K39" s="2"/>
      <c r="L39" s="7">
        <f t="shared" si="20"/>
        <v>-13653.409999999998</v>
      </c>
      <c r="M39" s="2"/>
      <c r="N39" s="6">
        <f t="shared" si="21"/>
        <v>-0.50529763849931875</v>
      </c>
      <c r="O39" s="11"/>
      <c r="P39" s="7">
        <v>44973.33</v>
      </c>
      <c r="Q39" s="2"/>
      <c r="R39" s="6">
        <f t="shared" si="22"/>
        <v>2.6520467956954752</v>
      </c>
      <c r="S39" s="2"/>
      <c r="T39" s="7">
        <v>81449.560000000012</v>
      </c>
      <c r="U39" s="2"/>
      <c r="V39" s="6">
        <f t="shared" si="23"/>
        <v>4.4547807584350882E-2</v>
      </c>
      <c r="W39" s="2"/>
      <c r="X39" s="7">
        <f t="shared" si="24"/>
        <v>-36476.23000000001</v>
      </c>
      <c r="Y39" s="2"/>
      <c r="Z39" s="6">
        <f t="shared" si="25"/>
        <v>-0.44783826947622557</v>
      </c>
    </row>
    <row r="40" spans="1:26" s="24" customFormat="1" hidden="1" outlineLevel="2" x14ac:dyDescent="0.25">
      <c r="A40" s="28"/>
      <c r="B40" s="11" t="str">
        <f>CONCATENATE("          ", "6114", " - ", "STATE UNEMPLOYMENT INSURANCE")</f>
        <v xml:space="preserve">          6114 - STATE UNEMPLOYMENT INSURANCE</v>
      </c>
      <c r="C40" s="11"/>
      <c r="D40" s="7">
        <v>114.28</v>
      </c>
      <c r="E40" s="2"/>
      <c r="F40" s="6">
        <f t="shared" si="18"/>
        <v>1.0946234334471252E-2</v>
      </c>
      <c r="G40" s="2"/>
      <c r="H40" s="7">
        <v>788.53</v>
      </c>
      <c r="I40" s="2"/>
      <c r="J40" s="6">
        <f t="shared" si="19"/>
        <v>7.079168850112899E-4</v>
      </c>
      <c r="K40" s="2"/>
      <c r="L40" s="7">
        <f t="shared" si="20"/>
        <v>-674.25</v>
      </c>
      <c r="M40" s="2"/>
      <c r="N40" s="6">
        <f t="shared" si="21"/>
        <v>-0.85507209617896596</v>
      </c>
      <c r="O40" s="11"/>
      <c r="P40" s="7">
        <v>327.75</v>
      </c>
      <c r="Q40" s="2"/>
      <c r="R40" s="6">
        <f t="shared" si="22"/>
        <v>1.9327195413130226E-2</v>
      </c>
      <c r="S40" s="2"/>
      <c r="T40" s="7">
        <v>1740.27</v>
      </c>
      <c r="U40" s="2"/>
      <c r="V40" s="6">
        <f t="shared" si="23"/>
        <v>9.5181868514474844E-4</v>
      </c>
      <c r="W40" s="2"/>
      <c r="X40" s="7">
        <f t="shared" si="24"/>
        <v>-1412.52</v>
      </c>
      <c r="Y40" s="2"/>
      <c r="Z40" s="6">
        <f t="shared" si="25"/>
        <v>-0.81166715509662291</v>
      </c>
    </row>
    <row r="41" spans="1:26" s="24" customFormat="1" hidden="1" outlineLevel="2" x14ac:dyDescent="0.25">
      <c r="A41" s="28"/>
      <c r="B41" s="11" t="str">
        <f>CONCATENATE("          ", "6115", " - ", "P.E.R.S.")</f>
        <v xml:space="preserve">          6115 - P.E.R.S.</v>
      </c>
      <c r="C41" s="11"/>
      <c r="D41" s="7">
        <v>3683.98</v>
      </c>
      <c r="E41" s="2"/>
      <c r="F41" s="6">
        <f t="shared" si="18"/>
        <v>0.35286759156025033</v>
      </c>
      <c r="G41" s="2"/>
      <c r="H41" s="7">
        <v>7735.3</v>
      </c>
      <c r="I41" s="2"/>
      <c r="J41" s="6">
        <f t="shared" si="19"/>
        <v>6.944503672184737E-3</v>
      </c>
      <c r="K41" s="2"/>
      <c r="L41" s="7">
        <f t="shared" si="20"/>
        <v>-4051.32</v>
      </c>
      <c r="M41" s="2"/>
      <c r="N41" s="6">
        <f t="shared" si="21"/>
        <v>-0.52374439258981553</v>
      </c>
      <c r="O41" s="11"/>
      <c r="P41" s="7">
        <v>13879.09</v>
      </c>
      <c r="Q41" s="2"/>
      <c r="R41" s="6">
        <f t="shared" si="22"/>
        <v>0.81844053268168293</v>
      </c>
      <c r="S41" s="2"/>
      <c r="T41" s="7">
        <v>22290.26</v>
      </c>
      <c r="U41" s="2"/>
      <c r="V41" s="6">
        <f t="shared" si="23"/>
        <v>1.2191376030578347E-2</v>
      </c>
      <c r="W41" s="2"/>
      <c r="X41" s="7">
        <f t="shared" si="24"/>
        <v>-8411.1699999999983</v>
      </c>
      <c r="Y41" s="2"/>
      <c r="Z41" s="6">
        <f t="shared" si="25"/>
        <v>-0.37734732569292589</v>
      </c>
    </row>
    <row r="42" spans="1:26" s="24" customFormat="1" hidden="1" outlineLevel="2" x14ac:dyDescent="0.25">
      <c r="A42" s="28"/>
      <c r="B42" s="11" t="str">
        <f>CONCATENATE("          ", "6117", " - ", "RETIREMENT STAFF HOURLY")</f>
        <v xml:space="preserve">          6117 - RETIREMENT STAFF HOURLY</v>
      </c>
      <c r="C42" s="11"/>
      <c r="D42" s="7"/>
      <c r="E42" s="2"/>
      <c r="F42" s="6">
        <f t="shared" si="18"/>
        <v>0</v>
      </c>
      <c r="G42" s="2"/>
      <c r="H42" s="7">
        <v>84</v>
      </c>
      <c r="I42" s="2"/>
      <c r="J42" s="6">
        <f t="shared" si="19"/>
        <v>7.5412499639770654E-5</v>
      </c>
      <c r="K42" s="2"/>
      <c r="L42" s="7">
        <f t="shared" si="20"/>
        <v>-84</v>
      </c>
      <c r="M42" s="2"/>
      <c r="N42" s="6">
        <f t="shared" si="21"/>
        <v>-1</v>
      </c>
      <c r="O42" s="11"/>
      <c r="P42" s="7"/>
      <c r="Q42" s="2"/>
      <c r="R42" s="6">
        <f t="shared" si="22"/>
        <v>0</v>
      </c>
      <c r="S42" s="2"/>
      <c r="T42" s="7">
        <v>196</v>
      </c>
      <c r="U42" s="2"/>
      <c r="V42" s="6">
        <f t="shared" si="23"/>
        <v>1.071997231971882E-4</v>
      </c>
      <c r="W42" s="2"/>
      <c r="X42" s="7">
        <f t="shared" si="24"/>
        <v>-196</v>
      </c>
      <c r="Y42" s="2"/>
      <c r="Z42" s="6">
        <f t="shared" si="25"/>
        <v>-1</v>
      </c>
    </row>
    <row r="43" spans="1:26" s="24" customFormat="1" hidden="1" outlineLevel="2" x14ac:dyDescent="0.25">
      <c r="A43" s="28"/>
      <c r="B43" s="11" t="str">
        <f>CONCATENATE("          ", "6118", " - ", "VACATION")</f>
        <v xml:space="preserve">          6118 - VACATION</v>
      </c>
      <c r="C43" s="11"/>
      <c r="D43" s="7">
        <v>3208.6</v>
      </c>
      <c r="E43" s="2"/>
      <c r="F43" s="6">
        <f t="shared" si="18"/>
        <v>0.30733363218047305</v>
      </c>
      <c r="G43" s="2"/>
      <c r="H43" s="7">
        <v>10432.92</v>
      </c>
      <c r="I43" s="2"/>
      <c r="J43" s="6">
        <f t="shared" si="19"/>
        <v>9.366340187401857E-3</v>
      </c>
      <c r="K43" s="2"/>
      <c r="L43" s="7">
        <f t="shared" si="20"/>
        <v>-7224.32</v>
      </c>
      <c r="M43" s="2"/>
      <c r="N43" s="6">
        <f t="shared" si="21"/>
        <v>-0.69245426975381774</v>
      </c>
      <c r="O43" s="11"/>
      <c r="P43" s="7">
        <v>9776.41</v>
      </c>
      <c r="Q43" s="2"/>
      <c r="R43" s="6">
        <f t="shared" si="22"/>
        <v>0.57650827310108455</v>
      </c>
      <c r="S43" s="2"/>
      <c r="T43" s="7">
        <v>26965.350000000002</v>
      </c>
      <c r="U43" s="2"/>
      <c r="V43" s="6">
        <f t="shared" si="23"/>
        <v>1.4748357428139281E-2</v>
      </c>
      <c r="W43" s="2"/>
      <c r="X43" s="7">
        <f t="shared" si="24"/>
        <v>-17188.940000000002</v>
      </c>
      <c r="Y43" s="2"/>
      <c r="Z43" s="6">
        <f t="shared" si="25"/>
        <v>-0.63744546241750988</v>
      </c>
    </row>
    <row r="44" spans="1:26" s="24" customFormat="1" hidden="1" outlineLevel="2" x14ac:dyDescent="0.25">
      <c r="A44" s="28"/>
      <c r="B44" s="11" t="str">
        <f>CONCATENATE("          ", "6119", " - ", "SICK LEAVE")</f>
        <v xml:space="preserve">          6119 - SICK LEAVE</v>
      </c>
      <c r="C44" s="11"/>
      <c r="D44" s="7">
        <v>1945.96</v>
      </c>
      <c r="E44" s="2"/>
      <c r="F44" s="6">
        <f t="shared" si="18"/>
        <v>0.18639249357287083</v>
      </c>
      <c r="G44" s="2"/>
      <c r="H44" s="7">
        <v>19511.259999999998</v>
      </c>
      <c r="I44" s="2"/>
      <c r="J44" s="6">
        <f t="shared" si="19"/>
        <v>1.7516581996684183E-2</v>
      </c>
      <c r="K44" s="2"/>
      <c r="L44" s="7">
        <f t="shared" si="20"/>
        <v>-17565.3</v>
      </c>
      <c r="M44" s="2"/>
      <c r="N44" s="6">
        <f t="shared" si="21"/>
        <v>-0.90026477018911133</v>
      </c>
      <c r="O44" s="11"/>
      <c r="P44" s="7">
        <v>6121.11</v>
      </c>
      <c r="Q44" s="2"/>
      <c r="R44" s="6">
        <f t="shared" si="22"/>
        <v>0.36095770897106194</v>
      </c>
      <c r="S44" s="2"/>
      <c r="T44" s="7">
        <v>38927.599999999999</v>
      </c>
      <c r="U44" s="2"/>
      <c r="V44" s="6">
        <f t="shared" si="23"/>
        <v>2.1290958901688077E-2</v>
      </c>
      <c r="W44" s="2"/>
      <c r="X44" s="7">
        <f t="shared" si="24"/>
        <v>-32806.49</v>
      </c>
      <c r="Y44" s="2"/>
      <c r="Z44" s="6">
        <f t="shared" si="25"/>
        <v>-0.84275655319105214</v>
      </c>
    </row>
    <row r="45" spans="1:26" s="24" customFormat="1" hidden="1" outlineLevel="2" x14ac:dyDescent="0.25">
      <c r="A45" s="28"/>
      <c r="B45" s="11" t="str">
        <f>CONCATENATE("          ", "6156", " - ", "EMPLOYEE MEALS")</f>
        <v xml:space="preserve">          6156 - EMPLOYEE MEALS</v>
      </c>
      <c r="C45" s="11"/>
      <c r="D45" s="7">
        <v>1079.19</v>
      </c>
      <c r="E45" s="2"/>
      <c r="F45" s="6">
        <f t="shared" si="18"/>
        <v>0.10336950149998278</v>
      </c>
      <c r="G45" s="2"/>
      <c r="H45" s="7">
        <v>3514.66</v>
      </c>
      <c r="I45" s="2"/>
      <c r="J45" s="6">
        <f t="shared" si="19"/>
        <v>3.1553487617132893E-3</v>
      </c>
      <c r="K45" s="2"/>
      <c r="L45" s="7">
        <f t="shared" si="20"/>
        <v>-2435.4699999999998</v>
      </c>
      <c r="M45" s="2"/>
      <c r="N45" s="6">
        <f t="shared" si="21"/>
        <v>-0.69294611712085941</v>
      </c>
      <c r="O45" s="11"/>
      <c r="P45" s="7">
        <v>2443.1999999999998</v>
      </c>
      <c r="Q45" s="2"/>
      <c r="R45" s="6">
        <f t="shared" si="22"/>
        <v>0.1440738484618147</v>
      </c>
      <c r="S45" s="2"/>
      <c r="T45" s="7">
        <v>9456.61</v>
      </c>
      <c r="U45" s="2"/>
      <c r="V45" s="6">
        <f t="shared" si="23"/>
        <v>5.1721733386926629E-3</v>
      </c>
      <c r="W45" s="2"/>
      <c r="X45" s="7">
        <f t="shared" si="24"/>
        <v>-7013.4100000000008</v>
      </c>
      <c r="Y45" s="2"/>
      <c r="Z45" s="6">
        <f t="shared" si="25"/>
        <v>-0.74164103204002285</v>
      </c>
    </row>
    <row r="46" spans="1:26" s="27" customFormat="1" outlineLevel="1" collapsed="1" x14ac:dyDescent="0.25">
      <c r="A46" s="29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40840.409999999996</v>
      </c>
      <c r="E46" s="1"/>
      <c r="F46" s="5">
        <f t="shared" ref="F46:F53" si="26">IF(D$12=0,0,D46/D$12)</f>
        <v>3.9118717026241079</v>
      </c>
      <c r="G46" s="1"/>
      <c r="H46" s="1">
        <f>SUM(OSRRefH22_1x_0)</f>
        <v>303601.33999999997</v>
      </c>
      <c r="I46" s="1"/>
      <c r="J46" s="5">
        <f t="shared" ref="J46:J53" si="27">IF(H$12=0,0,H46/H$12)</f>
        <v>0.27256352313552246</v>
      </c>
      <c r="K46" s="1"/>
      <c r="L46" s="1">
        <f t="shared" ref="L46:L53" si="28">+D46-H46</f>
        <v>-262760.93</v>
      </c>
      <c r="M46" s="1"/>
      <c r="N46" s="5">
        <f t="shared" ref="N46:N53" si="29">IF(H46=0,0,L46/H46)</f>
        <v>-0.86548013918515654</v>
      </c>
      <c r="O46" s="14"/>
      <c r="P46" s="1">
        <f>SUM(OSRRefP22_1x_0)</f>
        <v>129660.37000000001</v>
      </c>
      <c r="Q46" s="1"/>
      <c r="R46" s="5">
        <f t="shared" ref="R46:R53" si="30">IF(P$12=0,0,P46/P$12)</f>
        <v>7.6459841596606202</v>
      </c>
      <c r="S46" s="1"/>
      <c r="T46" s="1">
        <f>SUM(OSRRefT22_1x_0)</f>
        <v>727775.57000000007</v>
      </c>
      <c r="U46" s="1"/>
      <c r="V46" s="5">
        <f t="shared" ref="V46:V53" si="31">IF(T$12=0,0,T46/T$12)</f>
        <v>0.39804765129426467</v>
      </c>
      <c r="W46" s="1"/>
      <c r="X46" s="1">
        <f t="shared" ref="X46:X53" si="32">+P46-T46</f>
        <v>-598115.20000000007</v>
      </c>
      <c r="Y46" s="1"/>
      <c r="Z46" s="5">
        <f t="shared" ref="Z46:Z53" si="33">IF(T46=0,0,X46/T46)</f>
        <v>-0.82184017251362262</v>
      </c>
    </row>
    <row r="47" spans="1:26" s="24" customFormat="1" hidden="1" outlineLevel="2" x14ac:dyDescent="0.25">
      <c r="A47" s="28"/>
      <c r="B47" s="11" t="str">
        <f>CONCATENATE("          ", "6001", " - ", "ADMINISTRATIVE SALARIES")</f>
        <v xml:space="preserve">          6001 - ADMINISTRATIVE SALARIES</v>
      </c>
      <c r="C47" s="11"/>
      <c r="D47" s="7">
        <v>11069.28</v>
      </c>
      <c r="E47" s="2"/>
      <c r="F47" s="6">
        <f t="shared" si="26"/>
        <v>1.0602636751301711</v>
      </c>
      <c r="G47" s="2"/>
      <c r="H47" s="7">
        <v>16211.87</v>
      </c>
      <c r="I47" s="2"/>
      <c r="J47" s="6">
        <f t="shared" si="27"/>
        <v>1.4554495720654866E-2</v>
      </c>
      <c r="K47" s="2"/>
      <c r="L47" s="7">
        <f t="shared" si="28"/>
        <v>-5142.59</v>
      </c>
      <c r="M47" s="2"/>
      <c r="N47" s="6">
        <f t="shared" si="29"/>
        <v>-0.31721140127573189</v>
      </c>
      <c r="O47" s="11"/>
      <c r="P47" s="7">
        <v>33345.89</v>
      </c>
      <c r="Q47" s="2"/>
      <c r="R47" s="6">
        <f t="shared" si="30"/>
        <v>1.9663845377719147</v>
      </c>
      <c r="S47" s="2"/>
      <c r="T47" s="7">
        <v>51694.77</v>
      </c>
      <c r="U47" s="2"/>
      <c r="V47" s="6">
        <f t="shared" si="31"/>
        <v>2.8273801197664837E-2</v>
      </c>
      <c r="W47" s="2"/>
      <c r="X47" s="7">
        <f t="shared" si="32"/>
        <v>-18348.879999999997</v>
      </c>
      <c r="Y47" s="2"/>
      <c r="Z47" s="6">
        <f t="shared" si="33"/>
        <v>-0.35494654488258676</v>
      </c>
    </row>
    <row r="48" spans="1:26" s="24" customFormat="1" hidden="1" outlineLevel="2" x14ac:dyDescent="0.25">
      <c r="A48" s="28"/>
      <c r="B48" s="11" t="str">
        <f>CONCATENATE("          ", "6002", " - ", "STAFF SALARIES")</f>
        <v xml:space="preserve">          6002 - STAFF SALARIES</v>
      </c>
      <c r="C48" s="11"/>
      <c r="D48" s="7">
        <v>24492.959999999999</v>
      </c>
      <c r="E48" s="2"/>
      <c r="F48" s="6">
        <f t="shared" si="26"/>
        <v>2.3460419995172472</v>
      </c>
      <c r="G48" s="2"/>
      <c r="H48" s="7">
        <v>71637.929999999993</v>
      </c>
      <c r="I48" s="2"/>
      <c r="J48" s="6">
        <f t="shared" si="27"/>
        <v>6.4314230599034697E-2</v>
      </c>
      <c r="K48" s="2"/>
      <c r="L48" s="7">
        <f t="shared" si="28"/>
        <v>-47144.969999999994</v>
      </c>
      <c r="M48" s="2"/>
      <c r="N48" s="6">
        <f t="shared" si="29"/>
        <v>-0.65810067376318659</v>
      </c>
      <c r="O48" s="11"/>
      <c r="P48" s="7">
        <v>81231.010000000009</v>
      </c>
      <c r="Q48" s="2"/>
      <c r="R48" s="6">
        <f t="shared" si="30"/>
        <v>4.7901376167076606</v>
      </c>
      <c r="S48" s="2"/>
      <c r="T48" s="7">
        <v>214687</v>
      </c>
      <c r="U48" s="2"/>
      <c r="V48" s="6">
        <f t="shared" si="31"/>
        <v>0.11742034170425888</v>
      </c>
      <c r="W48" s="2"/>
      <c r="X48" s="7">
        <f t="shared" si="32"/>
        <v>-133455.99</v>
      </c>
      <c r="Y48" s="2"/>
      <c r="Z48" s="6">
        <f t="shared" si="33"/>
        <v>-0.62163051325883723</v>
      </c>
    </row>
    <row r="49" spans="1:26" s="24" customFormat="1" hidden="1" outlineLevel="2" x14ac:dyDescent="0.25">
      <c r="A49" s="28"/>
      <c r="B49" s="11" t="str">
        <f>CONCATENATE("          ", "6004", " - ", "STAFF HOURLY")</f>
        <v xml:space="preserve">          6004 - STAFF HOURLY</v>
      </c>
      <c r="C49" s="11"/>
      <c r="D49" s="7">
        <v>3115.4</v>
      </c>
      <c r="E49" s="2"/>
      <c r="F49" s="6">
        <f t="shared" si="26"/>
        <v>0.29840653172568904</v>
      </c>
      <c r="G49" s="2"/>
      <c r="H49" s="7">
        <v>19617.900000000001</v>
      </c>
      <c r="I49" s="2"/>
      <c r="J49" s="6">
        <f t="shared" si="27"/>
        <v>1.761231996051258E-2</v>
      </c>
      <c r="K49" s="2"/>
      <c r="L49" s="7">
        <f t="shared" si="28"/>
        <v>-16502.5</v>
      </c>
      <c r="M49" s="2"/>
      <c r="N49" s="6">
        <f t="shared" si="29"/>
        <v>-0.84119605054567503</v>
      </c>
      <c r="O49" s="11"/>
      <c r="P49" s="7">
        <v>10705.6</v>
      </c>
      <c r="Q49" s="2"/>
      <c r="R49" s="6">
        <f t="shared" si="30"/>
        <v>0.63130197777210362</v>
      </c>
      <c r="S49" s="2"/>
      <c r="T49" s="7">
        <v>52783.21</v>
      </c>
      <c r="U49" s="2"/>
      <c r="V49" s="6">
        <f t="shared" si="31"/>
        <v>2.8869109701321713E-2</v>
      </c>
      <c r="W49" s="2"/>
      <c r="X49" s="7">
        <f t="shared" si="32"/>
        <v>-42077.61</v>
      </c>
      <c r="Y49" s="2"/>
      <c r="Z49" s="6">
        <f t="shared" si="33"/>
        <v>-0.79717792836017365</v>
      </c>
    </row>
    <row r="50" spans="1:26" s="24" customFormat="1" hidden="1" outlineLevel="2" x14ac:dyDescent="0.25">
      <c r="A50" s="28"/>
      <c r="B50" s="11" t="str">
        <f>CONCATENATE("          ", "6005", " - ", "TEMPORARY WAGES-HOURLY")</f>
        <v xml:space="preserve">          6005 - TEMPORARY WAGES-HOURLY</v>
      </c>
      <c r="C50" s="11"/>
      <c r="D50" s="7">
        <v>3050.77</v>
      </c>
      <c r="E50" s="2"/>
      <c r="F50" s="6">
        <f t="shared" si="26"/>
        <v>0.2922159898545228</v>
      </c>
      <c r="G50" s="2"/>
      <c r="H50" s="7">
        <v>58234.52</v>
      </c>
      <c r="I50" s="2"/>
      <c r="J50" s="6">
        <f t="shared" si="27"/>
        <v>5.2281079982407337E-2</v>
      </c>
      <c r="K50" s="2"/>
      <c r="L50" s="7">
        <f t="shared" si="28"/>
        <v>-55183.75</v>
      </c>
      <c r="M50" s="2"/>
      <c r="N50" s="6">
        <f t="shared" si="29"/>
        <v>-0.9476123440186337</v>
      </c>
      <c r="O50" s="11"/>
      <c r="P50" s="7">
        <v>3205.87</v>
      </c>
      <c r="Q50" s="2"/>
      <c r="R50" s="6">
        <f t="shared" si="30"/>
        <v>0.18904798156854857</v>
      </c>
      <c r="S50" s="2"/>
      <c r="T50" s="7">
        <v>130289.54000000001</v>
      </c>
      <c r="U50" s="2"/>
      <c r="V50" s="6">
        <f t="shared" si="31"/>
        <v>7.1260217466780518E-2</v>
      </c>
      <c r="W50" s="2"/>
      <c r="X50" s="7">
        <f t="shared" si="32"/>
        <v>-127083.67000000001</v>
      </c>
      <c r="Y50" s="2"/>
      <c r="Z50" s="6">
        <f t="shared" si="33"/>
        <v>-0.97539426419035635</v>
      </c>
    </row>
    <row r="51" spans="1:26" s="24" customFormat="1" hidden="1" outlineLevel="2" x14ac:dyDescent="0.25">
      <c r="A51" s="28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6"/>
        <v>0</v>
      </c>
      <c r="G51" s="2"/>
      <c r="H51" s="7">
        <v>4649.8500000000004</v>
      </c>
      <c r="I51" s="2"/>
      <c r="J51" s="6">
        <f t="shared" si="27"/>
        <v>4.1744858505950904E-3</v>
      </c>
      <c r="K51" s="2"/>
      <c r="L51" s="7">
        <f t="shared" si="28"/>
        <v>-4649.8500000000004</v>
      </c>
      <c r="M51" s="2"/>
      <c r="N51" s="6">
        <f t="shared" si="29"/>
        <v>-1</v>
      </c>
      <c r="O51" s="11"/>
      <c r="P51" s="7"/>
      <c r="Q51" s="2"/>
      <c r="R51" s="6">
        <f t="shared" si="30"/>
        <v>0</v>
      </c>
      <c r="S51" s="2"/>
      <c r="T51" s="7">
        <v>10234.120000000001</v>
      </c>
      <c r="U51" s="2"/>
      <c r="V51" s="6">
        <f t="shared" si="31"/>
        <v>5.5974226079939168E-3</v>
      </c>
      <c r="W51" s="2"/>
      <c r="X51" s="7">
        <f t="shared" si="32"/>
        <v>-10234.120000000001</v>
      </c>
      <c r="Y51" s="2"/>
      <c r="Z51" s="6">
        <f t="shared" si="33"/>
        <v>-1</v>
      </c>
    </row>
    <row r="52" spans="1:26" s="24" customFormat="1" hidden="1" outlineLevel="2" x14ac:dyDescent="0.25">
      <c r="A52" s="28"/>
      <c r="B52" s="11" t="str">
        <f>CONCATENATE("          ", "6007", " - ", "STUDENT HOURLY")</f>
        <v xml:space="preserve">          6007 - STUDENT HOURLY</v>
      </c>
      <c r="C52" s="11"/>
      <c r="D52" s="7">
        <v>-888</v>
      </c>
      <c r="E52" s="2"/>
      <c r="F52" s="6">
        <f t="shared" si="26"/>
        <v>-8.5056493603521813E-2</v>
      </c>
      <c r="G52" s="2"/>
      <c r="H52" s="7">
        <v>127881.70999999999</v>
      </c>
      <c r="I52" s="2"/>
      <c r="J52" s="6">
        <f t="shared" si="27"/>
        <v>0.11480808820605065</v>
      </c>
      <c r="K52" s="2"/>
      <c r="L52" s="7">
        <f t="shared" si="28"/>
        <v>-128769.70999999999</v>
      </c>
      <c r="M52" s="2"/>
      <c r="N52" s="6">
        <f t="shared" si="29"/>
        <v>-1.0069439171559404</v>
      </c>
      <c r="O52" s="11"/>
      <c r="P52" s="7">
        <v>1172</v>
      </c>
      <c r="Q52" s="2"/>
      <c r="R52" s="6">
        <f t="shared" si="30"/>
        <v>6.9112045840392447E-2</v>
      </c>
      <c r="S52" s="2"/>
      <c r="T52" s="7">
        <v>255381.66999999998</v>
      </c>
      <c r="U52" s="2"/>
      <c r="V52" s="6">
        <f t="shared" si="31"/>
        <v>0.13967777721242683</v>
      </c>
      <c r="W52" s="2"/>
      <c r="X52" s="7">
        <f t="shared" si="32"/>
        <v>-254209.66999999998</v>
      </c>
      <c r="Y52" s="2"/>
      <c r="Z52" s="6">
        <f t="shared" si="33"/>
        <v>-0.99541079044553193</v>
      </c>
    </row>
    <row r="53" spans="1:26" s="24" customFormat="1" hidden="1" outlineLevel="2" x14ac:dyDescent="0.25">
      <c r="A53" s="28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6"/>
        <v>0</v>
      </c>
      <c r="G53" s="2"/>
      <c r="H53" s="7">
        <v>5367.56</v>
      </c>
      <c r="I53" s="2"/>
      <c r="J53" s="6">
        <f t="shared" si="27"/>
        <v>4.8188228162672313E-3</v>
      </c>
      <c r="K53" s="2"/>
      <c r="L53" s="7">
        <f t="shared" si="28"/>
        <v>-5367.56</v>
      </c>
      <c r="M53" s="2"/>
      <c r="N53" s="6">
        <f t="shared" si="29"/>
        <v>-1</v>
      </c>
      <c r="O53" s="11"/>
      <c r="P53" s="7"/>
      <c r="Q53" s="2"/>
      <c r="R53" s="6">
        <f t="shared" si="30"/>
        <v>0</v>
      </c>
      <c r="S53" s="2"/>
      <c r="T53" s="7">
        <v>12705.26</v>
      </c>
      <c r="U53" s="2"/>
      <c r="V53" s="6">
        <f t="shared" si="31"/>
        <v>6.9489814038178948E-3</v>
      </c>
      <c r="W53" s="2"/>
      <c r="X53" s="7">
        <f t="shared" si="32"/>
        <v>-12705.26</v>
      </c>
      <c r="Y53" s="2"/>
      <c r="Z53" s="6">
        <f t="shared" si="33"/>
        <v>-1</v>
      </c>
    </row>
    <row r="54" spans="1:26" s="27" customFormat="1" outlineLevel="1" collapsed="1" x14ac:dyDescent="0.25">
      <c r="A54" s="29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49.61</v>
      </c>
      <c r="E54" s="1"/>
      <c r="F54" s="5">
        <f t="shared" ref="F54:F63" si="34">IF(D$12=0,0,D54/D$12)</f>
        <v>4.7518610897192759E-3</v>
      </c>
      <c r="G54" s="1"/>
      <c r="H54" s="1">
        <f>SUM(OSRRefH22_2x_0)</f>
        <v>1482.09</v>
      </c>
      <c r="I54" s="1"/>
      <c r="J54" s="5">
        <f t="shared" ref="J54:J63" si="35">IF(H$12=0,0,H54/H$12)</f>
        <v>1.3305727570369962E-3</v>
      </c>
      <c r="K54" s="1"/>
      <c r="L54" s="1">
        <f t="shared" ref="L54:L63" si="36">+D54-H54</f>
        <v>-1432.48</v>
      </c>
      <c r="M54" s="1"/>
      <c r="N54" s="5">
        <f t="shared" ref="N54:N63" si="37">IF(H54=0,0,L54/H54)</f>
        <v>-0.96652699903514638</v>
      </c>
      <c r="O54" s="14"/>
      <c r="P54" s="1">
        <f>SUM(OSRRefP22_2x_0)</f>
        <v>95.58</v>
      </c>
      <c r="Q54" s="1"/>
      <c r="R54" s="5">
        <f t="shared" ref="R54:R63" si="38">IF(P$12=0,0,P54/P$12)</f>
        <v>5.6362878339801283E-3</v>
      </c>
      <c r="S54" s="1"/>
      <c r="T54" s="1">
        <f>SUM(OSRRefT22_2x_0)</f>
        <v>7255.64</v>
      </c>
      <c r="U54" s="1"/>
      <c r="V54" s="5">
        <f t="shared" ref="V54:V63" si="39">IF(T$12=0,0,T54/T$12)</f>
        <v>3.968380610298197E-3</v>
      </c>
      <c r="W54" s="1"/>
      <c r="X54" s="1">
        <f t="shared" ref="X54:X63" si="40">+P54-T54</f>
        <v>-7160.06</v>
      </c>
      <c r="Y54" s="1"/>
      <c r="Z54" s="5">
        <f t="shared" ref="Z54:Z63" si="41">IF(T54=0,0,X54/T54)</f>
        <v>-0.98682679956557939</v>
      </c>
    </row>
    <row r="55" spans="1:26" s="24" customFormat="1" hidden="1" outlineLevel="2" x14ac:dyDescent="0.25">
      <c r="A55" s="28"/>
      <c r="B55" s="11" t="str">
        <f>CONCATENATE("          ", "6362", " - ", "ADVERTISING EXPENSE")</f>
        <v xml:space="preserve">          6362 - ADVERTISING EXPENSE</v>
      </c>
      <c r="C55" s="11"/>
      <c r="D55" s="7">
        <v>49.61</v>
      </c>
      <c r="E55" s="2"/>
      <c r="F55" s="6">
        <f t="shared" si="34"/>
        <v>4.7518610897192759E-3</v>
      </c>
      <c r="G55" s="2"/>
      <c r="H55" s="7">
        <v>1482.09</v>
      </c>
      <c r="I55" s="2"/>
      <c r="J55" s="6">
        <f t="shared" si="35"/>
        <v>1.3305727570369962E-3</v>
      </c>
      <c r="K55" s="2"/>
      <c r="L55" s="7">
        <f t="shared" si="36"/>
        <v>-1432.48</v>
      </c>
      <c r="M55" s="2"/>
      <c r="N55" s="6">
        <f t="shared" si="37"/>
        <v>-0.96652699903514638</v>
      </c>
      <c r="O55" s="11"/>
      <c r="P55" s="7">
        <v>95.58</v>
      </c>
      <c r="Q55" s="2"/>
      <c r="R55" s="6">
        <f t="shared" si="38"/>
        <v>5.6362878339801283E-3</v>
      </c>
      <c r="S55" s="2"/>
      <c r="T55" s="7">
        <v>7255.64</v>
      </c>
      <c r="U55" s="2"/>
      <c r="V55" s="6">
        <f t="shared" si="39"/>
        <v>3.968380610298197E-3</v>
      </c>
      <c r="W55" s="2"/>
      <c r="X55" s="7">
        <f t="shared" si="40"/>
        <v>-7160.06</v>
      </c>
      <c r="Y55" s="2"/>
      <c r="Z55" s="6">
        <f t="shared" si="41"/>
        <v>-0.98682679956557939</v>
      </c>
    </row>
    <row r="56" spans="1:26" s="27" customFormat="1" outlineLevel="1" collapsed="1" x14ac:dyDescent="0.25">
      <c r="A56" s="29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-193.82</v>
      </c>
      <c r="E56" s="1"/>
      <c r="F56" s="5">
        <f t="shared" si="34"/>
        <v>-1.8564920709723643E-2</v>
      </c>
      <c r="G56" s="1"/>
      <c r="H56" s="1">
        <f>SUM(OSRRefH22_3x_0)</f>
        <v>-167.84</v>
      </c>
      <c r="I56" s="1"/>
      <c r="J56" s="5">
        <f t="shared" si="35"/>
        <v>-1.506813564230846E-4</v>
      </c>
      <c r="K56" s="1"/>
      <c r="L56" s="1">
        <f t="shared" si="36"/>
        <v>-25.97999999999999</v>
      </c>
      <c r="M56" s="1"/>
      <c r="N56" s="5">
        <f t="shared" si="37"/>
        <v>0.15479027645376542</v>
      </c>
      <c r="O56" s="14"/>
      <c r="P56" s="1">
        <f>SUM(OSRRefP22_3x_0)</f>
        <v>-190.21</v>
      </c>
      <c r="Q56" s="1"/>
      <c r="R56" s="5">
        <f t="shared" si="38"/>
        <v>-1.1216554811690314E-2</v>
      </c>
      <c r="S56" s="1"/>
      <c r="T56" s="1">
        <f>SUM(OSRRefT22_3x_0)</f>
        <v>-188.1</v>
      </c>
      <c r="U56" s="1"/>
      <c r="V56" s="5">
        <f t="shared" si="39"/>
        <v>-1.028789180275056E-4</v>
      </c>
      <c r="W56" s="1"/>
      <c r="X56" s="1">
        <f t="shared" si="40"/>
        <v>-2.1100000000000136</v>
      </c>
      <c r="Y56" s="1"/>
      <c r="Z56" s="5">
        <f t="shared" si="41"/>
        <v>1.1217437533227079E-2</v>
      </c>
    </row>
    <row r="57" spans="1:26" s="24" customFormat="1" hidden="1" outlineLevel="2" x14ac:dyDescent="0.25">
      <c r="A57" s="28"/>
      <c r="B57" s="11" t="str">
        <f>CONCATENATE("          ", "6272", " - ", "CASH (OVER/SHORT)")</f>
        <v xml:space="preserve">          6272 - CASH (OVER/SHORT)</v>
      </c>
      <c r="C57" s="11"/>
      <c r="D57" s="7">
        <v>-193.82</v>
      </c>
      <c r="E57" s="2"/>
      <c r="F57" s="6">
        <f t="shared" si="34"/>
        <v>-1.8564920709723643E-2</v>
      </c>
      <c r="G57" s="2"/>
      <c r="H57" s="7">
        <v>-167.84</v>
      </c>
      <c r="I57" s="2"/>
      <c r="J57" s="6">
        <f t="shared" si="35"/>
        <v>-1.506813564230846E-4</v>
      </c>
      <c r="K57" s="2"/>
      <c r="L57" s="7">
        <f t="shared" si="36"/>
        <v>-25.97999999999999</v>
      </c>
      <c r="M57" s="2"/>
      <c r="N57" s="6">
        <f t="shared" si="37"/>
        <v>0.15479027645376542</v>
      </c>
      <c r="O57" s="11"/>
      <c r="P57" s="7">
        <v>-190.21</v>
      </c>
      <c r="Q57" s="2"/>
      <c r="R57" s="6">
        <f t="shared" si="38"/>
        <v>-1.1216554811690314E-2</v>
      </c>
      <c r="S57" s="2"/>
      <c r="T57" s="7">
        <v>-188.1</v>
      </c>
      <c r="U57" s="2"/>
      <c r="V57" s="6">
        <f t="shared" si="39"/>
        <v>-1.028789180275056E-4</v>
      </c>
      <c r="W57" s="2"/>
      <c r="X57" s="7">
        <f t="shared" si="40"/>
        <v>-2.1100000000000136</v>
      </c>
      <c r="Y57" s="2"/>
      <c r="Z57" s="6">
        <f t="shared" si="41"/>
        <v>1.1217437533227079E-2</v>
      </c>
    </row>
    <row r="58" spans="1:26" s="27" customFormat="1" outlineLevel="1" collapsed="1" x14ac:dyDescent="0.25">
      <c r="A58" s="29"/>
      <c r="B58" s="14" t="str">
        <f>CONCATENATE("     ","Bank/card Fees                                    ")</f>
        <v xml:space="preserve">     Bank/card Fees                                    </v>
      </c>
      <c r="C58" s="14"/>
      <c r="D58" s="1">
        <f>SUM(OSRRefD22_4x_0)</f>
        <v>603.61</v>
      </c>
      <c r="E58" s="1"/>
      <c r="F58" s="5">
        <f t="shared" si="34"/>
        <v>5.7816385252276802E-2</v>
      </c>
      <c r="G58" s="1"/>
      <c r="H58" s="1">
        <f>SUM(OSRRefH22_4x_0)</f>
        <v>35032.15</v>
      </c>
      <c r="I58" s="1"/>
      <c r="J58" s="5">
        <f t="shared" si="35"/>
        <v>3.1450738086373706E-2</v>
      </c>
      <c r="K58" s="1"/>
      <c r="L58" s="1">
        <f t="shared" si="36"/>
        <v>-34428.54</v>
      </c>
      <c r="M58" s="1"/>
      <c r="N58" s="5">
        <f t="shared" si="37"/>
        <v>-0.98276982714449435</v>
      </c>
      <c r="O58" s="14"/>
      <c r="P58" s="1">
        <f>SUM(OSRRefP22_4x_0)</f>
        <v>1339.5</v>
      </c>
      <c r="Q58" s="1"/>
      <c r="R58" s="5">
        <f t="shared" si="38"/>
        <v>7.8989407340619183E-2</v>
      </c>
      <c r="S58" s="1"/>
      <c r="T58" s="1">
        <f>SUM(OSRRefT22_4x_0)</f>
        <v>54005.219999999994</v>
      </c>
      <c r="U58" s="1"/>
      <c r="V58" s="5">
        <f t="shared" si="39"/>
        <v>2.9537472628588017E-2</v>
      </c>
      <c r="W58" s="1"/>
      <c r="X58" s="1">
        <f t="shared" si="40"/>
        <v>-52665.719999999994</v>
      </c>
      <c r="Y58" s="1"/>
      <c r="Z58" s="5">
        <f t="shared" si="41"/>
        <v>-0.97519684208304314</v>
      </c>
    </row>
    <row r="59" spans="1:26" s="24" customFormat="1" hidden="1" outlineLevel="2" x14ac:dyDescent="0.25">
      <c r="A59" s="28"/>
      <c r="B59" s="11" t="str">
        <f>CONCATENATE("          ", "6381", " - ", "BANK/CREDIT CARD FEES")</f>
        <v xml:space="preserve">          6381 - BANK/CREDIT CARD FEES</v>
      </c>
      <c r="C59" s="11"/>
      <c r="D59" s="7">
        <v>603.61</v>
      </c>
      <c r="E59" s="2"/>
      <c r="F59" s="6">
        <f t="shared" si="34"/>
        <v>5.7816385252276802E-2</v>
      </c>
      <c r="G59" s="2"/>
      <c r="H59" s="7">
        <v>35032.15</v>
      </c>
      <c r="I59" s="2"/>
      <c r="J59" s="6">
        <f t="shared" si="35"/>
        <v>3.1450738086373706E-2</v>
      </c>
      <c r="K59" s="2"/>
      <c r="L59" s="7">
        <f t="shared" si="36"/>
        <v>-34428.54</v>
      </c>
      <c r="M59" s="2"/>
      <c r="N59" s="6">
        <f t="shared" si="37"/>
        <v>-0.98276982714449435</v>
      </c>
      <c r="O59" s="11"/>
      <c r="P59" s="7">
        <v>1339.5</v>
      </c>
      <c r="Q59" s="2"/>
      <c r="R59" s="6">
        <f t="shared" si="38"/>
        <v>7.8989407340619183E-2</v>
      </c>
      <c r="S59" s="2"/>
      <c r="T59" s="7">
        <v>54005.219999999994</v>
      </c>
      <c r="U59" s="2"/>
      <c r="V59" s="6">
        <f t="shared" si="39"/>
        <v>2.9537472628588017E-2</v>
      </c>
      <c r="W59" s="2"/>
      <c r="X59" s="7">
        <f t="shared" si="40"/>
        <v>-52665.719999999994</v>
      </c>
      <c r="Y59" s="2"/>
      <c r="Z59" s="6">
        <f t="shared" si="41"/>
        <v>-0.97519684208304314</v>
      </c>
    </row>
    <row r="60" spans="1:26" s="27" customFormat="1" outlineLevel="1" collapsed="1" x14ac:dyDescent="0.25">
      <c r="A60" s="29"/>
      <c r="B60" s="14" t="str">
        <f>CONCATENATE("     ","Depreciation                                      ")</f>
        <v xml:space="preserve">     Depreciation                                      </v>
      </c>
      <c r="C60" s="14"/>
      <c r="D60" s="1">
        <f>SUM(OSRRefD22_5x_0)</f>
        <v>46945.41</v>
      </c>
      <c r="E60" s="1"/>
      <c r="F60" s="5">
        <f t="shared" si="34"/>
        <v>4.4966350961483208</v>
      </c>
      <c r="G60" s="1"/>
      <c r="H60" s="1">
        <f>SUM(OSRRefH22_5x_0)</f>
        <v>47974.53</v>
      </c>
      <c r="I60" s="1"/>
      <c r="J60" s="5">
        <f t="shared" si="35"/>
        <v>4.3069990789799596E-2</v>
      </c>
      <c r="K60" s="1"/>
      <c r="L60" s="1">
        <f t="shared" si="36"/>
        <v>-1029.1199999999953</v>
      </c>
      <c r="M60" s="1"/>
      <c r="N60" s="5">
        <f t="shared" si="37"/>
        <v>-2.1451382639913207E-2</v>
      </c>
      <c r="O60" s="14"/>
      <c r="P60" s="1">
        <f>SUM(OSRRefP22_5x_0)</f>
        <v>140454.62</v>
      </c>
      <c r="Q60" s="1"/>
      <c r="R60" s="5">
        <f t="shared" si="38"/>
        <v>8.2825137678625449</v>
      </c>
      <c r="S60" s="1"/>
      <c r="T60" s="1">
        <f>SUM(OSRRefT22_5x_0)</f>
        <v>143923.59</v>
      </c>
      <c r="U60" s="1"/>
      <c r="V60" s="5">
        <f t="shared" si="39"/>
        <v>7.8717188824212261E-2</v>
      </c>
      <c r="W60" s="1"/>
      <c r="X60" s="1">
        <f t="shared" si="40"/>
        <v>-3468.9700000000012</v>
      </c>
      <c r="Y60" s="1"/>
      <c r="Z60" s="5">
        <f t="shared" si="41"/>
        <v>-2.4102859024014069E-2</v>
      </c>
    </row>
    <row r="61" spans="1:26" s="24" customFormat="1" hidden="1" outlineLevel="2" x14ac:dyDescent="0.25">
      <c r="A61" s="28"/>
      <c r="B61" s="11" t="str">
        <f>CONCATENATE("          ", "6321", " - ", "BUILDING DEPRECIATION")</f>
        <v xml:space="preserve">          6321 - BUILDING DEPRECIATION</v>
      </c>
      <c r="C61" s="11"/>
      <c r="D61" s="7">
        <v>28925.390000000003</v>
      </c>
      <c r="E61" s="2"/>
      <c r="F61" s="6">
        <f t="shared" si="34"/>
        <v>2.7705993800837545</v>
      </c>
      <c r="G61" s="2"/>
      <c r="H61" s="7">
        <v>29123.47</v>
      </c>
      <c r="I61" s="2"/>
      <c r="J61" s="6">
        <f t="shared" si="35"/>
        <v>2.6146115129569898E-2</v>
      </c>
      <c r="K61" s="2"/>
      <c r="L61" s="7">
        <f t="shared" si="36"/>
        <v>-198.07999999999811</v>
      </c>
      <c r="M61" s="2"/>
      <c r="N61" s="6">
        <f t="shared" si="37"/>
        <v>-6.8013873346822375E-3</v>
      </c>
      <c r="O61" s="11"/>
      <c r="P61" s="7">
        <v>86776.19</v>
      </c>
      <c r="Q61" s="2"/>
      <c r="R61" s="6">
        <f t="shared" si="38"/>
        <v>5.1171331238349875</v>
      </c>
      <c r="S61" s="2"/>
      <c r="T61" s="7">
        <v>87370.41</v>
      </c>
      <c r="U61" s="2"/>
      <c r="V61" s="6">
        <f t="shared" si="39"/>
        <v>4.7786141671555329E-2</v>
      </c>
      <c r="W61" s="2"/>
      <c r="X61" s="7">
        <f t="shared" si="40"/>
        <v>-594.22000000000116</v>
      </c>
      <c r="Y61" s="2"/>
      <c r="Z61" s="6">
        <f t="shared" si="41"/>
        <v>-6.8011584242308257E-3</v>
      </c>
    </row>
    <row r="62" spans="1:26" s="24" customFormat="1" hidden="1" outlineLevel="2" x14ac:dyDescent="0.25">
      <c r="A62" s="28"/>
      <c r="B62" s="11" t="str">
        <f>CONCATENATE("          ", "6322", " - ", "EQUIPMENT DEPRECIATION EXPENSE")</f>
        <v xml:space="preserve">          6322 - EQUIPMENT DEPRECIATION EXPENSE</v>
      </c>
      <c r="C62" s="11"/>
      <c r="D62" s="7">
        <v>18020.02</v>
      </c>
      <c r="E62" s="2"/>
      <c r="F62" s="6">
        <f t="shared" si="34"/>
        <v>1.7260357160645665</v>
      </c>
      <c r="G62" s="2"/>
      <c r="H62" s="7">
        <v>18426.809999999998</v>
      </c>
      <c r="I62" s="2"/>
      <c r="J62" s="6">
        <f t="shared" si="35"/>
        <v>1.6542997648656216E-2</v>
      </c>
      <c r="K62" s="2"/>
      <c r="L62" s="7">
        <f t="shared" si="36"/>
        <v>-406.78999999999724</v>
      </c>
      <c r="M62" s="2"/>
      <c r="N62" s="6">
        <f t="shared" si="37"/>
        <v>-2.2075986022539837E-2</v>
      </c>
      <c r="O62" s="11"/>
      <c r="P62" s="7">
        <v>53678.43</v>
      </c>
      <c r="Q62" s="2"/>
      <c r="R62" s="6">
        <f t="shared" si="38"/>
        <v>3.1653806440275574</v>
      </c>
      <c r="S62" s="2"/>
      <c r="T62" s="7">
        <v>55280.43</v>
      </c>
      <c r="U62" s="2"/>
      <c r="V62" s="6">
        <f t="shared" si="39"/>
        <v>3.0234932623579278E-2</v>
      </c>
      <c r="W62" s="2"/>
      <c r="X62" s="7">
        <f t="shared" si="40"/>
        <v>-1602</v>
      </c>
      <c r="Y62" s="2"/>
      <c r="Z62" s="6">
        <f t="shared" si="41"/>
        <v>-2.8979514088439615E-2</v>
      </c>
    </row>
    <row r="63" spans="1:26" s="24" customFormat="1" hidden="1" outlineLevel="2" x14ac:dyDescent="0.25">
      <c r="A63" s="28"/>
      <c r="B63" s="11" t="str">
        <f>CONCATENATE("          ", "6326", " - ", "VEHICLES DEPRECIATION EXPENSE")</f>
        <v xml:space="preserve">          6326 - VEHICLES DEPRECIATION EXPENSE</v>
      </c>
      <c r="C63" s="11"/>
      <c r="D63" s="7"/>
      <c r="E63" s="2"/>
      <c r="F63" s="6">
        <f t="shared" si="34"/>
        <v>0</v>
      </c>
      <c r="G63" s="2"/>
      <c r="H63" s="7">
        <v>424.25</v>
      </c>
      <c r="I63" s="2"/>
      <c r="J63" s="6">
        <f t="shared" si="35"/>
        <v>3.8087801157348449E-4</v>
      </c>
      <c r="K63" s="2"/>
      <c r="L63" s="7">
        <f t="shared" si="36"/>
        <v>-424.25</v>
      </c>
      <c r="M63" s="2"/>
      <c r="N63" s="6">
        <f t="shared" si="37"/>
        <v>-1</v>
      </c>
      <c r="O63" s="11"/>
      <c r="P63" s="7"/>
      <c r="Q63" s="2"/>
      <c r="R63" s="6">
        <f t="shared" si="38"/>
        <v>0</v>
      </c>
      <c r="S63" s="2"/>
      <c r="T63" s="7">
        <v>1272.75</v>
      </c>
      <c r="U63" s="2"/>
      <c r="V63" s="6">
        <f t="shared" si="39"/>
        <v>6.9611452907765957E-4</v>
      </c>
      <c r="W63" s="2"/>
      <c r="X63" s="7">
        <f t="shared" si="40"/>
        <v>-1272.75</v>
      </c>
      <c r="Y63" s="2"/>
      <c r="Z63" s="6">
        <f t="shared" si="41"/>
        <v>-1</v>
      </c>
    </row>
    <row r="64" spans="1:26" s="27" customFormat="1" outlineLevel="1" collapsed="1" x14ac:dyDescent="0.25">
      <c r="A64" s="29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SUM(OSRRefD22_6x_0)</f>
        <v>0</v>
      </c>
      <c r="E64" s="1"/>
      <c r="F64" s="5">
        <f t="shared" ref="F64:F72" si="42">IF(D$12=0,0,D64/D$12)</f>
        <v>0</v>
      </c>
      <c r="G64" s="1"/>
      <c r="H64" s="1">
        <f>SUM(OSRRefH22_6x_0)</f>
        <v>11.81</v>
      </c>
      <c r="I64" s="1"/>
      <c r="J64" s="5">
        <f t="shared" ref="J64:J72" si="43">IF(H$12=0,0,H64/H$12)</f>
        <v>1.0602638342210613E-5</v>
      </c>
      <c r="K64" s="1"/>
      <c r="L64" s="1">
        <f t="shared" ref="L64:L72" si="44">+D64-H64</f>
        <v>-11.81</v>
      </c>
      <c r="M64" s="1"/>
      <c r="N64" s="5">
        <f t="shared" ref="N64:N72" si="45">IF(H64=0,0,L64/H64)</f>
        <v>-1</v>
      </c>
      <c r="O64" s="14"/>
      <c r="P64" s="1">
        <f>SUM(OSRRefP22_6x_0)</f>
        <v>0</v>
      </c>
      <c r="Q64" s="1"/>
      <c r="R64" s="5">
        <f t="shared" ref="R64:R72" si="46">IF(P$12=0,0,P64/P$12)</f>
        <v>0</v>
      </c>
      <c r="S64" s="1"/>
      <c r="T64" s="1">
        <f>SUM(OSRRefT22_6x_0)</f>
        <v>31.9</v>
      </c>
      <c r="U64" s="1"/>
      <c r="V64" s="5">
        <f t="shared" ref="V64:V72" si="47">IF(T$12=0,0,T64/T$12)</f>
        <v>1.7447301887705631E-5</v>
      </c>
      <c r="W64" s="1"/>
      <c r="X64" s="1">
        <f t="shared" ref="X64:X72" si="48">+P64-T64</f>
        <v>-31.9</v>
      </c>
      <c r="Y64" s="1"/>
      <c r="Z64" s="5">
        <f t="shared" ref="Z64:Z72" si="49">IF(T64=0,0,X64/T64)</f>
        <v>-1</v>
      </c>
    </row>
    <row r="65" spans="1:26" s="24" customFormat="1" hidden="1" outlineLevel="2" x14ac:dyDescent="0.25">
      <c r="A65" s="28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42"/>
        <v>0</v>
      </c>
      <c r="G65" s="2"/>
      <c r="H65" s="7">
        <v>11.81</v>
      </c>
      <c r="I65" s="2"/>
      <c r="J65" s="6">
        <f t="shared" si="43"/>
        <v>1.0602638342210613E-5</v>
      </c>
      <c r="K65" s="2"/>
      <c r="L65" s="7">
        <f t="shared" si="44"/>
        <v>-11.81</v>
      </c>
      <c r="M65" s="2"/>
      <c r="N65" s="6">
        <f t="shared" si="45"/>
        <v>-1</v>
      </c>
      <c r="O65" s="11"/>
      <c r="P65" s="7"/>
      <c r="Q65" s="2"/>
      <c r="R65" s="6">
        <f t="shared" si="46"/>
        <v>0</v>
      </c>
      <c r="S65" s="2"/>
      <c r="T65" s="7">
        <v>31.9</v>
      </c>
      <c r="U65" s="2"/>
      <c r="V65" s="6">
        <f t="shared" si="47"/>
        <v>1.7447301887705631E-5</v>
      </c>
      <c r="W65" s="2"/>
      <c r="X65" s="7">
        <f t="shared" si="48"/>
        <v>-31.9</v>
      </c>
      <c r="Y65" s="2"/>
      <c r="Z65" s="6">
        <f t="shared" si="49"/>
        <v>-1</v>
      </c>
    </row>
    <row r="66" spans="1:26" s="27" customFormat="1" outlineLevel="1" collapsed="1" x14ac:dyDescent="0.25">
      <c r="A66" s="29"/>
      <c r="B66" s="14" t="str">
        <f>CONCATENATE("     ","Employees' Appreciation                           ")</f>
        <v xml:space="preserve">     Employees' Appreciation                           </v>
      </c>
      <c r="C66" s="14"/>
      <c r="D66" s="1">
        <f>SUM(OSRRefD22_7x_0)</f>
        <v>0</v>
      </c>
      <c r="E66" s="1"/>
      <c r="F66" s="5">
        <f t="shared" si="42"/>
        <v>0</v>
      </c>
      <c r="G66" s="1"/>
      <c r="H66" s="1">
        <f>SUM(OSRRefH22_7x_0)</f>
        <v>19.84</v>
      </c>
      <c r="I66" s="1"/>
      <c r="J66" s="5">
        <f t="shared" si="43"/>
        <v>1.7811714200631543E-5</v>
      </c>
      <c r="K66" s="1"/>
      <c r="L66" s="1">
        <f t="shared" si="44"/>
        <v>-19.84</v>
      </c>
      <c r="M66" s="1"/>
      <c r="N66" s="5">
        <f t="shared" si="45"/>
        <v>-1</v>
      </c>
      <c r="O66" s="14"/>
      <c r="P66" s="1">
        <f>SUM(OSRRefP22_7x_0)</f>
        <v>0</v>
      </c>
      <c r="Q66" s="1"/>
      <c r="R66" s="5">
        <f t="shared" si="46"/>
        <v>0</v>
      </c>
      <c r="S66" s="1"/>
      <c r="T66" s="1">
        <f>SUM(OSRRefT22_7x_0)</f>
        <v>419.56</v>
      </c>
      <c r="U66" s="1"/>
      <c r="V66" s="5">
        <f t="shared" si="47"/>
        <v>2.2947304012557287E-4</v>
      </c>
      <c r="W66" s="1"/>
      <c r="X66" s="1">
        <f t="shared" si="48"/>
        <v>-419.56</v>
      </c>
      <c r="Y66" s="1"/>
      <c r="Z66" s="5">
        <f t="shared" si="49"/>
        <v>-1</v>
      </c>
    </row>
    <row r="67" spans="1:26" s="24" customFormat="1" hidden="1" outlineLevel="2" x14ac:dyDescent="0.25">
      <c r="A67" s="28"/>
      <c r="B67" s="11" t="str">
        <f>CONCATENATE("          ", "6277", " - ", "EMPLOYEE APPRECIATION")</f>
        <v xml:space="preserve">          6277 - EMPLOYEE APPRECIATION</v>
      </c>
      <c r="C67" s="11"/>
      <c r="D67" s="7"/>
      <c r="E67" s="2"/>
      <c r="F67" s="6">
        <f t="shared" si="42"/>
        <v>0</v>
      </c>
      <c r="G67" s="2"/>
      <c r="H67" s="7">
        <v>19.84</v>
      </c>
      <c r="I67" s="2"/>
      <c r="J67" s="6">
        <f t="shared" si="43"/>
        <v>1.7811714200631543E-5</v>
      </c>
      <c r="K67" s="2"/>
      <c r="L67" s="7">
        <f t="shared" si="44"/>
        <v>-19.84</v>
      </c>
      <c r="M67" s="2"/>
      <c r="N67" s="6">
        <f t="shared" si="45"/>
        <v>-1</v>
      </c>
      <c r="O67" s="11"/>
      <c r="P67" s="7"/>
      <c r="Q67" s="2"/>
      <c r="R67" s="6">
        <f t="shared" si="46"/>
        <v>0</v>
      </c>
      <c r="S67" s="2"/>
      <c r="T67" s="7">
        <v>419.56</v>
      </c>
      <c r="U67" s="2"/>
      <c r="V67" s="6">
        <f t="shared" si="47"/>
        <v>2.2947304012557287E-4</v>
      </c>
      <c r="W67" s="2"/>
      <c r="X67" s="7">
        <f t="shared" si="48"/>
        <v>-419.56</v>
      </c>
      <c r="Y67" s="2"/>
      <c r="Z67" s="6">
        <f t="shared" si="49"/>
        <v>-1</v>
      </c>
    </row>
    <row r="68" spans="1:26" s="27" customFormat="1" outlineLevel="1" collapsed="1" x14ac:dyDescent="0.25">
      <c r="A68" s="29"/>
      <c r="B68" s="14" t="str">
        <f>CONCATENATE("     ","Equipment Rental                                  ")</f>
        <v xml:space="preserve">     Equipment Rental                                  </v>
      </c>
      <c r="C68" s="14"/>
      <c r="D68" s="1">
        <f>SUM(OSRRefD22_8x_0)</f>
        <v>283.86</v>
      </c>
      <c r="E68" s="1"/>
      <c r="F68" s="5">
        <f t="shared" si="42"/>
        <v>2.7189342651233898E-2</v>
      </c>
      <c r="G68" s="1"/>
      <c r="H68" s="1">
        <f>SUM(OSRRefH22_8x_0)</f>
        <v>2259.9</v>
      </c>
      <c r="I68" s="1"/>
      <c r="J68" s="5">
        <f t="shared" si="43"/>
        <v>2.0288655706656869E-3</v>
      </c>
      <c r="K68" s="1"/>
      <c r="L68" s="1">
        <f t="shared" si="44"/>
        <v>-1976.04</v>
      </c>
      <c r="M68" s="1"/>
      <c r="N68" s="5">
        <f t="shared" si="45"/>
        <v>-0.87439267224213457</v>
      </c>
      <c r="O68" s="14"/>
      <c r="P68" s="1">
        <f>SUM(OSRRefP22_8x_0)</f>
        <v>1316.61</v>
      </c>
      <c r="Q68" s="1"/>
      <c r="R68" s="5">
        <f t="shared" si="46"/>
        <v>7.763959955112551E-2</v>
      </c>
      <c r="S68" s="1"/>
      <c r="T68" s="1">
        <f>SUM(OSRRefT22_8x_0)</f>
        <v>6718.02</v>
      </c>
      <c r="U68" s="1"/>
      <c r="V68" s="5">
        <f t="shared" si="47"/>
        <v>3.6743361450672159E-3</v>
      </c>
      <c r="W68" s="1"/>
      <c r="X68" s="1">
        <f t="shared" si="48"/>
        <v>-5401.4100000000008</v>
      </c>
      <c r="Y68" s="1"/>
      <c r="Z68" s="5">
        <f t="shared" si="49"/>
        <v>-0.80401814820438167</v>
      </c>
    </row>
    <row r="69" spans="1:26" s="24" customFormat="1" hidden="1" outlineLevel="2" x14ac:dyDescent="0.25">
      <c r="A69" s="28"/>
      <c r="B69" s="11" t="str">
        <f>CONCATENATE("          ", "6351", " - ", "EQUIPMENT RENTAL")</f>
        <v xml:space="preserve">          6351 - EQUIPMENT RENTAL</v>
      </c>
      <c r="C69" s="11"/>
      <c r="D69" s="7">
        <v>283.86</v>
      </c>
      <c r="E69" s="2"/>
      <c r="F69" s="6">
        <f t="shared" si="42"/>
        <v>2.7189342651233898E-2</v>
      </c>
      <c r="G69" s="2"/>
      <c r="H69" s="7">
        <v>2259.9</v>
      </c>
      <c r="I69" s="2"/>
      <c r="J69" s="6">
        <f t="shared" si="43"/>
        <v>2.0288655706656869E-3</v>
      </c>
      <c r="K69" s="2"/>
      <c r="L69" s="7">
        <f t="shared" si="44"/>
        <v>-1976.04</v>
      </c>
      <c r="M69" s="2"/>
      <c r="N69" s="6">
        <f t="shared" si="45"/>
        <v>-0.87439267224213457</v>
      </c>
      <c r="O69" s="11"/>
      <c r="P69" s="7">
        <v>1316.61</v>
      </c>
      <c r="Q69" s="2"/>
      <c r="R69" s="6">
        <f t="shared" si="46"/>
        <v>7.763959955112551E-2</v>
      </c>
      <c r="S69" s="2"/>
      <c r="T69" s="7">
        <v>6718.02</v>
      </c>
      <c r="U69" s="2"/>
      <c r="V69" s="6">
        <f t="shared" si="47"/>
        <v>3.6743361450672159E-3</v>
      </c>
      <c r="W69" s="2"/>
      <c r="X69" s="7">
        <f t="shared" si="48"/>
        <v>-5401.4100000000008</v>
      </c>
      <c r="Y69" s="2"/>
      <c r="Z69" s="6">
        <f t="shared" si="49"/>
        <v>-0.80401814820438167</v>
      </c>
    </row>
    <row r="70" spans="1:26" s="27" customFormat="1" outlineLevel="1" collapsed="1" x14ac:dyDescent="0.25">
      <c r="A70" s="29"/>
      <c r="B70" s="14" t="str">
        <f>CONCATENATE("     ","Freight out/Postage                               ")</f>
        <v xml:space="preserve">     Freight out/Postage                               </v>
      </c>
      <c r="C70" s="14"/>
      <c r="D70" s="1">
        <f>SUM(OSRRefD22_9x_0)</f>
        <v>0.64999999999999947</v>
      </c>
      <c r="E70" s="1"/>
      <c r="F70" s="5">
        <f t="shared" si="42"/>
        <v>6.2259820768343618E-5</v>
      </c>
      <c r="G70" s="1"/>
      <c r="H70" s="1">
        <f>SUM(OSRRefH22_9x_0)</f>
        <v>28.87</v>
      </c>
      <c r="I70" s="1"/>
      <c r="J70" s="5">
        <f t="shared" si="43"/>
        <v>2.5918557911906891E-5</v>
      </c>
      <c r="K70" s="1"/>
      <c r="L70" s="1">
        <f t="shared" si="44"/>
        <v>-28.220000000000002</v>
      </c>
      <c r="M70" s="1"/>
      <c r="N70" s="5">
        <f t="shared" si="45"/>
        <v>-0.97748527883616221</v>
      </c>
      <c r="O70" s="14"/>
      <c r="P70" s="1">
        <f>SUM(OSRRefP22_9x_0)</f>
        <v>4.59</v>
      </c>
      <c r="Q70" s="1"/>
      <c r="R70" s="5">
        <f t="shared" si="46"/>
        <v>2.7066918976740727E-4</v>
      </c>
      <c r="S70" s="1"/>
      <c r="T70" s="1">
        <f>SUM(OSRRefT22_9x_0)</f>
        <v>145.52000000000001</v>
      </c>
      <c r="U70" s="1"/>
      <c r="V70" s="5">
        <f t="shared" si="47"/>
        <v>7.9590325100279734E-5</v>
      </c>
      <c r="W70" s="1"/>
      <c r="X70" s="1">
        <f t="shared" si="48"/>
        <v>-140.93</v>
      </c>
      <c r="Y70" s="1"/>
      <c r="Z70" s="5">
        <f t="shared" si="49"/>
        <v>-0.96845794392523366</v>
      </c>
    </row>
    <row r="71" spans="1:26" s="24" customFormat="1" hidden="1" outlineLevel="2" x14ac:dyDescent="0.25">
      <c r="A71" s="28"/>
      <c r="B71" s="11" t="str">
        <f>CONCATENATE("          ", "6305", " - ", "FREIGHT OUT")</f>
        <v xml:space="preserve">          6305 - FREIGHT OUT</v>
      </c>
      <c r="C71" s="11"/>
      <c r="D71" s="7">
        <v>6.06</v>
      </c>
      <c r="E71" s="2"/>
      <c r="F71" s="6">
        <f t="shared" si="42"/>
        <v>5.8045309824025012E-4</v>
      </c>
      <c r="G71" s="2"/>
      <c r="H71" s="7">
        <v>28.87</v>
      </c>
      <c r="I71" s="2"/>
      <c r="J71" s="6">
        <f t="shared" si="43"/>
        <v>2.5918557911906891E-5</v>
      </c>
      <c r="K71" s="2"/>
      <c r="L71" s="7">
        <f t="shared" si="44"/>
        <v>-22.810000000000002</v>
      </c>
      <c r="M71" s="2"/>
      <c r="N71" s="6">
        <f t="shared" si="45"/>
        <v>-0.79009352268791133</v>
      </c>
      <c r="O71" s="11"/>
      <c r="P71" s="7">
        <v>10</v>
      </c>
      <c r="Q71" s="2"/>
      <c r="R71" s="6">
        <f t="shared" si="46"/>
        <v>5.8969322389413356E-4</v>
      </c>
      <c r="S71" s="2"/>
      <c r="T71" s="7">
        <v>145.52000000000001</v>
      </c>
      <c r="U71" s="2"/>
      <c r="V71" s="6">
        <f t="shared" si="47"/>
        <v>7.9590325100279734E-5</v>
      </c>
      <c r="W71" s="2"/>
      <c r="X71" s="7">
        <f t="shared" si="48"/>
        <v>-135.52000000000001</v>
      </c>
      <c r="Y71" s="2"/>
      <c r="Z71" s="6">
        <f t="shared" si="49"/>
        <v>-0.93128092358438708</v>
      </c>
    </row>
    <row r="72" spans="1:26" s="24" customFormat="1" hidden="1" outlineLevel="2" x14ac:dyDescent="0.25">
      <c r="A72" s="28"/>
      <c r="B72" s="11" t="str">
        <f>CONCATENATE("          ", "6307", " - ", "POSTAGE")</f>
        <v xml:space="preserve">          6307 - POSTAGE</v>
      </c>
      <c r="C72" s="11"/>
      <c r="D72" s="7">
        <v>-5.41</v>
      </c>
      <c r="E72" s="2"/>
      <c r="F72" s="6">
        <f t="shared" si="42"/>
        <v>-5.1819327747190647E-4</v>
      </c>
      <c r="G72" s="2"/>
      <c r="H72" s="7"/>
      <c r="I72" s="2"/>
      <c r="J72" s="6">
        <f t="shared" si="43"/>
        <v>0</v>
      </c>
      <c r="K72" s="2"/>
      <c r="L72" s="7">
        <f t="shared" si="44"/>
        <v>-5.41</v>
      </c>
      <c r="M72" s="2"/>
      <c r="N72" s="6">
        <f t="shared" si="45"/>
        <v>0</v>
      </c>
      <c r="O72" s="11"/>
      <c r="P72" s="7">
        <v>-5.41</v>
      </c>
      <c r="Q72" s="2"/>
      <c r="R72" s="6">
        <f t="shared" si="46"/>
        <v>-3.1902403412672624E-4</v>
      </c>
      <c r="S72" s="2"/>
      <c r="T72" s="7"/>
      <c r="U72" s="2"/>
      <c r="V72" s="6">
        <f t="shared" si="47"/>
        <v>0</v>
      </c>
      <c r="W72" s="2"/>
      <c r="X72" s="7">
        <f t="shared" si="48"/>
        <v>-5.41</v>
      </c>
      <c r="Y72" s="2"/>
      <c r="Z72" s="6">
        <f t="shared" si="49"/>
        <v>0</v>
      </c>
    </row>
    <row r="73" spans="1:26" s="27" customFormat="1" outlineLevel="1" collapsed="1" x14ac:dyDescent="0.25">
      <c r="A73" s="29"/>
      <c r="B73" s="14" t="str">
        <f>CONCATENATE("     ","General                                           ")</f>
        <v xml:space="preserve">     General                                           </v>
      </c>
      <c r="C73" s="14"/>
      <c r="D73" s="1">
        <f>SUM(OSRRefD22_10x_0)</f>
        <v>550.52</v>
      </c>
      <c r="E73" s="1"/>
      <c r="F73" s="5">
        <f t="shared" ref="F73:F75" si="50">IF(D$12=0,0,D73/D$12)</f>
        <v>5.2731194660597773E-2</v>
      </c>
      <c r="G73" s="1"/>
      <c r="H73" s="1">
        <f>SUM(OSRRefH22_10x_0)</f>
        <v>7663.13</v>
      </c>
      <c r="I73" s="1"/>
      <c r="J73" s="5">
        <f t="shared" ref="J73:J75" si="51">IF(H$12=0,0,H73/H$12)</f>
        <v>6.879711766244234E-3</v>
      </c>
      <c r="K73" s="1"/>
      <c r="L73" s="1">
        <f t="shared" ref="L73:L75" si="52">+D73-H73</f>
        <v>-7112.6100000000006</v>
      </c>
      <c r="M73" s="1"/>
      <c r="N73" s="5">
        <f t="shared" ref="N73:N75" si="53">IF(H73=0,0,L73/H73)</f>
        <v>-0.92815990332931853</v>
      </c>
      <c r="O73" s="14"/>
      <c r="P73" s="1">
        <f>SUM(OSRRefP22_10x_0)</f>
        <v>5275.55</v>
      </c>
      <c r="Q73" s="1"/>
      <c r="R73" s="5">
        <f t="shared" ref="R73:R75" si="54">IF(P$12=0,0,P73/P$12)</f>
        <v>0.31109560873146963</v>
      </c>
      <c r="S73" s="1"/>
      <c r="T73" s="1">
        <f>SUM(OSRRefT22_10x_0)</f>
        <v>34282.649999999994</v>
      </c>
      <c r="U73" s="1"/>
      <c r="V73" s="5">
        <f t="shared" ref="V73:V75" si="55">IF(T$12=0,0,T73/T$12)</f>
        <v>1.8750462196255528E-2</v>
      </c>
      <c r="W73" s="1"/>
      <c r="X73" s="1">
        <f t="shared" ref="X73:X75" si="56">+P73-T73</f>
        <v>-29007.099999999995</v>
      </c>
      <c r="Y73" s="1"/>
      <c r="Z73" s="5">
        <f t="shared" ref="Z73:Z75" si="57">IF(T73=0,0,X73/T73)</f>
        <v>-0.84611603828758863</v>
      </c>
    </row>
    <row r="74" spans="1:26" s="24" customFormat="1" hidden="1" outlineLevel="2" x14ac:dyDescent="0.25">
      <c r="A74" s="28"/>
      <c r="B74" s="11" t="str">
        <f>CONCATENATE("          ", "6269", " - ", "ENTERTAINMENT")</f>
        <v xml:space="preserve">          6269 - ENTERTAINMENT</v>
      </c>
      <c r="C74" s="11"/>
      <c r="D74" s="7"/>
      <c r="E74" s="2"/>
      <c r="F74" s="6">
        <f t="shared" si="50"/>
        <v>0</v>
      </c>
      <c r="G74" s="2"/>
      <c r="H74" s="7">
        <v>1050</v>
      </c>
      <c r="I74" s="2"/>
      <c r="J74" s="6">
        <f t="shared" si="51"/>
        <v>9.426562454971332E-4</v>
      </c>
      <c r="K74" s="2"/>
      <c r="L74" s="7">
        <f t="shared" si="52"/>
        <v>-1050</v>
      </c>
      <c r="M74" s="2"/>
      <c r="N74" s="6">
        <f t="shared" si="53"/>
        <v>-1</v>
      </c>
      <c r="O74" s="11"/>
      <c r="P74" s="7"/>
      <c r="Q74" s="2"/>
      <c r="R74" s="6">
        <f t="shared" si="54"/>
        <v>0</v>
      </c>
      <c r="S74" s="2"/>
      <c r="T74" s="7">
        <v>3650</v>
      </c>
      <c r="U74" s="2"/>
      <c r="V74" s="6">
        <f t="shared" si="55"/>
        <v>1.9963213758660047E-3</v>
      </c>
      <c r="W74" s="2"/>
      <c r="X74" s="7">
        <f t="shared" si="56"/>
        <v>-3650</v>
      </c>
      <c r="Y74" s="2"/>
      <c r="Z74" s="6">
        <f t="shared" si="57"/>
        <v>-1</v>
      </c>
    </row>
    <row r="75" spans="1:26" s="24" customFormat="1" hidden="1" outlineLevel="2" x14ac:dyDescent="0.25">
      <c r="A75" s="28"/>
      <c r="B75" s="11" t="str">
        <f>CONCATENATE("          ", "6279", " - ", "GENERAL EXPENSE")</f>
        <v xml:space="preserve">          6279 - GENERAL EXPENSE</v>
      </c>
      <c r="C75" s="11"/>
      <c r="D75" s="7">
        <v>550.52</v>
      </c>
      <c r="E75" s="2"/>
      <c r="F75" s="6">
        <f t="shared" si="50"/>
        <v>5.2731194660597773E-2</v>
      </c>
      <c r="G75" s="2"/>
      <c r="H75" s="7">
        <v>6613.13</v>
      </c>
      <c r="I75" s="2"/>
      <c r="J75" s="6">
        <f t="shared" si="51"/>
        <v>5.9370555207471009E-3</v>
      </c>
      <c r="K75" s="2"/>
      <c r="L75" s="7">
        <f t="shared" si="52"/>
        <v>-6062.6100000000006</v>
      </c>
      <c r="M75" s="2"/>
      <c r="N75" s="6">
        <f t="shared" si="53"/>
        <v>-0.9167534888925517</v>
      </c>
      <c r="O75" s="11"/>
      <c r="P75" s="7">
        <v>5275.55</v>
      </c>
      <c r="Q75" s="2"/>
      <c r="R75" s="6">
        <f t="shared" si="54"/>
        <v>0.31109560873146963</v>
      </c>
      <c r="S75" s="2"/>
      <c r="T75" s="7">
        <v>30632.649999999998</v>
      </c>
      <c r="U75" s="2"/>
      <c r="V75" s="6">
        <f t="shared" si="55"/>
        <v>1.6754140820389524E-2</v>
      </c>
      <c r="W75" s="2"/>
      <c r="X75" s="7">
        <f t="shared" si="56"/>
        <v>-25357.1</v>
      </c>
      <c r="Y75" s="2"/>
      <c r="Z75" s="6">
        <f t="shared" si="57"/>
        <v>-0.82778016266956989</v>
      </c>
    </row>
    <row r="76" spans="1:26" s="27" customFormat="1" outlineLevel="1" collapsed="1" x14ac:dyDescent="0.25">
      <c r="A76" s="29"/>
      <c r="B76" s="14" t="str">
        <f>CONCATENATE("     ","Insurance                                         ")</f>
        <v xml:space="preserve">     Insurance                                         </v>
      </c>
      <c r="C76" s="14"/>
      <c r="D76" s="1">
        <f>SUM(OSRRefD22_11x_0)</f>
        <v>4483.67</v>
      </c>
      <c r="E76" s="1"/>
      <c r="F76" s="5">
        <f t="shared" ref="F76:F87" si="58">IF(D$12=0,0,D76/D$12)</f>
        <v>0.42946537012984531</v>
      </c>
      <c r="G76" s="1"/>
      <c r="H76" s="1">
        <f>SUM(OSRRefH22_11x_0)</f>
        <v>4483.67</v>
      </c>
      <c r="I76" s="1"/>
      <c r="J76" s="5">
        <f t="shared" ref="J76:J87" si="59">IF(H$12=0,0,H76/H$12)</f>
        <v>4.0252947888077435E-3</v>
      </c>
      <c r="K76" s="1"/>
      <c r="L76" s="1">
        <f t="shared" ref="L76:L87" si="60">+D76-H76</f>
        <v>0</v>
      </c>
      <c r="M76" s="1"/>
      <c r="N76" s="5">
        <f t="shared" ref="N76:N87" si="61">IF(H76=0,0,L76/H76)</f>
        <v>0</v>
      </c>
      <c r="O76" s="14"/>
      <c r="P76" s="1">
        <f>SUM(OSRRefP22_11x_0)</f>
        <v>13451.01</v>
      </c>
      <c r="Q76" s="1"/>
      <c r="R76" s="5">
        <f t="shared" ref="R76:R87" si="62">IF(P$12=0,0,P76/P$12)</f>
        <v>0.79319694515322292</v>
      </c>
      <c r="S76" s="1"/>
      <c r="T76" s="1">
        <f>SUM(OSRRefT22_11x_0)</f>
        <v>13451.01</v>
      </c>
      <c r="U76" s="1"/>
      <c r="V76" s="5">
        <f t="shared" ref="V76:V87" si="63">IF(T$12=0,0,T76/T$12)</f>
        <v>7.3568599424622986E-3</v>
      </c>
      <c r="W76" s="1"/>
      <c r="X76" s="1">
        <f t="shared" ref="X76:X87" si="64">+P76-T76</f>
        <v>0</v>
      </c>
      <c r="Y76" s="1"/>
      <c r="Z76" s="5">
        <f t="shared" ref="Z76:Z87" si="65">IF(T76=0,0,X76/T76)</f>
        <v>0</v>
      </c>
    </row>
    <row r="77" spans="1:26" s="24" customFormat="1" hidden="1" outlineLevel="2" x14ac:dyDescent="0.25">
      <c r="A77" s="28"/>
      <c r="B77" s="11" t="str">
        <f>CONCATENATE("          ", "6314", " - ", "LIABILITY INSURANCE")</f>
        <v xml:space="preserve">          6314 - LIABILITY INSURANCE</v>
      </c>
      <c r="C77" s="11"/>
      <c r="D77" s="7">
        <v>4483.67</v>
      </c>
      <c r="E77" s="2"/>
      <c r="F77" s="6">
        <f t="shared" si="58"/>
        <v>0.42946537012984531</v>
      </c>
      <c r="G77" s="2"/>
      <c r="H77" s="7">
        <v>4483.67</v>
      </c>
      <c r="I77" s="2"/>
      <c r="J77" s="6">
        <f t="shared" si="59"/>
        <v>4.0252947888077435E-3</v>
      </c>
      <c r="K77" s="2"/>
      <c r="L77" s="7">
        <f t="shared" si="60"/>
        <v>0</v>
      </c>
      <c r="M77" s="2"/>
      <c r="N77" s="6">
        <f t="shared" si="61"/>
        <v>0</v>
      </c>
      <c r="O77" s="11"/>
      <c r="P77" s="7">
        <v>13451.01</v>
      </c>
      <c r="Q77" s="2"/>
      <c r="R77" s="6">
        <f t="shared" si="62"/>
        <v>0.79319694515322292</v>
      </c>
      <c r="S77" s="2"/>
      <c r="T77" s="7">
        <v>13451.01</v>
      </c>
      <c r="U77" s="2"/>
      <c r="V77" s="6">
        <f t="shared" si="63"/>
        <v>7.3568599424622986E-3</v>
      </c>
      <c r="W77" s="2"/>
      <c r="X77" s="7">
        <f t="shared" si="64"/>
        <v>0</v>
      </c>
      <c r="Y77" s="2"/>
      <c r="Z77" s="6">
        <f t="shared" si="65"/>
        <v>0</v>
      </c>
    </row>
    <row r="78" spans="1:26" s="27" customFormat="1" outlineLevel="1" collapsed="1" x14ac:dyDescent="0.25">
      <c r="A78" s="29"/>
      <c r="B78" s="14" t="str">
        <f>CONCATENATE("     ","Interest                                          ")</f>
        <v xml:space="preserve">     Interest                                          </v>
      </c>
      <c r="C78" s="14"/>
      <c r="D78" s="1">
        <f>SUM(OSRRefD22_12x_0)</f>
        <v>11554</v>
      </c>
      <c r="E78" s="1"/>
      <c r="F78" s="5">
        <f t="shared" si="58"/>
        <v>1.1066922602422196</v>
      </c>
      <c r="G78" s="1"/>
      <c r="H78" s="1">
        <f>SUM(OSRRefH22_12x_0)</f>
        <v>11740</v>
      </c>
      <c r="I78" s="1"/>
      <c r="J78" s="5">
        <f t="shared" si="59"/>
        <v>1.0539794592510802E-2</v>
      </c>
      <c r="K78" s="1"/>
      <c r="L78" s="1">
        <f t="shared" si="60"/>
        <v>-186</v>
      </c>
      <c r="M78" s="1"/>
      <c r="N78" s="5">
        <f t="shared" si="61"/>
        <v>-1.5843270868824533E-2</v>
      </c>
      <c r="O78" s="14"/>
      <c r="P78" s="1">
        <f>SUM(OSRRefP22_12x_0)</f>
        <v>34662</v>
      </c>
      <c r="Q78" s="1"/>
      <c r="R78" s="5">
        <f t="shared" si="62"/>
        <v>2.0439946526618455</v>
      </c>
      <c r="S78" s="1"/>
      <c r="T78" s="1">
        <f>SUM(OSRRefT22_12x_0)</f>
        <v>35220</v>
      </c>
      <c r="U78" s="1"/>
      <c r="V78" s="5">
        <f t="shared" si="63"/>
        <v>1.9263133933698818E-2</v>
      </c>
      <c r="W78" s="1"/>
      <c r="X78" s="1">
        <f t="shared" si="64"/>
        <v>-558</v>
      </c>
      <c r="Y78" s="1"/>
      <c r="Z78" s="5">
        <f t="shared" si="65"/>
        <v>-1.5843270868824533E-2</v>
      </c>
    </row>
    <row r="79" spans="1:26" s="24" customFormat="1" hidden="1" outlineLevel="2" x14ac:dyDescent="0.25">
      <c r="A79" s="28"/>
      <c r="B79" s="11" t="str">
        <f>CONCATENATE("          ", "6401", " - ", "INTEREST EXPENSE")</f>
        <v xml:space="preserve">          6401 - INTEREST EXPENSE</v>
      </c>
      <c r="C79" s="11"/>
      <c r="D79" s="7">
        <v>11554</v>
      </c>
      <c r="E79" s="2"/>
      <c r="F79" s="6">
        <f t="shared" si="58"/>
        <v>1.1066922602422196</v>
      </c>
      <c r="G79" s="2"/>
      <c r="H79" s="7">
        <v>11740</v>
      </c>
      <c r="I79" s="2"/>
      <c r="J79" s="6">
        <f t="shared" si="59"/>
        <v>1.0539794592510802E-2</v>
      </c>
      <c r="K79" s="2"/>
      <c r="L79" s="7">
        <f t="shared" si="60"/>
        <v>-186</v>
      </c>
      <c r="M79" s="2"/>
      <c r="N79" s="6">
        <f t="shared" si="61"/>
        <v>-1.5843270868824533E-2</v>
      </c>
      <c r="O79" s="11"/>
      <c r="P79" s="7">
        <v>34662</v>
      </c>
      <c r="Q79" s="2"/>
      <c r="R79" s="6">
        <f t="shared" si="62"/>
        <v>2.0439946526618455</v>
      </c>
      <c r="S79" s="2"/>
      <c r="T79" s="7">
        <v>35220</v>
      </c>
      <c r="U79" s="2"/>
      <c r="V79" s="6">
        <f t="shared" si="63"/>
        <v>1.9263133933698818E-2</v>
      </c>
      <c r="W79" s="2"/>
      <c r="X79" s="7">
        <f t="shared" si="64"/>
        <v>-558</v>
      </c>
      <c r="Y79" s="2"/>
      <c r="Z79" s="6">
        <f t="shared" si="65"/>
        <v>-1.5843270868824533E-2</v>
      </c>
    </row>
    <row r="80" spans="1:26" s="27" customFormat="1" outlineLevel="1" collapsed="1" x14ac:dyDescent="0.25">
      <c r="A80" s="29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SUM(OSRRefD22_13x_0)</f>
        <v>0</v>
      </c>
      <c r="E80" s="1"/>
      <c r="F80" s="5">
        <f t="shared" si="58"/>
        <v>0</v>
      </c>
      <c r="G80" s="1"/>
      <c r="H80" s="1">
        <f>SUM(OSRRefH22_13x_0)</f>
        <v>0</v>
      </c>
      <c r="I80" s="1"/>
      <c r="J80" s="5">
        <f t="shared" si="59"/>
        <v>0</v>
      </c>
      <c r="K80" s="1"/>
      <c r="L80" s="1">
        <f t="shared" si="60"/>
        <v>0</v>
      </c>
      <c r="M80" s="1"/>
      <c r="N80" s="5">
        <f t="shared" si="61"/>
        <v>0</v>
      </c>
      <c r="O80" s="14"/>
      <c r="P80" s="1">
        <f>SUM(OSRRefP22_13x_0)</f>
        <v>0</v>
      </c>
      <c r="Q80" s="1"/>
      <c r="R80" s="5">
        <f t="shared" si="62"/>
        <v>0</v>
      </c>
      <c r="S80" s="1"/>
      <c r="T80" s="1">
        <f>SUM(OSRRefT22_13x_0)</f>
        <v>125</v>
      </c>
      <c r="U80" s="1"/>
      <c r="V80" s="5">
        <f t="shared" si="63"/>
        <v>6.8367170406370022E-5</v>
      </c>
      <c r="W80" s="1"/>
      <c r="X80" s="1">
        <f t="shared" si="64"/>
        <v>-125</v>
      </c>
      <c r="Y80" s="1"/>
      <c r="Z80" s="5">
        <f t="shared" si="65"/>
        <v>-1</v>
      </c>
    </row>
    <row r="81" spans="1:26" s="24" customFormat="1" hidden="1" outlineLevel="2" x14ac:dyDescent="0.25">
      <c r="A81" s="28"/>
      <c r="B81" s="11" t="str">
        <f>CONCATENATE("          ", "6336", " - ", "PROFESSIONAL SERVICES")</f>
        <v xml:space="preserve">          6336 - PROFESSIONAL SERVICES</v>
      </c>
      <c r="C81" s="11"/>
      <c r="D81" s="7"/>
      <c r="E81" s="2"/>
      <c r="F81" s="6">
        <f t="shared" si="58"/>
        <v>0</v>
      </c>
      <c r="G81" s="2"/>
      <c r="H81" s="7"/>
      <c r="I81" s="2"/>
      <c r="J81" s="6">
        <f t="shared" si="59"/>
        <v>0</v>
      </c>
      <c r="K81" s="2"/>
      <c r="L81" s="7">
        <f t="shared" si="60"/>
        <v>0</v>
      </c>
      <c r="M81" s="2"/>
      <c r="N81" s="6">
        <f t="shared" si="61"/>
        <v>0</v>
      </c>
      <c r="O81" s="11"/>
      <c r="P81" s="7"/>
      <c r="Q81" s="2"/>
      <c r="R81" s="6">
        <f t="shared" si="62"/>
        <v>0</v>
      </c>
      <c r="S81" s="2"/>
      <c r="T81" s="7">
        <v>125</v>
      </c>
      <c r="U81" s="2"/>
      <c r="V81" s="6">
        <f t="shared" si="63"/>
        <v>6.8367170406370022E-5</v>
      </c>
      <c r="W81" s="2"/>
      <c r="X81" s="7">
        <f t="shared" si="64"/>
        <v>-125</v>
      </c>
      <c r="Y81" s="2"/>
      <c r="Z81" s="6">
        <f t="shared" si="65"/>
        <v>-1</v>
      </c>
    </row>
    <row r="82" spans="1:26" s="27" customFormat="1" outlineLevel="1" collapsed="1" x14ac:dyDescent="0.25">
      <c r="A82" s="29"/>
      <c r="B82" s="14" t="str">
        <f>CONCATENATE("     ","Rent                                              ")</f>
        <v xml:space="preserve">     Rent                                              </v>
      </c>
      <c r="C82" s="14"/>
      <c r="D82" s="1">
        <f>SUM(OSRRefD22_14x_0)</f>
        <v>5550</v>
      </c>
      <c r="E82" s="1"/>
      <c r="F82" s="5">
        <f t="shared" si="58"/>
        <v>0.53160308502201126</v>
      </c>
      <c r="G82" s="1"/>
      <c r="H82" s="1">
        <f>SUM(OSRRefH22_14x_0)</f>
        <v>3000</v>
      </c>
      <c r="I82" s="1"/>
      <c r="J82" s="5">
        <f t="shared" si="59"/>
        <v>2.6933035585632375E-3</v>
      </c>
      <c r="K82" s="1"/>
      <c r="L82" s="1">
        <f t="shared" si="60"/>
        <v>2550</v>
      </c>
      <c r="M82" s="1"/>
      <c r="N82" s="5">
        <f t="shared" si="61"/>
        <v>0.85</v>
      </c>
      <c r="O82" s="14"/>
      <c r="P82" s="1">
        <f>SUM(OSRRefP22_14x_0)</f>
        <v>5550</v>
      </c>
      <c r="Q82" s="1"/>
      <c r="R82" s="5">
        <f t="shared" si="62"/>
        <v>0.3272797392612441</v>
      </c>
      <c r="S82" s="1"/>
      <c r="T82" s="1">
        <f>SUM(OSRRefT22_14x_0)</f>
        <v>9000</v>
      </c>
      <c r="U82" s="1"/>
      <c r="V82" s="5">
        <f t="shared" si="63"/>
        <v>4.9224362692586419E-3</v>
      </c>
      <c r="W82" s="1"/>
      <c r="X82" s="1">
        <f t="shared" si="64"/>
        <v>-3450</v>
      </c>
      <c r="Y82" s="1"/>
      <c r="Z82" s="5">
        <f t="shared" si="65"/>
        <v>-0.38333333333333336</v>
      </c>
    </row>
    <row r="83" spans="1:26" s="24" customFormat="1" hidden="1" outlineLevel="2" x14ac:dyDescent="0.25">
      <c r="A83" s="28"/>
      <c r="B83" s="11" t="str">
        <f>CONCATENATE("          ", "6273", " - ", "RENT")</f>
        <v xml:space="preserve">          6273 - RENT</v>
      </c>
      <c r="C83" s="11"/>
      <c r="D83" s="7">
        <v>5550</v>
      </c>
      <c r="E83" s="2"/>
      <c r="F83" s="6">
        <f t="shared" si="58"/>
        <v>0.53160308502201126</v>
      </c>
      <c r="G83" s="2"/>
      <c r="H83" s="7">
        <v>3000</v>
      </c>
      <c r="I83" s="2"/>
      <c r="J83" s="6">
        <f t="shared" si="59"/>
        <v>2.6933035585632375E-3</v>
      </c>
      <c r="K83" s="2"/>
      <c r="L83" s="7">
        <f t="shared" si="60"/>
        <v>2550</v>
      </c>
      <c r="M83" s="2"/>
      <c r="N83" s="6">
        <f t="shared" si="61"/>
        <v>0.85</v>
      </c>
      <c r="O83" s="11"/>
      <c r="P83" s="7">
        <v>5550</v>
      </c>
      <c r="Q83" s="2"/>
      <c r="R83" s="6">
        <f t="shared" si="62"/>
        <v>0.3272797392612441</v>
      </c>
      <c r="S83" s="2"/>
      <c r="T83" s="7">
        <v>9000</v>
      </c>
      <c r="U83" s="2"/>
      <c r="V83" s="6">
        <f t="shared" si="63"/>
        <v>4.9224362692586419E-3</v>
      </c>
      <c r="W83" s="2"/>
      <c r="X83" s="7">
        <f t="shared" si="64"/>
        <v>-3450</v>
      </c>
      <c r="Y83" s="2"/>
      <c r="Z83" s="6">
        <f t="shared" si="65"/>
        <v>-0.38333333333333336</v>
      </c>
    </row>
    <row r="84" spans="1:26" s="27" customFormat="1" outlineLevel="1" collapsed="1" x14ac:dyDescent="0.25">
      <c r="A84" s="29"/>
      <c r="B84" s="14" t="str">
        <f>CONCATENATE("     ","Repair and Maintenance                            ")</f>
        <v xml:space="preserve">     Repair and Maintenance                            </v>
      </c>
      <c r="C84" s="14"/>
      <c r="D84" s="1">
        <f>SUM(OSRRefD22_15x_0)</f>
        <v>3137.59</v>
      </c>
      <c r="E84" s="1"/>
      <c r="F84" s="5">
        <f t="shared" si="58"/>
        <v>0.30053198622238064</v>
      </c>
      <c r="G84" s="1"/>
      <c r="H84" s="1">
        <f>SUM(OSRRefH22_15x_0)</f>
        <v>37760.800000000003</v>
      </c>
      <c r="I84" s="1"/>
      <c r="J84" s="5">
        <f t="shared" si="59"/>
        <v>3.3900432338064904E-2</v>
      </c>
      <c r="K84" s="1"/>
      <c r="L84" s="1">
        <f t="shared" si="60"/>
        <v>-34623.210000000006</v>
      </c>
      <c r="M84" s="1"/>
      <c r="N84" s="5">
        <f t="shared" si="61"/>
        <v>-0.91690880489820137</v>
      </c>
      <c r="O84" s="14"/>
      <c r="P84" s="1">
        <f>SUM(OSRRefP22_15x_0)</f>
        <v>12094.46</v>
      </c>
      <c r="Q84" s="1"/>
      <c r="R84" s="5">
        <f t="shared" si="62"/>
        <v>0.71320211086586416</v>
      </c>
      <c r="S84" s="1"/>
      <c r="T84" s="1">
        <f>SUM(OSRRefT22_15x_0)</f>
        <v>88563.41</v>
      </c>
      <c r="U84" s="1"/>
      <c r="V84" s="5">
        <f t="shared" si="63"/>
        <v>4.8438637945913722E-2</v>
      </c>
      <c r="W84" s="1"/>
      <c r="X84" s="1">
        <f t="shared" si="64"/>
        <v>-76468.950000000012</v>
      </c>
      <c r="Y84" s="1"/>
      <c r="Z84" s="5">
        <f t="shared" si="65"/>
        <v>-0.86343728183004709</v>
      </c>
    </row>
    <row r="85" spans="1:26" s="24" customFormat="1" hidden="1" outlineLevel="2" x14ac:dyDescent="0.25">
      <c r="A85" s="28"/>
      <c r="B85" s="11" t="str">
        <f>CONCATENATE("          ", "6371", " - ", "COMPUTER SOFTWARE MAINTENANCE")</f>
        <v xml:space="preserve">          6371 - COMPUTER SOFTWARE MAINTENANCE</v>
      </c>
      <c r="C85" s="11"/>
      <c r="D85" s="7"/>
      <c r="E85" s="2"/>
      <c r="F85" s="6">
        <f t="shared" si="58"/>
        <v>0</v>
      </c>
      <c r="G85" s="2"/>
      <c r="H85" s="7">
        <v>12244.62</v>
      </c>
      <c r="I85" s="2"/>
      <c r="J85" s="6">
        <f t="shared" si="59"/>
        <v>1.0992826206418197E-2</v>
      </c>
      <c r="K85" s="2"/>
      <c r="L85" s="7">
        <f t="shared" si="60"/>
        <v>-12244.62</v>
      </c>
      <c r="M85" s="2"/>
      <c r="N85" s="6">
        <f t="shared" si="61"/>
        <v>-1</v>
      </c>
      <c r="O85" s="11"/>
      <c r="P85" s="7"/>
      <c r="Q85" s="2"/>
      <c r="R85" s="6">
        <f t="shared" si="62"/>
        <v>0</v>
      </c>
      <c r="S85" s="2"/>
      <c r="T85" s="7">
        <v>12244.62</v>
      </c>
      <c r="U85" s="2"/>
      <c r="V85" s="6">
        <f t="shared" si="63"/>
        <v>6.6970401768099725E-3</v>
      </c>
      <c r="W85" s="2"/>
      <c r="X85" s="7">
        <f t="shared" si="64"/>
        <v>-12244.62</v>
      </c>
      <c r="Y85" s="2"/>
      <c r="Z85" s="6">
        <f t="shared" si="65"/>
        <v>-1</v>
      </c>
    </row>
    <row r="86" spans="1:26" s="24" customFormat="1" hidden="1" outlineLevel="2" x14ac:dyDescent="0.25">
      <c r="A86" s="28"/>
      <c r="B86" s="11" t="str">
        <f>CONCATENATE("          ", "6373", " - ", "MAINTENANCE CONTRACTS")</f>
        <v xml:space="preserve">          6373 - MAINTENANCE CONTRACTS</v>
      </c>
      <c r="C86" s="11"/>
      <c r="D86" s="7">
        <v>1958.21</v>
      </c>
      <c r="E86" s="2"/>
      <c r="F86" s="6">
        <f t="shared" si="58"/>
        <v>0.18756585173350501</v>
      </c>
      <c r="G86" s="2"/>
      <c r="H86" s="7">
        <v>8717.31</v>
      </c>
      <c r="I86" s="2"/>
      <c r="J86" s="6">
        <f t="shared" si="59"/>
        <v>7.8261206813662991E-3</v>
      </c>
      <c r="K86" s="2"/>
      <c r="L86" s="7">
        <f t="shared" si="60"/>
        <v>-6759.0999999999995</v>
      </c>
      <c r="M86" s="2"/>
      <c r="N86" s="6">
        <f t="shared" si="61"/>
        <v>-0.77536533632508187</v>
      </c>
      <c r="O86" s="11"/>
      <c r="P86" s="7">
        <v>6352.86</v>
      </c>
      <c r="Q86" s="2"/>
      <c r="R86" s="6">
        <f t="shared" si="62"/>
        <v>0.37462384943480848</v>
      </c>
      <c r="S86" s="2"/>
      <c r="T86" s="7">
        <v>24808.510000000002</v>
      </c>
      <c r="U86" s="2"/>
      <c r="V86" s="6">
        <f t="shared" si="63"/>
        <v>1.356870104558508E-2</v>
      </c>
      <c r="W86" s="2"/>
      <c r="X86" s="7">
        <f t="shared" si="64"/>
        <v>-18455.650000000001</v>
      </c>
      <c r="Y86" s="2"/>
      <c r="Z86" s="6">
        <f t="shared" si="65"/>
        <v>-0.74392416150748275</v>
      </c>
    </row>
    <row r="87" spans="1:26" s="24" customFormat="1" hidden="1" outlineLevel="2" x14ac:dyDescent="0.25">
      <c r="A87" s="28"/>
      <c r="B87" s="11" t="str">
        <f>CONCATENATE("          ", "6375", " - ", "OUTSIDE REPAIRS &amp; MAINTENANCE")</f>
        <v xml:space="preserve">          6375 - OUTSIDE REPAIRS &amp; MAINTENANCE</v>
      </c>
      <c r="C87" s="11"/>
      <c r="D87" s="7">
        <v>1179.3800000000001</v>
      </c>
      <c r="E87" s="2"/>
      <c r="F87" s="6">
        <f t="shared" si="58"/>
        <v>0.11296613448887563</v>
      </c>
      <c r="G87" s="2"/>
      <c r="H87" s="7">
        <v>16798.870000000003</v>
      </c>
      <c r="I87" s="2"/>
      <c r="J87" s="6">
        <f t="shared" si="59"/>
        <v>1.5081485450280407E-2</v>
      </c>
      <c r="K87" s="2"/>
      <c r="L87" s="7">
        <f t="shared" si="60"/>
        <v>-15619.490000000002</v>
      </c>
      <c r="M87" s="2"/>
      <c r="N87" s="6">
        <f t="shared" si="61"/>
        <v>-0.92979408734039848</v>
      </c>
      <c r="O87" s="11"/>
      <c r="P87" s="7">
        <v>5741.6</v>
      </c>
      <c r="Q87" s="2"/>
      <c r="R87" s="6">
        <f t="shared" si="62"/>
        <v>0.33857826143105574</v>
      </c>
      <c r="S87" s="2"/>
      <c r="T87" s="7">
        <v>51510.28</v>
      </c>
      <c r="U87" s="2"/>
      <c r="V87" s="6">
        <f t="shared" si="63"/>
        <v>2.8172896723518668E-2</v>
      </c>
      <c r="W87" s="2"/>
      <c r="X87" s="7">
        <f t="shared" si="64"/>
        <v>-45768.68</v>
      </c>
      <c r="Y87" s="2"/>
      <c r="Z87" s="6">
        <f t="shared" si="65"/>
        <v>-0.88853487109757512</v>
      </c>
    </row>
    <row r="88" spans="1:26" s="27" customFormat="1" outlineLevel="1" collapsed="1" x14ac:dyDescent="0.25">
      <c r="A88" s="29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1">
        <f>SUM(OSRRefD22_16x_0)</f>
        <v>0</v>
      </c>
      <c r="E88" s="1"/>
      <c r="F88" s="5">
        <f t="shared" ref="F88:F90" si="66">IF(D$12=0,0,D88/D$12)</f>
        <v>0</v>
      </c>
      <c r="G88" s="1"/>
      <c r="H88" s="1">
        <f>SUM(OSRRefH22_16x_0)</f>
        <v>32235.18</v>
      </c>
      <c r="I88" s="1"/>
      <c r="J88" s="5">
        <f t="shared" ref="J88:J90" si="67">IF(H$12=0,0,H88/H$12)</f>
        <v>2.89397083349755E-2</v>
      </c>
      <c r="K88" s="1"/>
      <c r="L88" s="1">
        <f t="shared" ref="L88:L90" si="68">+D88-H88</f>
        <v>-32235.18</v>
      </c>
      <c r="M88" s="1"/>
      <c r="N88" s="5">
        <f t="shared" ref="N88:N90" si="69">IF(H88=0,0,L88/H88)</f>
        <v>-1</v>
      </c>
      <c r="O88" s="14"/>
      <c r="P88" s="1">
        <f>SUM(OSRRefP22_16x_0)</f>
        <v>0</v>
      </c>
      <c r="Q88" s="1"/>
      <c r="R88" s="5">
        <f t="shared" ref="R88:R90" si="70">IF(P$12=0,0,P88/P$12)</f>
        <v>0</v>
      </c>
      <c r="S88" s="1"/>
      <c r="T88" s="1">
        <f>SUM(OSRRefT22_16x_0)</f>
        <v>65937.22</v>
      </c>
      <c r="U88" s="1"/>
      <c r="V88" s="5">
        <f t="shared" ref="V88:V90" si="71">IF(T$12=0,0,T88/T$12)</f>
        <v>3.6063529246898478E-2</v>
      </c>
      <c r="W88" s="1"/>
      <c r="X88" s="1">
        <f t="shared" ref="X88:X90" si="72">+P88-T88</f>
        <v>-65937.22</v>
      </c>
      <c r="Y88" s="1"/>
      <c r="Z88" s="5">
        <f t="shared" ref="Z88:Z90" si="73">IF(T88=0,0,X88/T88)</f>
        <v>-1</v>
      </c>
    </row>
    <row r="89" spans="1:26" s="24" customFormat="1" hidden="1" outlineLevel="2" x14ac:dyDescent="0.25">
      <c r="A89" s="28"/>
      <c r="B89" s="11" t="str">
        <f>CONCATENATE("          ", "6254", " - ", "ROYALTY &amp; COMMISSIONS")</f>
        <v xml:space="preserve">          6254 - ROYALTY &amp; COMMISSIONS</v>
      </c>
      <c r="C89" s="11"/>
      <c r="D89" s="7"/>
      <c r="E89" s="2"/>
      <c r="F89" s="6">
        <f t="shared" si="66"/>
        <v>0</v>
      </c>
      <c r="G89" s="2"/>
      <c r="H89" s="7">
        <v>15487.42</v>
      </c>
      <c r="I89" s="2"/>
      <c r="J89" s="6">
        <f t="shared" si="67"/>
        <v>1.3904107799654486E-2</v>
      </c>
      <c r="K89" s="2"/>
      <c r="L89" s="7">
        <f t="shared" si="68"/>
        <v>-15487.42</v>
      </c>
      <c r="M89" s="2"/>
      <c r="N89" s="6">
        <f t="shared" si="69"/>
        <v>-1</v>
      </c>
      <c r="O89" s="11"/>
      <c r="P89" s="7"/>
      <c r="Q89" s="2"/>
      <c r="R89" s="6">
        <f t="shared" si="70"/>
        <v>0</v>
      </c>
      <c r="S89" s="2"/>
      <c r="T89" s="7">
        <v>40331.06</v>
      </c>
      <c r="U89" s="2"/>
      <c r="V89" s="6">
        <f t="shared" si="71"/>
        <v>2.2058563613516269E-2</v>
      </c>
      <c r="W89" s="2"/>
      <c r="X89" s="7">
        <f t="shared" si="72"/>
        <v>-40331.06</v>
      </c>
      <c r="Y89" s="2"/>
      <c r="Z89" s="6">
        <f t="shared" si="73"/>
        <v>-1</v>
      </c>
    </row>
    <row r="90" spans="1:26" s="24" customFormat="1" hidden="1" outlineLevel="2" x14ac:dyDescent="0.25">
      <c r="A90" s="28"/>
      <c r="B90" s="11" t="str">
        <f>CONCATENATE("          ", "6259", " - ", "ROYALTY &amp; COMMISSIONS")</f>
        <v xml:space="preserve">          6259 - ROYALTY &amp; COMMISSIONS</v>
      </c>
      <c r="C90" s="11"/>
      <c r="D90" s="7"/>
      <c r="E90" s="2"/>
      <c r="F90" s="6">
        <f t="shared" si="66"/>
        <v>0</v>
      </c>
      <c r="G90" s="2"/>
      <c r="H90" s="7">
        <v>16747.759999999998</v>
      </c>
      <c r="I90" s="2"/>
      <c r="J90" s="6">
        <f t="shared" si="67"/>
        <v>1.5035600535321015E-2</v>
      </c>
      <c r="K90" s="2"/>
      <c r="L90" s="7">
        <f t="shared" si="68"/>
        <v>-16747.759999999998</v>
      </c>
      <c r="M90" s="2"/>
      <c r="N90" s="6">
        <f t="shared" si="69"/>
        <v>-1</v>
      </c>
      <c r="O90" s="11"/>
      <c r="P90" s="7"/>
      <c r="Q90" s="2"/>
      <c r="R90" s="6">
        <f t="shared" si="70"/>
        <v>0</v>
      </c>
      <c r="S90" s="2"/>
      <c r="T90" s="7">
        <v>25606.16</v>
      </c>
      <c r="U90" s="2"/>
      <c r="V90" s="6">
        <f t="shared" si="71"/>
        <v>1.4004965633382207E-2</v>
      </c>
      <c r="W90" s="2"/>
      <c r="X90" s="7">
        <f t="shared" si="72"/>
        <v>-25606.16</v>
      </c>
      <c r="Y90" s="2"/>
      <c r="Z90" s="6">
        <f t="shared" si="73"/>
        <v>-1</v>
      </c>
    </row>
    <row r="91" spans="1:26" s="27" customFormat="1" outlineLevel="1" collapsed="1" x14ac:dyDescent="0.25">
      <c r="A91" s="29"/>
      <c r="B91" s="14" t="str">
        <f>CONCATENATE("     ","Services                                          ")</f>
        <v xml:space="preserve">     Services                                          </v>
      </c>
      <c r="C91" s="14"/>
      <c r="D91" s="1">
        <f>SUM(OSRRefD22_17x_0)</f>
        <v>4172.68</v>
      </c>
      <c r="E91" s="1"/>
      <c r="F91" s="5">
        <f t="shared" ref="F91:F96" si="74">IF(D$12=0,0,D91/D$12)</f>
        <v>0.39967739834408039</v>
      </c>
      <c r="G91" s="1"/>
      <c r="H91" s="1">
        <f>SUM(OSRRefH22_17x_0)</f>
        <v>20964.509999999998</v>
      </c>
      <c r="I91" s="1"/>
      <c r="J91" s="5">
        <f t="shared" ref="J91:J96" si="75">IF(H$12=0,0,H91/H$12)</f>
        <v>1.882126312884486E-2</v>
      </c>
      <c r="K91" s="1"/>
      <c r="L91" s="1">
        <f t="shared" ref="L91:L96" si="76">+D91-H91</f>
        <v>-16791.829999999998</v>
      </c>
      <c r="M91" s="1"/>
      <c r="N91" s="5">
        <f t="shared" ref="N91:N96" si="77">IF(H91=0,0,L91/H91)</f>
        <v>-0.80096458252542035</v>
      </c>
      <c r="O91" s="14"/>
      <c r="P91" s="1">
        <f>SUM(OSRRefP22_17x_0)</f>
        <v>8995.3000000000011</v>
      </c>
      <c r="Q91" s="1"/>
      <c r="R91" s="5">
        <f t="shared" ref="R91:R96" si="78">IF(P$12=0,0,P91/P$12)</f>
        <v>0.53044674568949002</v>
      </c>
      <c r="S91" s="1"/>
      <c r="T91" s="1">
        <f>SUM(OSRRefT22_17x_0)</f>
        <v>63489.310000000005</v>
      </c>
      <c r="U91" s="1"/>
      <c r="V91" s="5">
        <f t="shared" ref="V91:V96" si="79">IF(T$12=0,0,T91/T$12)</f>
        <v>3.4724675806022821E-2</v>
      </c>
      <c r="W91" s="1"/>
      <c r="X91" s="1">
        <f t="shared" ref="X91:X96" si="80">+P91-T91</f>
        <v>-54494.01</v>
      </c>
      <c r="Y91" s="1"/>
      <c r="Z91" s="5">
        <f t="shared" ref="Z91:Z96" si="81">IF(T91=0,0,X91/T91)</f>
        <v>-0.85831788060068692</v>
      </c>
    </row>
    <row r="92" spans="1:26" s="24" customFormat="1" hidden="1" outlineLevel="2" x14ac:dyDescent="0.25">
      <c r="A92" s="28"/>
      <c r="B92" s="11" t="str">
        <f>CONCATENATE("          ", "6282", " - ", "JANITORIAL/EXTERMINATOR EXPENS")</f>
        <v xml:space="preserve">          6282 - JANITORIAL/EXTERMINATOR EXPENS</v>
      </c>
      <c r="C92" s="11"/>
      <c r="D92" s="7">
        <v>49.36</v>
      </c>
      <c r="E92" s="2"/>
      <c r="F92" s="6">
        <f t="shared" si="74"/>
        <v>4.7279150048083743E-3</v>
      </c>
      <c r="G92" s="2"/>
      <c r="H92" s="7">
        <v>1763.31</v>
      </c>
      <c r="I92" s="2"/>
      <c r="J92" s="6">
        <f t="shared" si="75"/>
        <v>1.5830430326167141E-3</v>
      </c>
      <c r="K92" s="2"/>
      <c r="L92" s="7">
        <f t="shared" si="76"/>
        <v>-1713.95</v>
      </c>
      <c r="M92" s="2"/>
      <c r="N92" s="6">
        <f t="shared" si="77"/>
        <v>-0.97200719102143129</v>
      </c>
      <c r="O92" s="11"/>
      <c r="P92" s="7">
        <v>52.71</v>
      </c>
      <c r="Q92" s="2"/>
      <c r="R92" s="6">
        <f t="shared" si="78"/>
        <v>3.1082729831459779E-3</v>
      </c>
      <c r="S92" s="2"/>
      <c r="T92" s="7">
        <v>5967.37</v>
      </c>
      <c r="U92" s="2"/>
      <c r="V92" s="6">
        <f t="shared" si="79"/>
        <v>3.2637776133428824E-3</v>
      </c>
      <c r="W92" s="2"/>
      <c r="X92" s="7">
        <f t="shared" si="80"/>
        <v>-5914.66</v>
      </c>
      <c r="Y92" s="2"/>
      <c r="Z92" s="6">
        <f t="shared" si="81"/>
        <v>-0.99116696300045082</v>
      </c>
    </row>
    <row r="93" spans="1:26" s="24" customFormat="1" hidden="1" outlineLevel="2" x14ac:dyDescent="0.25">
      <c r="A93" s="28"/>
      <c r="B93" s="11" t="str">
        <f>CONCATENATE("          ", "6283", " - ", "PLANT SERVICE")</f>
        <v xml:space="preserve">          6283 - PLANT SERVICE</v>
      </c>
      <c r="C93" s="11"/>
      <c r="D93" s="7"/>
      <c r="E93" s="2"/>
      <c r="F93" s="6">
        <f t="shared" si="74"/>
        <v>0</v>
      </c>
      <c r="G93" s="2"/>
      <c r="H93" s="7">
        <v>199.78</v>
      </c>
      <c r="I93" s="2"/>
      <c r="J93" s="6">
        <f t="shared" si="75"/>
        <v>1.7935606164325453E-4</v>
      </c>
      <c r="K93" s="2"/>
      <c r="L93" s="7">
        <f t="shared" si="76"/>
        <v>-199.78</v>
      </c>
      <c r="M93" s="2"/>
      <c r="N93" s="6">
        <f t="shared" si="77"/>
        <v>-1</v>
      </c>
      <c r="O93" s="11"/>
      <c r="P93" s="7"/>
      <c r="Q93" s="2"/>
      <c r="R93" s="6">
        <f t="shared" si="78"/>
        <v>0</v>
      </c>
      <c r="S93" s="2"/>
      <c r="T93" s="7">
        <v>599.34</v>
      </c>
      <c r="U93" s="2"/>
      <c r="V93" s="6">
        <f t="shared" si="79"/>
        <v>3.2780143929083051E-4</v>
      </c>
      <c r="W93" s="2"/>
      <c r="X93" s="7">
        <f t="shared" si="80"/>
        <v>-599.34</v>
      </c>
      <c r="Y93" s="2"/>
      <c r="Z93" s="6">
        <f t="shared" si="81"/>
        <v>-1</v>
      </c>
    </row>
    <row r="94" spans="1:26" s="24" customFormat="1" hidden="1" outlineLevel="2" x14ac:dyDescent="0.25">
      <c r="A94" s="28"/>
      <c r="B94" s="11" t="str">
        <f>CONCATENATE("          ", "6284", " - ", "TRASH REMOVAL EXPENSE")</f>
        <v xml:space="preserve">          6284 - TRASH REMOVAL EXPENSE</v>
      </c>
      <c r="C94" s="11"/>
      <c r="D94" s="7">
        <v>761</v>
      </c>
      <c r="E94" s="2"/>
      <c r="F94" s="6">
        <f t="shared" si="74"/>
        <v>7.2891882468783892E-2</v>
      </c>
      <c r="G94" s="2"/>
      <c r="H94" s="7">
        <v>860</v>
      </c>
      <c r="I94" s="2"/>
      <c r="J94" s="6">
        <f t="shared" si="75"/>
        <v>7.720803534547948E-4</v>
      </c>
      <c r="K94" s="2"/>
      <c r="L94" s="7">
        <f t="shared" si="76"/>
        <v>-99</v>
      </c>
      <c r="M94" s="2"/>
      <c r="N94" s="6">
        <f t="shared" si="77"/>
        <v>-0.11511627906976744</v>
      </c>
      <c r="O94" s="11"/>
      <c r="P94" s="7">
        <v>2761</v>
      </c>
      <c r="Q94" s="2"/>
      <c r="R94" s="6">
        <f t="shared" si="78"/>
        <v>0.16281429911717027</v>
      </c>
      <c r="S94" s="2"/>
      <c r="T94" s="7">
        <v>5296</v>
      </c>
      <c r="U94" s="2"/>
      <c r="V94" s="6">
        <f t="shared" si="79"/>
        <v>2.8965802757770854E-3</v>
      </c>
      <c r="W94" s="2"/>
      <c r="X94" s="7">
        <f t="shared" si="80"/>
        <v>-2535</v>
      </c>
      <c r="Y94" s="2"/>
      <c r="Z94" s="6">
        <f t="shared" si="81"/>
        <v>-0.47866314199395771</v>
      </c>
    </row>
    <row r="95" spans="1:26" s="24" customFormat="1" hidden="1" outlineLevel="2" x14ac:dyDescent="0.25">
      <c r="A95" s="28"/>
      <c r="B95" s="11" t="str">
        <f>CONCATENATE("          ", "6285", " - ", "JANITORIAL SERVICES")</f>
        <v xml:space="preserve">          6285 - JANITORIAL SERVICES</v>
      </c>
      <c r="C95" s="11"/>
      <c r="D95" s="7">
        <v>3256.35</v>
      </c>
      <c r="E95" s="2"/>
      <c r="F95" s="6">
        <f t="shared" si="74"/>
        <v>0.31190733439845519</v>
      </c>
      <c r="G95" s="2"/>
      <c r="H95" s="7">
        <v>13699.69</v>
      </c>
      <c r="I95" s="2"/>
      <c r="J95" s="6">
        <f t="shared" si="75"/>
        <v>1.2299141276071067E-2</v>
      </c>
      <c r="K95" s="2"/>
      <c r="L95" s="7">
        <f t="shared" si="76"/>
        <v>-10443.34</v>
      </c>
      <c r="M95" s="2"/>
      <c r="N95" s="6">
        <f t="shared" si="77"/>
        <v>-0.76230484047449243</v>
      </c>
      <c r="O95" s="11"/>
      <c r="P95" s="7">
        <v>5607.33</v>
      </c>
      <c r="Q95" s="2"/>
      <c r="R95" s="6">
        <f t="shared" si="78"/>
        <v>0.33066045051382914</v>
      </c>
      <c r="S95" s="2"/>
      <c r="T95" s="7">
        <v>39986.460000000006</v>
      </c>
      <c r="U95" s="2"/>
      <c r="V95" s="6">
        <f t="shared" si="79"/>
        <v>2.1870088998139994E-2</v>
      </c>
      <c r="W95" s="2"/>
      <c r="X95" s="7">
        <f t="shared" si="80"/>
        <v>-34379.130000000005</v>
      </c>
      <c r="Y95" s="2"/>
      <c r="Z95" s="6">
        <f t="shared" si="81"/>
        <v>-0.85976928190192381</v>
      </c>
    </row>
    <row r="96" spans="1:26" s="24" customFormat="1" hidden="1" outlineLevel="2" x14ac:dyDescent="0.25">
      <c r="A96" s="28"/>
      <c r="B96" s="11" t="str">
        <f>CONCATENATE("          ", "6286", " - ", "LAUNDRY EXPENSE")</f>
        <v xml:space="preserve">          6286 - LAUNDRY EXPENSE</v>
      </c>
      <c r="C96" s="11"/>
      <c r="D96" s="7">
        <v>105.97</v>
      </c>
      <c r="E96" s="2"/>
      <c r="F96" s="6">
        <f t="shared" si="74"/>
        <v>1.015026647203289E-2</v>
      </c>
      <c r="G96" s="2"/>
      <c r="H96" s="7">
        <v>4441.7299999999996</v>
      </c>
      <c r="I96" s="2"/>
      <c r="J96" s="6">
        <f t="shared" si="75"/>
        <v>3.9876424050590293E-3</v>
      </c>
      <c r="K96" s="2"/>
      <c r="L96" s="7">
        <f t="shared" si="76"/>
        <v>-4335.7599999999993</v>
      </c>
      <c r="M96" s="2"/>
      <c r="N96" s="6">
        <f t="shared" si="77"/>
        <v>-0.97614217883572385</v>
      </c>
      <c r="O96" s="11"/>
      <c r="P96" s="7">
        <v>574.26</v>
      </c>
      <c r="Q96" s="2"/>
      <c r="R96" s="6">
        <f t="shared" si="78"/>
        <v>3.3863723075344514E-2</v>
      </c>
      <c r="S96" s="2"/>
      <c r="T96" s="7">
        <v>11640.14</v>
      </c>
      <c r="U96" s="2"/>
      <c r="V96" s="6">
        <f t="shared" si="79"/>
        <v>6.3664274794720315E-3</v>
      </c>
      <c r="W96" s="2"/>
      <c r="X96" s="7">
        <f t="shared" si="80"/>
        <v>-11065.88</v>
      </c>
      <c r="Y96" s="2"/>
      <c r="Z96" s="6">
        <f t="shared" si="81"/>
        <v>-0.95066554182338014</v>
      </c>
    </row>
    <row r="97" spans="1:26" s="27" customFormat="1" outlineLevel="1" collapsed="1" x14ac:dyDescent="0.25">
      <c r="A97" s="29"/>
      <c r="B97" s="14" t="str">
        <f>CONCATENATE("     ","Subscriptions &amp; Dues                              ")</f>
        <v xml:space="preserve">     Subscriptions &amp; Dues                              </v>
      </c>
      <c r="C97" s="14"/>
      <c r="D97" s="1">
        <f>SUM(OSRRefD22_18x_0)</f>
        <v>131.34</v>
      </c>
      <c r="E97" s="1"/>
      <c r="F97" s="5">
        <f t="shared" ref="F97:F108" si="82">IF(D$12=0,0,D97/D$12)</f>
        <v>1.2580315168791165E-2</v>
      </c>
      <c r="G97" s="1"/>
      <c r="H97" s="1">
        <f>SUM(OSRRefH22_18x_0)</f>
        <v>631.17999999999995</v>
      </c>
      <c r="I97" s="1"/>
      <c r="J97" s="5">
        <f t="shared" ref="J97:J108" si="83">IF(H$12=0,0,H97/H$12)</f>
        <v>5.6665311336464804E-4</v>
      </c>
      <c r="K97" s="1"/>
      <c r="L97" s="1">
        <f t="shared" ref="L97:L108" si="84">+D97-H97</f>
        <v>-499.83999999999992</v>
      </c>
      <c r="M97" s="1"/>
      <c r="N97" s="5">
        <f t="shared" ref="N97:N108" si="85">IF(H97=0,0,L97/H97)</f>
        <v>-0.79191355873126523</v>
      </c>
      <c r="O97" s="14"/>
      <c r="P97" s="1">
        <f>SUM(OSRRefP22_18x_0)</f>
        <v>140.66</v>
      </c>
      <c r="Q97" s="1"/>
      <c r="R97" s="5">
        <f t="shared" ref="R97:R108" si="86">IF(P$12=0,0,P97/P$12)</f>
        <v>8.2946248872948821E-3</v>
      </c>
      <c r="S97" s="1"/>
      <c r="T97" s="1">
        <f>SUM(OSRRefT22_18x_0)</f>
        <v>1832.18</v>
      </c>
      <c r="U97" s="1"/>
      <c r="V97" s="5">
        <f t="shared" ref="V97:V108" si="87">IF(T$12=0,0,T97/T$12)</f>
        <v>1.0020876982011443E-3</v>
      </c>
      <c r="W97" s="1"/>
      <c r="X97" s="1">
        <f t="shared" ref="X97:X108" si="88">+P97-T97</f>
        <v>-1691.52</v>
      </c>
      <c r="Y97" s="1"/>
      <c r="Z97" s="5">
        <f t="shared" ref="Z97:Z108" si="89">IF(T97=0,0,X97/T97)</f>
        <v>-0.92322806711131</v>
      </c>
    </row>
    <row r="98" spans="1:26" s="24" customFormat="1" hidden="1" outlineLevel="2" x14ac:dyDescent="0.25">
      <c r="A98" s="28"/>
      <c r="B98" s="11" t="str">
        <f>CONCATENATE("          ", "6275", " - ", "SUBSCRIPTIONS")</f>
        <v xml:space="preserve">          6275 - SUBSCRIPTIONS</v>
      </c>
      <c r="C98" s="11"/>
      <c r="D98" s="7">
        <v>131.34</v>
      </c>
      <c r="E98" s="2"/>
      <c r="F98" s="6">
        <f t="shared" si="82"/>
        <v>1.2580315168791165E-2</v>
      </c>
      <c r="G98" s="2"/>
      <c r="H98" s="7">
        <v>631.17999999999995</v>
      </c>
      <c r="I98" s="2"/>
      <c r="J98" s="6">
        <f t="shared" si="83"/>
        <v>5.6665311336464804E-4</v>
      </c>
      <c r="K98" s="2"/>
      <c r="L98" s="7">
        <f t="shared" si="84"/>
        <v>-499.83999999999992</v>
      </c>
      <c r="M98" s="2"/>
      <c r="N98" s="6">
        <f t="shared" si="85"/>
        <v>-0.79191355873126523</v>
      </c>
      <c r="O98" s="11"/>
      <c r="P98" s="7">
        <v>140.66</v>
      </c>
      <c r="Q98" s="2"/>
      <c r="R98" s="6">
        <f t="shared" si="86"/>
        <v>8.2946248872948821E-3</v>
      </c>
      <c r="S98" s="2"/>
      <c r="T98" s="7">
        <v>1832.18</v>
      </c>
      <c r="U98" s="2"/>
      <c r="V98" s="6">
        <f t="shared" si="87"/>
        <v>1.0020876982011443E-3</v>
      </c>
      <c r="W98" s="2"/>
      <c r="X98" s="7">
        <f t="shared" si="88"/>
        <v>-1691.52</v>
      </c>
      <c r="Y98" s="2"/>
      <c r="Z98" s="6">
        <f t="shared" si="89"/>
        <v>-0.92322806711131</v>
      </c>
    </row>
    <row r="99" spans="1:26" s="27" customFormat="1" outlineLevel="1" collapsed="1" x14ac:dyDescent="0.25">
      <c r="A99" s="29"/>
      <c r="B99" s="14" t="str">
        <f>CONCATENATE("     ","Supplies                                          ")</f>
        <v xml:space="preserve">     Supplies                                          </v>
      </c>
      <c r="C99" s="14"/>
      <c r="D99" s="1">
        <f>SUM(OSRRefD22_19x_0)</f>
        <v>861.48</v>
      </c>
      <c r="E99" s="1"/>
      <c r="F99" s="5">
        <f t="shared" si="82"/>
        <v>8.2516292916173392E-2</v>
      </c>
      <c r="G99" s="1"/>
      <c r="H99" s="1">
        <f>SUM(OSRRefH22_19x_0)</f>
        <v>33924.049999999996</v>
      </c>
      <c r="I99" s="1"/>
      <c r="J99" s="5">
        <f t="shared" si="83"/>
        <v>3.045592152862573E-2</v>
      </c>
      <c r="K99" s="1"/>
      <c r="L99" s="1">
        <f t="shared" si="84"/>
        <v>-33062.569999999992</v>
      </c>
      <c r="M99" s="1"/>
      <c r="N99" s="5">
        <f t="shared" si="85"/>
        <v>-0.97460562639189596</v>
      </c>
      <c r="O99" s="14"/>
      <c r="P99" s="1">
        <f>SUM(OSRRefP22_19x_0)</f>
        <v>-26982.35</v>
      </c>
      <c r="Q99" s="1"/>
      <c r="R99" s="5">
        <f t="shared" si="86"/>
        <v>-1.5911308959739872</v>
      </c>
      <c r="S99" s="1"/>
      <c r="T99" s="1">
        <f>SUM(OSRRefT22_19x_0)</f>
        <v>86678.720000000016</v>
      </c>
      <c r="U99" s="1"/>
      <c r="V99" s="5">
        <f t="shared" si="87"/>
        <v>4.7407830566768276E-2</v>
      </c>
      <c r="W99" s="1"/>
      <c r="X99" s="1">
        <f t="shared" si="88"/>
        <v>-113661.07</v>
      </c>
      <c r="Y99" s="1"/>
      <c r="Z99" s="5">
        <f t="shared" si="89"/>
        <v>-1.3112915142263291</v>
      </c>
    </row>
    <row r="100" spans="1:26" s="24" customFormat="1" hidden="1" outlineLevel="2" x14ac:dyDescent="0.25">
      <c r="A100" s="28"/>
      <c r="B100" s="11" t="str">
        <f>CONCATENATE("          ", "6234", " - ", "EXPENDABLE SUPPLIES &amp; EQUIPMEN")</f>
        <v xml:space="preserve">          6234 - EXPENDABLE SUPPLIES &amp; EQUIPMEN</v>
      </c>
      <c r="C100" s="11"/>
      <c r="D100" s="7">
        <v>316.67</v>
      </c>
      <c r="E100" s="2"/>
      <c r="F100" s="6">
        <f t="shared" si="82"/>
        <v>3.0332026834940597E-2</v>
      </c>
      <c r="G100" s="2"/>
      <c r="H100" s="7">
        <v>7670.09</v>
      </c>
      <c r="I100" s="2"/>
      <c r="J100" s="6">
        <f t="shared" si="83"/>
        <v>6.8859602305001008E-3</v>
      </c>
      <c r="K100" s="2"/>
      <c r="L100" s="7">
        <f t="shared" si="84"/>
        <v>-7353.42</v>
      </c>
      <c r="M100" s="2"/>
      <c r="N100" s="6">
        <f t="shared" si="85"/>
        <v>-0.95871365264292852</v>
      </c>
      <c r="O100" s="11"/>
      <c r="P100" s="7">
        <v>572.45000000000005</v>
      </c>
      <c r="Q100" s="2"/>
      <c r="R100" s="6">
        <f t="shared" si="86"/>
        <v>3.3756988601819679E-2</v>
      </c>
      <c r="S100" s="2"/>
      <c r="T100" s="7">
        <v>8734.33</v>
      </c>
      <c r="U100" s="2"/>
      <c r="V100" s="6">
        <f t="shared" si="87"/>
        <v>4.7771314199637595E-3</v>
      </c>
      <c r="W100" s="2"/>
      <c r="X100" s="7">
        <f t="shared" si="88"/>
        <v>-8161.88</v>
      </c>
      <c r="Y100" s="2"/>
      <c r="Z100" s="6">
        <f t="shared" si="89"/>
        <v>-0.93445976966750743</v>
      </c>
    </row>
    <row r="101" spans="1:26" s="24" customFormat="1" hidden="1" outlineLevel="2" x14ac:dyDescent="0.25">
      <c r="A101" s="28"/>
      <c r="B101" s="11" t="str">
        <f>CONCATENATE("          ", "6235", " - ", "COVID-19 EXPENSES")</f>
        <v xml:space="preserve">          6235 - COVID-19 EXPENSES</v>
      </c>
      <c r="C101" s="11"/>
      <c r="D101" s="7">
        <v>127.89</v>
      </c>
      <c r="E101" s="2"/>
      <c r="F101" s="6">
        <f t="shared" si="82"/>
        <v>1.2249859197020724E-2</v>
      </c>
      <c r="G101" s="2"/>
      <c r="H101" s="7"/>
      <c r="I101" s="2"/>
      <c r="J101" s="6">
        <f t="shared" si="83"/>
        <v>0</v>
      </c>
      <c r="K101" s="2"/>
      <c r="L101" s="7">
        <f t="shared" si="84"/>
        <v>127.89</v>
      </c>
      <c r="M101" s="2"/>
      <c r="N101" s="6">
        <f t="shared" si="85"/>
        <v>0</v>
      </c>
      <c r="O101" s="11"/>
      <c r="P101" s="7">
        <v>1157.1300000000001</v>
      </c>
      <c r="Q101" s="2"/>
      <c r="R101" s="6">
        <f t="shared" si="86"/>
        <v>6.8235172016461884E-2</v>
      </c>
      <c r="S101" s="2"/>
      <c r="T101" s="7"/>
      <c r="U101" s="2"/>
      <c r="V101" s="6">
        <f t="shared" si="87"/>
        <v>0</v>
      </c>
      <c r="W101" s="2"/>
      <c r="X101" s="7">
        <f t="shared" si="88"/>
        <v>1157.1300000000001</v>
      </c>
      <c r="Y101" s="2"/>
      <c r="Z101" s="6">
        <f t="shared" si="89"/>
        <v>0</v>
      </c>
    </row>
    <row r="102" spans="1:26" s="24" customFormat="1" hidden="1" outlineLevel="2" x14ac:dyDescent="0.25">
      <c r="A102" s="28"/>
      <c r="B102" s="11" t="str">
        <f>CONCATENATE("          ", "6237", " - ", "JANITORIAL SUPPLIES")</f>
        <v xml:space="preserve">          6237 - JANITORIAL SUPPLIES</v>
      </c>
      <c r="C102" s="11"/>
      <c r="D102" s="7">
        <v>317.57</v>
      </c>
      <c r="E102" s="2"/>
      <c r="F102" s="6">
        <f t="shared" si="82"/>
        <v>3.0418232740619843E-2</v>
      </c>
      <c r="G102" s="2"/>
      <c r="H102" s="7">
        <v>4194.33</v>
      </c>
      <c r="I102" s="2"/>
      <c r="J102" s="6">
        <f t="shared" si="83"/>
        <v>3.765534638262848E-3</v>
      </c>
      <c r="K102" s="2"/>
      <c r="L102" s="7">
        <f t="shared" si="84"/>
        <v>-3876.7599999999998</v>
      </c>
      <c r="M102" s="2"/>
      <c r="N102" s="6">
        <f t="shared" si="85"/>
        <v>-0.92428588117768506</v>
      </c>
      <c r="O102" s="11"/>
      <c r="P102" s="7">
        <v>317.57</v>
      </c>
      <c r="Q102" s="2"/>
      <c r="R102" s="6">
        <f t="shared" si="86"/>
        <v>1.8726887711205998E-2</v>
      </c>
      <c r="S102" s="2"/>
      <c r="T102" s="7">
        <v>12548.77</v>
      </c>
      <c r="U102" s="2"/>
      <c r="V102" s="6">
        <f t="shared" si="87"/>
        <v>6.8633911758427518E-3</v>
      </c>
      <c r="W102" s="2"/>
      <c r="X102" s="7">
        <f t="shared" si="88"/>
        <v>-12231.2</v>
      </c>
      <c r="Y102" s="2"/>
      <c r="Z102" s="6">
        <f t="shared" si="89"/>
        <v>-0.9746931372556833</v>
      </c>
    </row>
    <row r="103" spans="1:26" s="24" customFormat="1" hidden="1" outlineLevel="2" x14ac:dyDescent="0.25">
      <c r="A103" s="28"/>
      <c r="B103" s="11" t="str">
        <f>CONCATENATE("          ", "6239", " - ", "KITCHEN SUPPLIES")</f>
        <v xml:space="preserve">          6239 - KITCHEN SUPPLIES</v>
      </c>
      <c r="C103" s="11"/>
      <c r="D103" s="7"/>
      <c r="E103" s="2"/>
      <c r="F103" s="6">
        <f t="shared" si="82"/>
        <v>0</v>
      </c>
      <c r="G103" s="2"/>
      <c r="H103" s="7">
        <v>7569.78</v>
      </c>
      <c r="I103" s="2"/>
      <c r="J103" s="6">
        <f t="shared" si="83"/>
        <v>6.7959051371802746E-3</v>
      </c>
      <c r="K103" s="2"/>
      <c r="L103" s="7">
        <f t="shared" si="84"/>
        <v>-7569.78</v>
      </c>
      <c r="M103" s="2"/>
      <c r="N103" s="6">
        <f t="shared" si="85"/>
        <v>-1</v>
      </c>
      <c r="O103" s="11"/>
      <c r="P103" s="7"/>
      <c r="Q103" s="2"/>
      <c r="R103" s="6">
        <f t="shared" si="86"/>
        <v>0</v>
      </c>
      <c r="S103" s="2"/>
      <c r="T103" s="7">
        <v>17994.36</v>
      </c>
      <c r="U103" s="2"/>
      <c r="V103" s="6">
        <f t="shared" si="87"/>
        <v>9.841787811788549E-3</v>
      </c>
      <c r="W103" s="2"/>
      <c r="X103" s="7">
        <f t="shared" si="88"/>
        <v>-17994.36</v>
      </c>
      <c r="Y103" s="2"/>
      <c r="Z103" s="6">
        <f t="shared" si="89"/>
        <v>-1</v>
      </c>
    </row>
    <row r="104" spans="1:26" s="24" customFormat="1" hidden="1" outlineLevel="2" x14ac:dyDescent="0.25">
      <c r="A104" s="28"/>
      <c r="B104" s="11" t="str">
        <f>CONCATENATE("          ", "6241", " - ", "OFFICE EXPENSE")</f>
        <v xml:space="preserve">          6241 - OFFICE EXPENSE</v>
      </c>
      <c r="C104" s="11"/>
      <c r="D104" s="7">
        <v>99.35</v>
      </c>
      <c r="E104" s="2"/>
      <c r="F104" s="6">
        <f t="shared" si="82"/>
        <v>9.5161741435922202E-3</v>
      </c>
      <c r="G104" s="2"/>
      <c r="H104" s="7">
        <v>2065.1</v>
      </c>
      <c r="I104" s="2"/>
      <c r="J104" s="6">
        <f t="shared" si="83"/>
        <v>1.8539803929296472E-3</v>
      </c>
      <c r="K104" s="2"/>
      <c r="L104" s="7">
        <f t="shared" si="84"/>
        <v>-1965.75</v>
      </c>
      <c r="M104" s="2"/>
      <c r="N104" s="6">
        <f t="shared" si="85"/>
        <v>-0.95189094959081888</v>
      </c>
      <c r="O104" s="11"/>
      <c r="P104" s="7">
        <v>-29109.78</v>
      </c>
      <c r="Q104" s="2"/>
      <c r="R104" s="6">
        <f t="shared" si="86"/>
        <v>-1.716584001504897</v>
      </c>
      <c r="S104" s="2"/>
      <c r="T104" s="7">
        <v>9723.9500000000007</v>
      </c>
      <c r="U104" s="2"/>
      <c r="V104" s="6">
        <f t="shared" si="87"/>
        <v>5.3183915733841748E-3</v>
      </c>
      <c r="W104" s="2"/>
      <c r="X104" s="7">
        <f t="shared" si="88"/>
        <v>-38833.729999999996</v>
      </c>
      <c r="Y104" s="2"/>
      <c r="Z104" s="6">
        <f t="shared" si="89"/>
        <v>-3.9936167915301901</v>
      </c>
    </row>
    <row r="105" spans="1:26" s="24" customFormat="1" hidden="1" outlineLevel="2" x14ac:dyDescent="0.25">
      <c r="A105" s="28"/>
      <c r="B105" s="11" t="str">
        <f>CONCATENATE("          ", "6243", " - ", "PAPER SUPPLIES")</f>
        <v xml:space="preserve">          6243 - PAPER SUPPLIES</v>
      </c>
      <c r="C105" s="11"/>
      <c r="D105" s="7"/>
      <c r="E105" s="2"/>
      <c r="F105" s="6">
        <f t="shared" si="82"/>
        <v>0</v>
      </c>
      <c r="G105" s="2"/>
      <c r="H105" s="7">
        <v>3986.34</v>
      </c>
      <c r="I105" s="2"/>
      <c r="J105" s="6">
        <f t="shared" si="83"/>
        <v>3.5788079025476588E-3</v>
      </c>
      <c r="K105" s="2"/>
      <c r="L105" s="7">
        <f t="shared" si="84"/>
        <v>-3986.34</v>
      </c>
      <c r="M105" s="2"/>
      <c r="N105" s="6">
        <f t="shared" si="85"/>
        <v>-1</v>
      </c>
      <c r="O105" s="11"/>
      <c r="P105" s="7"/>
      <c r="Q105" s="2"/>
      <c r="R105" s="6">
        <f t="shared" si="86"/>
        <v>0</v>
      </c>
      <c r="S105" s="2"/>
      <c r="T105" s="7">
        <v>11139.8</v>
      </c>
      <c r="U105" s="2"/>
      <c r="V105" s="6">
        <f t="shared" si="87"/>
        <v>6.0927728391430456E-3</v>
      </c>
      <c r="W105" s="2"/>
      <c r="X105" s="7">
        <f t="shared" si="88"/>
        <v>-11139.8</v>
      </c>
      <c r="Y105" s="2"/>
      <c r="Z105" s="6">
        <f t="shared" si="89"/>
        <v>-1</v>
      </c>
    </row>
    <row r="106" spans="1:26" s="24" customFormat="1" hidden="1" outlineLevel="2" x14ac:dyDescent="0.25">
      <c r="A106" s="28"/>
      <c r="B106" s="11" t="str">
        <f>CONCATENATE("          ", "6245", " - ", "PRINTING")</f>
        <v xml:space="preserve">          6245 - PRINTING</v>
      </c>
      <c r="C106" s="11"/>
      <c r="D106" s="7"/>
      <c r="E106" s="2"/>
      <c r="F106" s="6">
        <f t="shared" si="82"/>
        <v>0</v>
      </c>
      <c r="G106" s="2"/>
      <c r="H106" s="7">
        <v>63.81</v>
      </c>
      <c r="I106" s="2"/>
      <c r="J106" s="6">
        <f t="shared" si="83"/>
        <v>5.7286566690640065E-5</v>
      </c>
      <c r="K106" s="2"/>
      <c r="L106" s="7">
        <f t="shared" si="84"/>
        <v>-63.81</v>
      </c>
      <c r="M106" s="2"/>
      <c r="N106" s="6">
        <f t="shared" si="85"/>
        <v>-1</v>
      </c>
      <c r="O106" s="11"/>
      <c r="P106" s="7"/>
      <c r="Q106" s="2"/>
      <c r="R106" s="6">
        <f t="shared" si="86"/>
        <v>0</v>
      </c>
      <c r="S106" s="2"/>
      <c r="T106" s="7">
        <v>234.73</v>
      </c>
      <c r="U106" s="2"/>
      <c r="V106" s="6">
        <f t="shared" si="87"/>
        <v>1.2838260727589788E-4</v>
      </c>
      <c r="W106" s="2"/>
      <c r="X106" s="7">
        <f t="shared" si="88"/>
        <v>-234.73</v>
      </c>
      <c r="Y106" s="2"/>
      <c r="Z106" s="6">
        <f t="shared" si="89"/>
        <v>-1</v>
      </c>
    </row>
    <row r="107" spans="1:26" s="24" customFormat="1" hidden="1" outlineLevel="2" x14ac:dyDescent="0.25">
      <c r="A107" s="28"/>
      <c r="B107" s="11" t="str">
        <f>CONCATENATE("          ", "6247", " - ", "STORE SUPPLIES")</f>
        <v xml:space="preserve">          6247 - STORE SUPPLIES</v>
      </c>
      <c r="C107" s="11"/>
      <c r="D107" s="7"/>
      <c r="E107" s="2"/>
      <c r="F107" s="6">
        <f t="shared" si="82"/>
        <v>0</v>
      </c>
      <c r="G107" s="2"/>
      <c r="H107" s="7">
        <v>7705.25</v>
      </c>
      <c r="I107" s="2"/>
      <c r="J107" s="6">
        <f t="shared" si="83"/>
        <v>6.917525748206462E-3</v>
      </c>
      <c r="K107" s="2"/>
      <c r="L107" s="7">
        <f t="shared" si="84"/>
        <v>-7705.25</v>
      </c>
      <c r="M107" s="2"/>
      <c r="N107" s="6">
        <f t="shared" si="85"/>
        <v>-1</v>
      </c>
      <c r="O107" s="11"/>
      <c r="P107" s="7">
        <v>80.28</v>
      </c>
      <c r="Q107" s="2"/>
      <c r="R107" s="6">
        <f t="shared" si="86"/>
        <v>4.7340572014221037E-3</v>
      </c>
      <c r="S107" s="2"/>
      <c r="T107" s="7">
        <v>22958.95</v>
      </c>
      <c r="U107" s="2"/>
      <c r="V107" s="6">
        <f t="shared" si="87"/>
        <v>1.2557107576010633E-2</v>
      </c>
      <c r="W107" s="2"/>
      <c r="X107" s="7">
        <f t="shared" si="88"/>
        <v>-22878.670000000002</v>
      </c>
      <c r="Y107" s="2"/>
      <c r="Z107" s="6">
        <f t="shared" si="89"/>
        <v>-0.99650332441161293</v>
      </c>
    </row>
    <row r="108" spans="1:26" s="24" customFormat="1" hidden="1" outlineLevel="2" x14ac:dyDescent="0.25">
      <c r="A108" s="28"/>
      <c r="B108" s="11" t="str">
        <f>CONCATENATE("          ", "6248", " - ", "UNIFORMS")</f>
        <v xml:space="preserve">          6248 - UNIFORMS</v>
      </c>
      <c r="C108" s="11"/>
      <c r="D108" s="7"/>
      <c r="E108" s="2"/>
      <c r="F108" s="6">
        <f t="shared" si="82"/>
        <v>0</v>
      </c>
      <c r="G108" s="2"/>
      <c r="H108" s="7">
        <v>669.35</v>
      </c>
      <c r="I108" s="2"/>
      <c r="J108" s="6">
        <f t="shared" si="83"/>
        <v>6.0092091230810104E-4</v>
      </c>
      <c r="K108" s="2"/>
      <c r="L108" s="7">
        <f t="shared" si="84"/>
        <v>-669.35</v>
      </c>
      <c r="M108" s="2"/>
      <c r="N108" s="6">
        <f t="shared" si="85"/>
        <v>-1</v>
      </c>
      <c r="O108" s="11"/>
      <c r="P108" s="7"/>
      <c r="Q108" s="2"/>
      <c r="R108" s="6">
        <f t="shared" si="86"/>
        <v>0</v>
      </c>
      <c r="S108" s="2"/>
      <c r="T108" s="7">
        <v>3343.83</v>
      </c>
      <c r="U108" s="2"/>
      <c r="V108" s="6">
        <f t="shared" si="87"/>
        <v>1.8288655633594581E-3</v>
      </c>
      <c r="W108" s="2"/>
      <c r="X108" s="7">
        <f t="shared" si="88"/>
        <v>-3343.83</v>
      </c>
      <c r="Y108" s="2"/>
      <c r="Z108" s="6">
        <f t="shared" si="89"/>
        <v>-1</v>
      </c>
    </row>
    <row r="109" spans="1:26" s="27" customFormat="1" outlineLevel="1" collapsed="1" x14ac:dyDescent="0.25">
      <c r="A109" s="29"/>
      <c r="B109" s="14" t="str">
        <f>CONCATENATE("     ","Telephone/Data Lines                              ")</f>
        <v xml:space="preserve">     Telephone/Data Lines                              </v>
      </c>
      <c r="C109" s="14"/>
      <c r="D109" s="1">
        <f>SUM(OSRRefD22_20x_0)</f>
        <v>967.5</v>
      </c>
      <c r="E109" s="1"/>
      <c r="F109" s="5">
        <f t="shared" ref="F109:F116" si="90">IF(D$12=0,0,D109/D$12)</f>
        <v>9.2671348605188456E-2</v>
      </c>
      <c r="G109" s="1"/>
      <c r="H109" s="1">
        <f>SUM(OSRRefH22_20x_0)</f>
        <v>2864.22</v>
      </c>
      <c r="I109" s="1"/>
      <c r="J109" s="5">
        <f t="shared" ref="J109:J116" si="91">IF(H$12=0,0,H109/H$12)</f>
        <v>2.5714046395026655E-3</v>
      </c>
      <c r="K109" s="1"/>
      <c r="L109" s="1">
        <f t="shared" ref="L109:L116" si="92">+D109-H109</f>
        <v>-1896.7199999999998</v>
      </c>
      <c r="M109" s="1"/>
      <c r="N109" s="5">
        <f t="shared" ref="N109:N116" si="93">IF(H109=0,0,L109/H109)</f>
        <v>-0.66221170161509935</v>
      </c>
      <c r="O109" s="14"/>
      <c r="P109" s="1">
        <f>SUM(OSRRefP22_20x_0)</f>
        <v>4177.6499999999996</v>
      </c>
      <c r="Q109" s="1"/>
      <c r="R109" s="5">
        <f t="shared" ref="R109:R116" si="94">IF(P$12=0,0,P109/P$12)</f>
        <v>0.24635318968013267</v>
      </c>
      <c r="S109" s="1"/>
      <c r="T109" s="1">
        <f>SUM(OSRRefT22_20x_0)</f>
        <v>5743.47</v>
      </c>
      <c r="U109" s="1"/>
      <c r="V109" s="5">
        <f t="shared" ref="V109:V116" si="95">IF(T$12=0,0,T109/T$12)</f>
        <v>3.1413183377109926E-3</v>
      </c>
      <c r="W109" s="1"/>
      <c r="X109" s="1">
        <f t="shared" ref="X109:X116" si="96">+P109-T109</f>
        <v>-1565.8200000000006</v>
      </c>
      <c r="Y109" s="1"/>
      <c r="Z109" s="5">
        <f t="shared" ref="Z109:Z116" si="97">IF(T109=0,0,X109/T109)</f>
        <v>-0.27262613019655374</v>
      </c>
    </row>
    <row r="110" spans="1:26" s="24" customFormat="1" hidden="1" outlineLevel="2" x14ac:dyDescent="0.25">
      <c r="A110" s="28"/>
      <c r="B110" s="11" t="str">
        <f>CONCATENATE("          ", "6309", " - ", "TELEPHONE")</f>
        <v xml:space="preserve">          6309 - TELEPHONE</v>
      </c>
      <c r="C110" s="11"/>
      <c r="D110" s="7">
        <v>967.5</v>
      </c>
      <c r="E110" s="2"/>
      <c r="F110" s="6">
        <f t="shared" si="90"/>
        <v>9.2671348605188456E-2</v>
      </c>
      <c r="G110" s="2"/>
      <c r="H110" s="7">
        <v>2864.22</v>
      </c>
      <c r="I110" s="2"/>
      <c r="J110" s="6">
        <f t="shared" si="91"/>
        <v>2.5714046395026655E-3</v>
      </c>
      <c r="K110" s="2"/>
      <c r="L110" s="7">
        <f t="shared" si="92"/>
        <v>-1896.7199999999998</v>
      </c>
      <c r="M110" s="2"/>
      <c r="N110" s="6">
        <f t="shared" si="93"/>
        <v>-0.66221170161509935</v>
      </c>
      <c r="O110" s="11"/>
      <c r="P110" s="7">
        <v>4177.6499999999996</v>
      </c>
      <c r="Q110" s="2"/>
      <c r="R110" s="6">
        <f t="shared" si="94"/>
        <v>0.24635318968013267</v>
      </c>
      <c r="S110" s="2"/>
      <c r="T110" s="7">
        <v>5743.47</v>
      </c>
      <c r="U110" s="2"/>
      <c r="V110" s="6">
        <f t="shared" si="95"/>
        <v>3.1413183377109926E-3</v>
      </c>
      <c r="W110" s="2"/>
      <c r="X110" s="7">
        <f t="shared" si="96"/>
        <v>-1565.8200000000006</v>
      </c>
      <c r="Y110" s="2"/>
      <c r="Z110" s="6">
        <f t="shared" si="97"/>
        <v>-0.27262613019655374</v>
      </c>
    </row>
    <row r="111" spans="1:26" s="27" customFormat="1" outlineLevel="1" collapsed="1" x14ac:dyDescent="0.25">
      <c r="A111" s="29"/>
      <c r="B111" s="14" t="str">
        <f>CONCATENATE("     ","Training                                          ")</f>
        <v xml:space="preserve">     Training                                          </v>
      </c>
      <c r="C111" s="14"/>
      <c r="D111" s="1">
        <f>SUM(OSRRefD22_21x_0)</f>
        <v>0</v>
      </c>
      <c r="E111" s="1"/>
      <c r="F111" s="5">
        <f t="shared" si="90"/>
        <v>0</v>
      </c>
      <c r="G111" s="1"/>
      <c r="H111" s="1">
        <f>SUM(OSRRefH22_21x_0)</f>
        <v>430.7</v>
      </c>
      <c r="I111" s="1"/>
      <c r="J111" s="5">
        <f t="shared" si="91"/>
        <v>3.8666861422439547E-4</v>
      </c>
      <c r="K111" s="1"/>
      <c r="L111" s="1">
        <f t="shared" si="92"/>
        <v>-430.7</v>
      </c>
      <c r="M111" s="1"/>
      <c r="N111" s="5">
        <f t="shared" si="93"/>
        <v>-1</v>
      </c>
      <c r="O111" s="14"/>
      <c r="P111" s="1">
        <f>SUM(OSRRefP22_21x_0)</f>
        <v>0</v>
      </c>
      <c r="Q111" s="1"/>
      <c r="R111" s="5">
        <f t="shared" si="94"/>
        <v>0</v>
      </c>
      <c r="S111" s="1"/>
      <c r="T111" s="1">
        <f>SUM(OSRRefT22_21x_0)</f>
        <v>1474.55</v>
      </c>
      <c r="U111" s="1"/>
      <c r="V111" s="5">
        <f t="shared" si="95"/>
        <v>8.0648648898170336E-4</v>
      </c>
      <c r="W111" s="1"/>
      <c r="X111" s="1">
        <f t="shared" si="96"/>
        <v>-1474.55</v>
      </c>
      <c r="Y111" s="1"/>
      <c r="Z111" s="5">
        <f t="shared" si="97"/>
        <v>-1</v>
      </c>
    </row>
    <row r="112" spans="1:26" s="24" customFormat="1" hidden="1" outlineLevel="2" x14ac:dyDescent="0.25">
      <c r="A112" s="28"/>
      <c r="B112" s="11" t="str">
        <f>CONCATENATE("          ", "6376", " - ", "TRAINING")</f>
        <v xml:space="preserve">          6376 - TRAINING</v>
      </c>
      <c r="C112" s="11"/>
      <c r="D112" s="7"/>
      <c r="E112" s="2"/>
      <c r="F112" s="6">
        <f t="shared" si="90"/>
        <v>0</v>
      </c>
      <c r="G112" s="2"/>
      <c r="H112" s="7">
        <v>430.7</v>
      </c>
      <c r="I112" s="2"/>
      <c r="J112" s="6">
        <f t="shared" si="91"/>
        <v>3.8666861422439547E-4</v>
      </c>
      <c r="K112" s="2"/>
      <c r="L112" s="7">
        <f t="shared" si="92"/>
        <v>-430.7</v>
      </c>
      <c r="M112" s="2"/>
      <c r="N112" s="6">
        <f t="shared" si="93"/>
        <v>-1</v>
      </c>
      <c r="O112" s="11"/>
      <c r="P112" s="7"/>
      <c r="Q112" s="2"/>
      <c r="R112" s="6">
        <f t="shared" si="94"/>
        <v>0</v>
      </c>
      <c r="S112" s="2"/>
      <c r="T112" s="7">
        <v>1474.55</v>
      </c>
      <c r="U112" s="2"/>
      <c r="V112" s="6">
        <f t="shared" si="95"/>
        <v>8.0648648898170336E-4</v>
      </c>
      <c r="W112" s="2"/>
      <c r="X112" s="7">
        <f t="shared" si="96"/>
        <v>-1474.55</v>
      </c>
      <c r="Y112" s="2"/>
      <c r="Z112" s="6">
        <f t="shared" si="97"/>
        <v>-1</v>
      </c>
    </row>
    <row r="113" spans="1:26" s="27" customFormat="1" outlineLevel="1" collapsed="1" x14ac:dyDescent="0.25">
      <c r="A113" s="29"/>
      <c r="B113" s="14" t="str">
        <f>CONCATENATE("     ","Travel                                            ")</f>
        <v xml:space="preserve">     Travel                                            </v>
      </c>
      <c r="C113" s="14"/>
      <c r="D113" s="1">
        <f>SUM(OSRRefD22_22x_0)</f>
        <v>152.52000000000001</v>
      </c>
      <c r="E113" s="1"/>
      <c r="F113" s="5">
        <f t="shared" si="90"/>
        <v>1.4609027482442733E-2</v>
      </c>
      <c r="G113" s="1"/>
      <c r="H113" s="1">
        <f>SUM(OSRRefH22_22x_0)</f>
        <v>249.82</v>
      </c>
      <c r="I113" s="1"/>
      <c r="J113" s="5">
        <f t="shared" si="91"/>
        <v>2.2428036500008933E-4</v>
      </c>
      <c r="K113" s="1"/>
      <c r="L113" s="1">
        <f t="shared" si="92"/>
        <v>-97.299999999999983</v>
      </c>
      <c r="M113" s="1"/>
      <c r="N113" s="5">
        <f t="shared" si="93"/>
        <v>-0.38948042590665272</v>
      </c>
      <c r="O113" s="14"/>
      <c r="P113" s="1">
        <f>SUM(OSRRefP22_22x_0)</f>
        <v>332.21</v>
      </c>
      <c r="Q113" s="1"/>
      <c r="R113" s="5">
        <f t="shared" si="94"/>
        <v>1.9590198590987009E-2</v>
      </c>
      <c r="S113" s="1"/>
      <c r="T113" s="1">
        <f>SUM(OSRRefT22_22x_0)</f>
        <v>1101.18</v>
      </c>
      <c r="U113" s="1"/>
      <c r="V113" s="5">
        <f t="shared" si="95"/>
        <v>6.0227648566469239E-4</v>
      </c>
      <c r="W113" s="1"/>
      <c r="X113" s="1">
        <f t="shared" si="96"/>
        <v>-768.97</v>
      </c>
      <c r="Y113" s="1"/>
      <c r="Z113" s="5">
        <f t="shared" si="97"/>
        <v>-0.69831453531666032</v>
      </c>
    </row>
    <row r="114" spans="1:26" s="24" customFormat="1" hidden="1" outlineLevel="2" x14ac:dyDescent="0.25">
      <c r="A114" s="28"/>
      <c r="B114" s="11" t="str">
        <f>CONCATENATE("          ", "6292", " - ", "TRAVEL/CONFERENCE")</f>
        <v xml:space="preserve">          6292 - TRAVEL/CONFERENCE</v>
      </c>
      <c r="C114" s="11"/>
      <c r="D114" s="7"/>
      <c r="E114" s="2"/>
      <c r="F114" s="6">
        <f t="shared" si="90"/>
        <v>0</v>
      </c>
      <c r="G114" s="2"/>
      <c r="H114" s="7"/>
      <c r="I114" s="2"/>
      <c r="J114" s="6">
        <f t="shared" si="91"/>
        <v>0</v>
      </c>
      <c r="K114" s="2"/>
      <c r="L114" s="7">
        <f t="shared" si="92"/>
        <v>0</v>
      </c>
      <c r="M114" s="2"/>
      <c r="N114" s="6">
        <f t="shared" si="93"/>
        <v>0</v>
      </c>
      <c r="O114" s="11"/>
      <c r="P114" s="7"/>
      <c r="Q114" s="2"/>
      <c r="R114" s="6">
        <f t="shared" si="94"/>
        <v>0</v>
      </c>
      <c r="S114" s="2"/>
      <c r="T114" s="7">
        <v>545.69000000000005</v>
      </c>
      <c r="U114" s="2"/>
      <c r="V114" s="6">
        <f t="shared" si="95"/>
        <v>2.9845824975241648E-4</v>
      </c>
      <c r="W114" s="2"/>
      <c r="X114" s="7">
        <f t="shared" si="96"/>
        <v>-545.69000000000005</v>
      </c>
      <c r="Y114" s="2"/>
      <c r="Z114" s="6">
        <f t="shared" si="97"/>
        <v>-1</v>
      </c>
    </row>
    <row r="115" spans="1:26" s="24" customFormat="1" hidden="1" outlineLevel="2" x14ac:dyDescent="0.25">
      <c r="A115" s="28"/>
      <c r="B115" s="11" t="str">
        <f>CONCATENATE("          ", "6294", " - ", "TRAVEL OPERATIONAL")</f>
        <v xml:space="preserve">          6294 - TRAVEL OPERATIONAL</v>
      </c>
      <c r="C115" s="11"/>
      <c r="D115" s="7"/>
      <c r="E115" s="2"/>
      <c r="F115" s="6">
        <f t="shared" si="90"/>
        <v>0</v>
      </c>
      <c r="G115" s="2"/>
      <c r="H115" s="7"/>
      <c r="I115" s="2"/>
      <c r="J115" s="6">
        <f t="shared" si="91"/>
        <v>0</v>
      </c>
      <c r="K115" s="2"/>
      <c r="L115" s="7">
        <f t="shared" si="92"/>
        <v>0</v>
      </c>
      <c r="M115" s="2"/>
      <c r="N115" s="6">
        <f t="shared" si="93"/>
        <v>0</v>
      </c>
      <c r="O115" s="11"/>
      <c r="P115" s="7"/>
      <c r="Q115" s="2"/>
      <c r="R115" s="6">
        <f t="shared" si="94"/>
        <v>0</v>
      </c>
      <c r="S115" s="2"/>
      <c r="T115" s="7">
        <v>45.49</v>
      </c>
      <c r="U115" s="2"/>
      <c r="V115" s="6">
        <f t="shared" si="95"/>
        <v>2.488018065428618E-5</v>
      </c>
      <c r="W115" s="2"/>
      <c r="X115" s="7">
        <f t="shared" si="96"/>
        <v>-45.49</v>
      </c>
      <c r="Y115" s="2"/>
      <c r="Z115" s="6">
        <f t="shared" si="97"/>
        <v>-1</v>
      </c>
    </row>
    <row r="116" spans="1:26" s="24" customFormat="1" hidden="1" outlineLevel="2" x14ac:dyDescent="0.25">
      <c r="A116" s="28"/>
      <c r="B116" s="11" t="str">
        <f>CONCATENATE("          ", "6298", " - ", "VEHICLE MILEAGE")</f>
        <v xml:space="preserve">          6298 - VEHICLE MILEAGE</v>
      </c>
      <c r="C116" s="11"/>
      <c r="D116" s="7">
        <v>152.52000000000001</v>
      </c>
      <c r="E116" s="2"/>
      <c r="F116" s="6">
        <f t="shared" si="90"/>
        <v>1.4609027482442733E-2</v>
      </c>
      <c r="G116" s="2"/>
      <c r="H116" s="7">
        <v>249.82</v>
      </c>
      <c r="I116" s="2"/>
      <c r="J116" s="6">
        <f t="shared" si="91"/>
        <v>2.2428036500008933E-4</v>
      </c>
      <c r="K116" s="2"/>
      <c r="L116" s="7">
        <f t="shared" si="92"/>
        <v>-97.299999999999983</v>
      </c>
      <c r="M116" s="2"/>
      <c r="N116" s="6">
        <f t="shared" si="93"/>
        <v>-0.38948042590665272</v>
      </c>
      <c r="O116" s="11"/>
      <c r="P116" s="7">
        <v>332.21</v>
      </c>
      <c r="Q116" s="2"/>
      <c r="R116" s="6">
        <f t="shared" si="94"/>
        <v>1.9590198590987009E-2</v>
      </c>
      <c r="S116" s="2"/>
      <c r="T116" s="7">
        <v>510</v>
      </c>
      <c r="U116" s="2"/>
      <c r="V116" s="6">
        <f t="shared" si="95"/>
        <v>2.789380552579897E-4</v>
      </c>
      <c r="W116" s="2"/>
      <c r="X116" s="7">
        <f t="shared" si="96"/>
        <v>-177.79000000000002</v>
      </c>
      <c r="Y116" s="2"/>
      <c r="Z116" s="6">
        <f t="shared" si="97"/>
        <v>-0.34860784313725496</v>
      </c>
    </row>
    <row r="117" spans="1:26" s="27" customFormat="1" outlineLevel="1" collapsed="1" x14ac:dyDescent="0.25">
      <c r="A117" s="29"/>
      <c r="B117" s="14" t="str">
        <f>CONCATENATE("     ","Utilities                                         ")</f>
        <v xml:space="preserve">     Utilities                                         </v>
      </c>
      <c r="C117" s="14"/>
      <c r="D117" s="1">
        <f>SUM(OSRRefD22_23x_0)</f>
        <v>2350</v>
      </c>
      <c r="E117" s="1"/>
      <c r="F117" s="5">
        <f t="shared" ref="F117:F118" si="98">IF(D$12=0,0,D117/D$12)</f>
        <v>0.22509319816247325</v>
      </c>
      <c r="G117" s="1"/>
      <c r="H117" s="1">
        <f>SUM(OSRRefH22_23x_0)</f>
        <v>18266</v>
      </c>
      <c r="I117" s="1"/>
      <c r="J117" s="5">
        <f t="shared" ref="J117:J118" si="99">IF(H$12=0,0,H117/H$12)</f>
        <v>1.6398627600238698E-2</v>
      </c>
      <c r="K117" s="1"/>
      <c r="L117" s="1">
        <f t="shared" ref="L117:L118" si="100">+D117-H117</f>
        <v>-15916</v>
      </c>
      <c r="M117" s="1"/>
      <c r="N117" s="5">
        <f t="shared" ref="N117:N118" si="101">IF(H117=0,0,L117/H117)</f>
        <v>-0.8713456695499836</v>
      </c>
      <c r="O117" s="14"/>
      <c r="P117" s="1">
        <f>SUM(OSRRefP22_23x_0)</f>
        <v>7050</v>
      </c>
      <c r="Q117" s="1"/>
      <c r="R117" s="5">
        <f t="shared" ref="R117:R118" si="102">IF(P$12=0,0,P117/P$12)</f>
        <v>0.41573372284536414</v>
      </c>
      <c r="S117" s="1"/>
      <c r="T117" s="1">
        <f>SUM(OSRRefT22_23x_0)</f>
        <v>32013.119999999999</v>
      </c>
      <c r="U117" s="1"/>
      <c r="V117" s="5">
        <f t="shared" ref="V117:V118" si="103">IF(T$12=0,0,T117/T$12)</f>
        <v>1.7509171442236578E-2</v>
      </c>
      <c r="W117" s="1"/>
      <c r="X117" s="1">
        <f t="shared" ref="X117:X118" si="104">+P117-T117</f>
        <v>-24963.119999999999</v>
      </c>
      <c r="Y117" s="1"/>
      <c r="Z117" s="5">
        <f t="shared" ref="Z117:Z118" si="105">IF(T117=0,0,X117/T117)</f>
        <v>-0.77977779110564671</v>
      </c>
    </row>
    <row r="118" spans="1:26" s="24" customFormat="1" hidden="1" outlineLevel="2" x14ac:dyDescent="0.25">
      <c r="A118" s="28"/>
      <c r="B118" s="11" t="str">
        <f>CONCATENATE("          ", "6274", " - ", "UTILITIES")</f>
        <v xml:space="preserve">          6274 - UTILITIES</v>
      </c>
      <c r="C118" s="11"/>
      <c r="D118" s="7">
        <v>2350</v>
      </c>
      <c r="E118" s="2"/>
      <c r="F118" s="6">
        <f t="shared" si="98"/>
        <v>0.22509319816247325</v>
      </c>
      <c r="G118" s="2"/>
      <c r="H118" s="7">
        <v>18266</v>
      </c>
      <c r="I118" s="2"/>
      <c r="J118" s="6">
        <f t="shared" si="99"/>
        <v>1.6398627600238698E-2</v>
      </c>
      <c r="K118" s="2"/>
      <c r="L118" s="7">
        <f t="shared" si="100"/>
        <v>-15916</v>
      </c>
      <c r="M118" s="2"/>
      <c r="N118" s="6">
        <f t="shared" si="101"/>
        <v>-0.8713456695499836</v>
      </c>
      <c r="O118" s="11"/>
      <c r="P118" s="7">
        <v>7050</v>
      </c>
      <c r="Q118" s="2"/>
      <c r="R118" s="6">
        <f t="shared" si="102"/>
        <v>0.41573372284536414</v>
      </c>
      <c r="S118" s="2"/>
      <c r="T118" s="7">
        <v>32013.119999999999</v>
      </c>
      <c r="U118" s="2"/>
      <c r="V118" s="6">
        <f t="shared" si="103"/>
        <v>1.7509171442236578E-2</v>
      </c>
      <c r="W118" s="2"/>
      <c r="X118" s="7">
        <f t="shared" si="104"/>
        <v>-24963.119999999999</v>
      </c>
      <c r="Y118" s="2"/>
      <c r="Z118" s="6">
        <f t="shared" si="105"/>
        <v>-0.77977779110564671</v>
      </c>
    </row>
    <row r="119" spans="1:26" s="60" customFormat="1" x14ac:dyDescent="0.25">
      <c r="A119" s="37"/>
      <c r="B119" s="37"/>
      <c r="C119" s="37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7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collapsed="1" x14ac:dyDescent="0.25">
      <c r="A120" s="10"/>
      <c r="B120" s="26" t="s">
        <v>0</v>
      </c>
      <c r="C120" s="10"/>
      <c r="D120" s="4">
        <f>SUM(OSRRefD25x_0)</f>
        <v>805.53</v>
      </c>
      <c r="E120" s="4"/>
      <c r="F120" s="12">
        <f t="shared" ref="F120:F123" si="106">IF(D$12=0,0,D120/D$12)</f>
        <v>7.7157159113113646E-2</v>
      </c>
      <c r="G120" s="4"/>
      <c r="H120" s="4">
        <f>SUM(OSRRefH25x_0)</f>
        <v>237266.33000000002</v>
      </c>
      <c r="I120" s="4"/>
      <c r="J120" s="12">
        <f t="shared" ref="J120:J123" si="107">IF(H$12=0,0,H120/H$12)</f>
        <v>0.21301008363874649</v>
      </c>
      <c r="K120" s="4"/>
      <c r="L120" s="4">
        <f t="shared" ref="L120:L123" si="108">+D120-H120</f>
        <v>-236460.80000000002</v>
      </c>
      <c r="M120" s="4"/>
      <c r="N120" s="12">
        <f t="shared" ref="N120:N123" si="109">IF(H120=0,0,L120/H120)</f>
        <v>-0.99660495444085972</v>
      </c>
      <c r="O120" s="10"/>
      <c r="P120" s="4">
        <f>SUM(OSRRefP25x_0)</f>
        <v>3619.9199999999996</v>
      </c>
      <c r="Q120" s="4"/>
      <c r="R120" s="12">
        <f t="shared" ref="R120:R123" si="110">IF(P$12=0,0,P120/P$12)</f>
        <v>0.21346422950388516</v>
      </c>
      <c r="S120" s="4"/>
      <c r="T120" s="4">
        <f>SUM(OSRRefT25x_0)</f>
        <v>302660.99</v>
      </c>
      <c r="U120" s="4"/>
      <c r="V120" s="12">
        <f t="shared" ref="V120:V123" si="111">IF(T$12=0,0,T120/T$12)</f>
        <v>0.16553660382952523</v>
      </c>
      <c r="W120" s="4"/>
      <c r="X120" s="4">
        <f t="shared" ref="X120:X123" si="112">+P120-T120</f>
        <v>-299041.07</v>
      </c>
      <c r="Y120" s="4"/>
      <c r="Z120" s="12">
        <f t="shared" ref="Z120:Z123" si="113">IF(T120=0,0,X120/T120)</f>
        <v>-0.98803968757255445</v>
      </c>
    </row>
    <row r="121" spans="1:26" s="24" customFormat="1" hidden="1" outlineLevel="1" x14ac:dyDescent="0.25">
      <c r="A121" s="44"/>
      <c r="B121" s="11" t="str">
        <f>CONCATENATE("          ", "9150", " - ", "MISC. INCOME")</f>
        <v xml:space="preserve">          9150 - MISC. INCOME</v>
      </c>
      <c r="C121" s="11"/>
      <c r="D121" s="2">
        <f>--180.85</f>
        <v>180.85</v>
      </c>
      <c r="E121" s="2"/>
      <c r="F121" s="19">
        <f t="shared" si="106"/>
        <v>1.7322597824546079E-2</v>
      </c>
      <c r="G121" s="2"/>
      <c r="H121" s="2">
        <f>--18738.99</f>
        <v>18738.990000000002</v>
      </c>
      <c r="I121" s="2"/>
      <c r="J121" s="19">
        <f t="shared" si="107"/>
        <v>1.682326281696031E-2</v>
      </c>
      <c r="K121" s="2"/>
      <c r="L121" s="2">
        <f t="shared" si="108"/>
        <v>-18558.140000000003</v>
      </c>
      <c r="M121" s="2"/>
      <c r="N121" s="19">
        <f t="shared" si="109"/>
        <v>-0.99034899959923139</v>
      </c>
      <c r="O121" s="11"/>
      <c r="P121" s="2">
        <f>--804.68</f>
        <v>804.68</v>
      </c>
      <c r="Q121" s="2"/>
      <c r="R121" s="19">
        <f t="shared" si="110"/>
        <v>4.7451434340313133E-2</v>
      </c>
      <c r="S121" s="2"/>
      <c r="T121" s="2">
        <f>--66526.94</f>
        <v>66526.94</v>
      </c>
      <c r="U121" s="2"/>
      <c r="V121" s="19">
        <f t="shared" si="111"/>
        <v>3.6386069148754835E-2</v>
      </c>
      <c r="W121" s="2"/>
      <c r="X121" s="2">
        <f t="shared" si="112"/>
        <v>-65722.260000000009</v>
      </c>
      <c r="Y121" s="2"/>
      <c r="Z121" s="19">
        <f t="shared" si="113"/>
        <v>-0.98790444893452201</v>
      </c>
    </row>
    <row r="122" spans="1:26" s="24" customFormat="1" hidden="1" outlineLevel="1" x14ac:dyDescent="0.25">
      <c r="A122" s="44"/>
      <c r="B122" s="11" t="str">
        <f>CONCATENATE("          ", "9160", " - ", "MISC. INCOME")</f>
        <v xml:space="preserve">          9160 - MISC. INCOME</v>
      </c>
      <c r="C122" s="11"/>
      <c r="D122" s="2">
        <f>0</f>
        <v>0</v>
      </c>
      <c r="E122" s="2"/>
      <c r="F122" s="19">
        <f t="shared" si="106"/>
        <v>0</v>
      </c>
      <c r="G122" s="2"/>
      <c r="H122" s="2">
        <f>--20000</f>
        <v>20000</v>
      </c>
      <c r="I122" s="2"/>
      <c r="J122" s="19">
        <f t="shared" si="107"/>
        <v>1.7955357057088249E-2</v>
      </c>
      <c r="K122" s="2"/>
      <c r="L122" s="2">
        <f t="shared" si="108"/>
        <v>-20000</v>
      </c>
      <c r="M122" s="2"/>
      <c r="N122" s="19">
        <f t="shared" si="109"/>
        <v>-1</v>
      </c>
      <c r="O122" s="11"/>
      <c r="P122" s="2">
        <f>--1990.06</f>
        <v>1990.06</v>
      </c>
      <c r="Q122" s="2"/>
      <c r="R122" s="19">
        <f t="shared" si="110"/>
        <v>0.11735248971427593</v>
      </c>
      <c r="S122" s="2"/>
      <c r="T122" s="2">
        <f>--30973.27</f>
        <v>30973.27</v>
      </c>
      <c r="U122" s="2"/>
      <c r="V122" s="19">
        <f t="shared" si="111"/>
        <v>1.6940438625060068E-2</v>
      </c>
      <c r="W122" s="2"/>
      <c r="X122" s="2">
        <f t="shared" si="112"/>
        <v>-28983.21</v>
      </c>
      <c r="Y122" s="2"/>
      <c r="Z122" s="19">
        <f t="shared" si="113"/>
        <v>-0.93574911528553484</v>
      </c>
    </row>
    <row r="123" spans="1:26" s="24" customFormat="1" hidden="1" outlineLevel="1" x14ac:dyDescent="0.25">
      <c r="A123" s="44"/>
      <c r="B123" s="11" t="str">
        <f>CONCATENATE("          ", "9165", " - ", "OTHER INCOME")</f>
        <v xml:space="preserve">          9165 - OTHER INCOME</v>
      </c>
      <c r="C123" s="11"/>
      <c r="D123" s="2">
        <f>--624.68</f>
        <v>624.67999999999995</v>
      </c>
      <c r="E123" s="2"/>
      <c r="F123" s="19">
        <f t="shared" si="106"/>
        <v>5.9834561288567567E-2</v>
      </c>
      <c r="G123" s="2"/>
      <c r="H123" s="2">
        <f>--198527.34</f>
        <v>198527.34</v>
      </c>
      <c r="I123" s="2"/>
      <c r="J123" s="19">
        <f t="shared" si="107"/>
        <v>0.17823146376469792</v>
      </c>
      <c r="K123" s="2"/>
      <c r="L123" s="2">
        <f t="shared" si="108"/>
        <v>-197902.66</v>
      </c>
      <c r="M123" s="2"/>
      <c r="N123" s="19">
        <f t="shared" si="109"/>
        <v>-0.99685343086750677</v>
      </c>
      <c r="O123" s="11"/>
      <c r="P123" s="2">
        <f>--825.18</f>
        <v>825.18</v>
      </c>
      <c r="Q123" s="2"/>
      <c r="R123" s="19">
        <f t="shared" si="110"/>
        <v>4.8660305449296108E-2</v>
      </c>
      <c r="S123" s="2"/>
      <c r="T123" s="2">
        <f>--205160.78</f>
        <v>205160.78</v>
      </c>
      <c r="U123" s="2"/>
      <c r="V123" s="19">
        <f t="shared" si="111"/>
        <v>0.11221009605571033</v>
      </c>
      <c r="W123" s="2"/>
      <c r="X123" s="2">
        <f t="shared" si="112"/>
        <v>-204335.6</v>
      </c>
      <c r="Y123" s="2"/>
      <c r="Z123" s="19">
        <f t="shared" si="113"/>
        <v>-0.99597788622172334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10"/>
      <c r="B125" s="25" t="s">
        <v>3</v>
      </c>
      <c r="C125" s="25"/>
      <c r="D125" s="22">
        <f>+D33-D35+D120</f>
        <v>-140585.01</v>
      </c>
      <c r="E125" s="13"/>
      <c r="F125" s="21">
        <f>IF(D$12=0,0,D125/D$12)</f>
        <v>-13.465842346639697</v>
      </c>
      <c r="G125" s="13"/>
      <c r="H125" s="22">
        <f>+H33-H35+H120</f>
        <v>248436.65999999997</v>
      </c>
      <c r="I125" s="13"/>
      <c r="J125" s="21">
        <f>IF(H$12=0,0,H125/H$12)</f>
        <v>0.2230384468185217</v>
      </c>
      <c r="K125" s="15"/>
      <c r="L125" s="22">
        <f>+D125-H125</f>
        <v>-389021.67</v>
      </c>
      <c r="M125" s="15"/>
      <c r="N125" s="21">
        <f>IF(H125=0,0,L125/H125)</f>
        <v>-1.5658786831218872</v>
      </c>
      <c r="O125" s="26"/>
      <c r="P125" s="22">
        <f>+P33-P35+P120</f>
        <v>-410444.52000000008</v>
      </c>
      <c r="Q125" s="13"/>
      <c r="R125" s="21">
        <f>IF(P$12=0,0,P125/P$12)</f>
        <v>-24.203635222848021</v>
      </c>
      <c r="S125" s="13"/>
      <c r="T125" s="22">
        <f>+T33-T35+T120</f>
        <v>-208741.02000000002</v>
      </c>
      <c r="U125" s="13"/>
      <c r="V125" s="21">
        <f>IF(T$12=0,0,T125/T$12)</f>
        <v>-0.11416826308111595</v>
      </c>
      <c r="W125" s="15"/>
      <c r="X125" s="22">
        <f>+P125-T125</f>
        <v>-201703.50000000006</v>
      </c>
      <c r="Y125" s="15"/>
      <c r="Z125" s="21">
        <f>IF(T125=0,0,X125/T125)</f>
        <v>0.96628587902847285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x14ac:dyDescent="0.25">
      <c r="A127" s="51"/>
      <c r="B127" s="10" t="s">
        <v>13</v>
      </c>
      <c r="C127" s="10"/>
      <c r="D127" s="4">
        <v>2041.11</v>
      </c>
      <c r="E127" s="4"/>
      <c r="F127" s="12">
        <f>IF(D$12=0,0,D127/D$12)</f>
        <v>0.19550637348995989</v>
      </c>
      <c r="G127" s="4"/>
      <c r="H127" s="4">
        <v>107306.62000000001</v>
      </c>
      <c r="I127" s="4"/>
      <c r="J127" s="12">
        <f>IF(H$12=0,0,H127/H$12)</f>
        <v>9.6336433834464372E-2</v>
      </c>
      <c r="K127" s="4"/>
      <c r="L127" s="4">
        <f>+D127-H127</f>
        <v>-105265.51000000001</v>
      </c>
      <c r="M127" s="4"/>
      <c r="N127" s="12">
        <f>IF(H127=0,0,L127/H127)</f>
        <v>-0.9809787131492913</v>
      </c>
      <c r="O127" s="10"/>
      <c r="P127" s="4">
        <v>3141.56</v>
      </c>
      <c r="Q127" s="4"/>
      <c r="R127" s="12">
        <f>IF(P$12=0,0,P127/P$12)</f>
        <v>0.18525566444568539</v>
      </c>
      <c r="S127" s="4"/>
      <c r="T127" s="4">
        <v>196390.39999999999</v>
      </c>
      <c r="U127" s="4"/>
      <c r="V127" s="12">
        <f>IF(T$12=0,0,T127/T$12)</f>
        <v>0.10741324754380137</v>
      </c>
      <c r="W127" s="4"/>
      <c r="X127" s="4">
        <f>+P127-T127</f>
        <v>-193248.84</v>
      </c>
      <c r="Y127" s="4"/>
      <c r="Z127" s="12">
        <f>IF(T127=0,0,X127/T127)</f>
        <v>-0.98400349507918927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5" t="s">
        <v>4</v>
      </c>
      <c r="C129" s="25"/>
      <c r="D129" s="33">
        <f>+D125-D127</f>
        <v>-142626.12</v>
      </c>
      <c r="E129" s="13"/>
      <c r="F129" s="32">
        <f>IF(D$12=0,0,D129/D$12)</f>
        <v>-13.661348720129654</v>
      </c>
      <c r="G129" s="13"/>
      <c r="H129" s="33">
        <f>+H125-H127</f>
        <v>141130.03999999998</v>
      </c>
      <c r="I129" s="13"/>
      <c r="J129" s="32">
        <f>IF(H$12=0,0,H129/H$12)</f>
        <v>0.12670201298405734</v>
      </c>
      <c r="K129" s="15"/>
      <c r="L129" s="33">
        <f>D129-H129</f>
        <v>-283756.15999999997</v>
      </c>
      <c r="M129" s="15"/>
      <c r="N129" s="32">
        <f>IF(H129=0,0,L129/H129)</f>
        <v>-2.0106007197333753</v>
      </c>
      <c r="O129" s="26"/>
      <c r="P129" s="33">
        <f>+P125-P127</f>
        <v>-413586.08000000007</v>
      </c>
      <c r="Q129" s="13"/>
      <c r="R129" s="32">
        <f>IF(P$12=0,0,P129/P$12)</f>
        <v>-24.388890887293705</v>
      </c>
      <c r="S129" s="13"/>
      <c r="T129" s="33">
        <f>+T125-T127</f>
        <v>-405131.42000000004</v>
      </c>
      <c r="U129" s="13"/>
      <c r="V129" s="32">
        <f>IF(T$12=0,0,T129/T$12)</f>
        <v>-0.22158151062491735</v>
      </c>
      <c r="W129" s="15"/>
      <c r="X129" s="33">
        <f>P129-T129</f>
        <v>-8454.6600000000326</v>
      </c>
      <c r="Y129" s="15"/>
      <c r="Z129" s="32">
        <f>IF(T129=0,0,X129/T129)</f>
        <v>2.0868931864134438E-2</v>
      </c>
    </row>
    <row r="130" spans="1:26" ht="15.75" thickTop="1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x14ac:dyDescent="0.25">
      <c r="A131" s="9"/>
      <c r="B131" s="9"/>
      <c r="C131" s="9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ht="15.75" thickBot="1" x14ac:dyDescent="0.3">
      <c r="A132" s="10"/>
      <c r="B132" s="25" t="s">
        <v>5</v>
      </c>
      <c r="C132" s="25"/>
      <c r="D132" s="34">
        <f>SUM(D129:D131)</f>
        <v>-142626.12</v>
      </c>
      <c r="E132" s="13"/>
      <c r="F132" s="31">
        <f>IF(D$12=0,0,D132/D$12)</f>
        <v>-13.661348720129654</v>
      </c>
      <c r="G132" s="13"/>
      <c r="H132" s="34">
        <f>SUM(H129:H131)</f>
        <v>141130.03999999998</v>
      </c>
      <c r="I132" s="13"/>
      <c r="J132" s="31">
        <f>IF(H$12=0,0,H132/H$12)</f>
        <v>0.12670201298405734</v>
      </c>
      <c r="K132" s="15"/>
      <c r="L132" s="34">
        <f>+D132-H132</f>
        <v>-283756.15999999997</v>
      </c>
      <c r="M132" s="15"/>
      <c r="N132" s="31">
        <f>IF(H132=0,0,L132/H132)</f>
        <v>-2.0106007197333753</v>
      </c>
      <c r="O132" s="26"/>
      <c r="P132" s="34">
        <f>SUM(P129:P131)</f>
        <v>-413586.08000000007</v>
      </c>
      <c r="Q132" s="13"/>
      <c r="R132" s="31">
        <f>IF(P$12=0,0,P132/P$12)</f>
        <v>-24.388890887293705</v>
      </c>
      <c r="S132" s="13"/>
      <c r="T132" s="34">
        <f>SUM(T129:T131)</f>
        <v>-405131.42000000004</v>
      </c>
      <c r="U132" s="13"/>
      <c r="V132" s="31">
        <f>IF(T$12=0,0,T132/T$12)</f>
        <v>-0.22158151062491735</v>
      </c>
      <c r="W132" s="15"/>
      <c r="X132" s="34">
        <f>+P132-T132</f>
        <v>-8454.6600000000326</v>
      </c>
      <c r="Y132" s="15"/>
      <c r="Z132" s="31">
        <f>IF(T132=0,0,X132/T132)</f>
        <v>2.0868931864134438E-2</v>
      </c>
    </row>
    <row r="133" spans="1:26" ht="15.75" thickTop="1" x14ac:dyDescent="0.25">
      <c r="A133" s="9"/>
      <c r="C133" s="9"/>
      <c r="D133" s="18"/>
      <c r="E133" s="18"/>
      <c r="G133" s="18"/>
      <c r="H133" s="18"/>
      <c r="I133" s="18"/>
      <c r="J133" s="42"/>
      <c r="K133" s="18"/>
      <c r="L133" s="18"/>
      <c r="M133" s="18"/>
      <c r="P133" s="18"/>
      <c r="Q133" s="18"/>
      <c r="R133" s="42"/>
      <c r="S133" s="18"/>
      <c r="T133" s="18"/>
      <c r="U133" s="18"/>
      <c r="V133" s="42"/>
      <c r="W133" s="18"/>
      <c r="X133" s="18"/>
    </row>
    <row r="134" spans="1:26" x14ac:dyDescent="0.25">
      <c r="A134" s="9"/>
      <c r="B134" s="54">
        <v>44123.564829780094</v>
      </c>
      <c r="D134" s="18"/>
      <c r="E134" s="18"/>
      <c r="G134" s="18"/>
      <c r="H134" s="18"/>
      <c r="I134" s="18"/>
      <c r="J134" s="42"/>
      <c r="K134" s="18"/>
      <c r="L134" s="18"/>
      <c r="M134" s="18"/>
      <c r="P134" s="18"/>
      <c r="Q134" s="18"/>
      <c r="R134" s="42"/>
      <c r="S134" s="18"/>
      <c r="T134" s="18"/>
      <c r="U134" s="18"/>
      <c r="V134" s="42"/>
      <c r="W134" s="18"/>
      <c r="X134" s="18"/>
    </row>
    <row r="135" spans="1:26" x14ac:dyDescent="0.25">
      <c r="A135" s="9"/>
      <c r="B135" s="59" t="s">
        <v>313</v>
      </c>
      <c r="D135" s="18"/>
      <c r="E135" s="18"/>
      <c r="G135" s="18"/>
      <c r="H135" s="18"/>
      <c r="I135" s="18"/>
      <c r="J135" s="42"/>
      <c r="K135" s="18"/>
      <c r="L135" s="18"/>
      <c r="M135" s="18"/>
      <c r="P135" s="18"/>
      <c r="Q135" s="18"/>
      <c r="R135" s="42"/>
      <c r="S135" s="18"/>
      <c r="T135" s="18"/>
      <c r="U135" s="18"/>
      <c r="V135" s="42"/>
      <c r="W135" s="18"/>
      <c r="X135" s="18"/>
    </row>
    <row r="136" spans="1:26" x14ac:dyDescent="0.25">
      <c r="A136" s="9"/>
      <c r="B136" s="58"/>
      <c r="D136" s="18"/>
      <c r="E136" s="18"/>
      <c r="G136" s="18"/>
      <c r="H136" s="18"/>
      <c r="I136" s="18"/>
      <c r="J136" s="42"/>
      <c r="K136" s="18"/>
      <c r="L136" s="18"/>
      <c r="M136" s="18"/>
      <c r="P136" s="18"/>
      <c r="Q136" s="18"/>
      <c r="R136" s="42"/>
      <c r="S136" s="18"/>
      <c r="T136" s="18"/>
      <c r="U136" s="18"/>
      <c r="V136" s="42"/>
      <c r="W136" s="18"/>
      <c r="X136" s="18"/>
    </row>
    <row r="137" spans="1:26" x14ac:dyDescent="0.25">
      <c r="D137" s="18"/>
      <c r="E137" s="18"/>
      <c r="G137" s="18"/>
      <c r="H137" s="18"/>
      <c r="I137" s="18"/>
      <c r="J137" s="42"/>
      <c r="K137" s="18"/>
      <c r="L137" s="18"/>
      <c r="M137" s="18"/>
      <c r="P137" s="18"/>
      <c r="Q137" s="18"/>
      <c r="R137" s="42"/>
      <c r="S137" s="18"/>
      <c r="T137" s="18"/>
      <c r="U137" s="18"/>
      <c r="V137" s="42"/>
      <c r="W137" s="18"/>
      <c r="X137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299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8677.65</v>
      </c>
      <c r="E12" s="4"/>
      <c r="F12" s="12"/>
      <c r="G12" s="4"/>
      <c r="H12" s="4">
        <f>SUM(OSRRefH13x_0)</f>
        <v>712931.16</v>
      </c>
      <c r="I12" s="4"/>
      <c r="J12" s="12"/>
      <c r="K12" s="4"/>
      <c r="L12" s="4">
        <f t="shared" ref="L12:L21" si="0">+D12-H12</f>
        <v>-704253.51</v>
      </c>
      <c r="M12" s="4"/>
      <c r="N12" s="12">
        <f t="shared" ref="N12:N21" si="1">IF(H12=0,0,L12/H12)</f>
        <v>-0.98782820770521518</v>
      </c>
      <c r="O12" s="10"/>
      <c r="P12" s="4">
        <f>SUM(OSRRefP13x_0)</f>
        <v>14371.5</v>
      </c>
      <c r="Q12" s="4"/>
      <c r="R12" s="12"/>
      <c r="S12" s="4"/>
      <c r="T12" s="4">
        <f>SUM(OSRRefT13x_0)</f>
        <v>1239877.0900000003</v>
      </c>
      <c r="U12" s="4"/>
      <c r="V12" s="12"/>
      <c r="W12" s="4"/>
      <c r="X12" s="4">
        <f t="shared" ref="X12:X21" si="2">+P12-T12</f>
        <v>-1225505.5900000003</v>
      </c>
      <c r="Y12" s="4"/>
      <c r="Z12" s="12">
        <f t="shared" ref="Z12:Z21" si="3">IF(T12=0,0,X12/T12)</f>
        <v>-0.98840893172725697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--4141.96</f>
        <v>4141.96</v>
      </c>
      <c r="E13" s="2"/>
      <c r="F13" s="19"/>
      <c r="G13" s="2"/>
      <c r="H13" s="2">
        <f>--82575.01</f>
        <v>82575.009999999995</v>
      </c>
      <c r="I13" s="2"/>
      <c r="J13" s="19"/>
      <c r="K13" s="2"/>
      <c r="L13" s="2">
        <f t="shared" si="0"/>
        <v>-78433.049999999988</v>
      </c>
      <c r="M13" s="2"/>
      <c r="N13" s="19">
        <f t="shared" si="1"/>
        <v>-0.94984003029487973</v>
      </c>
      <c r="O13" s="11"/>
      <c r="P13" s="2">
        <f>--6652.68</f>
        <v>6652.68</v>
      </c>
      <c r="Q13" s="2"/>
      <c r="R13" s="19"/>
      <c r="S13" s="2"/>
      <c r="T13" s="2">
        <f>--135770.76</f>
        <v>135770.76</v>
      </c>
      <c r="U13" s="2"/>
      <c r="V13" s="19"/>
      <c r="W13" s="2"/>
      <c r="X13" s="2">
        <f t="shared" si="2"/>
        <v>-129118.08000000002</v>
      </c>
      <c r="Y13" s="2"/>
      <c r="Z13" s="19">
        <f t="shared" si="3"/>
        <v>-0.95100064255366923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ref="D14:D17" si="4">0</f>
        <v>0</v>
      </c>
      <c r="E14" s="2"/>
      <c r="F14" s="19"/>
      <c r="G14" s="2"/>
      <c r="H14" s="2">
        <f>--113975.81</f>
        <v>113975.81</v>
      </c>
      <c r="I14" s="2"/>
      <c r="J14" s="19"/>
      <c r="K14" s="2"/>
      <c r="L14" s="2">
        <f t="shared" si="0"/>
        <v>-113975.81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--253506.01</f>
        <v>253506.01</v>
      </c>
      <c r="U14" s="2"/>
      <c r="V14" s="19"/>
      <c r="W14" s="2"/>
      <c r="X14" s="2">
        <f t="shared" si="2"/>
        <v>-253506.01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--1983.68</f>
        <v>1983.68</v>
      </c>
      <c r="I15" s="2"/>
      <c r="J15" s="19"/>
      <c r="K15" s="2"/>
      <c r="L15" s="2">
        <f t="shared" si="0"/>
        <v>-1983.68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--46832.42</f>
        <v>46832.42</v>
      </c>
      <c r="U15" s="2"/>
      <c r="V15" s="19"/>
      <c r="W15" s="2"/>
      <c r="X15" s="2">
        <f t="shared" si="2"/>
        <v>-46832.42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--66898.61</f>
        <v>66898.61</v>
      </c>
      <c r="I16" s="2"/>
      <c r="J16" s="19"/>
      <c r="K16" s="2"/>
      <c r="L16" s="2">
        <f t="shared" si="0"/>
        <v>-66898.61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--110835.68</f>
        <v>110835.68</v>
      </c>
      <c r="U16" s="2"/>
      <c r="V16" s="19"/>
      <c r="W16" s="2"/>
      <c r="X16" s="2">
        <f t="shared" si="2"/>
        <v>-110835.68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--24452.76</f>
        <v>24452.76</v>
      </c>
      <c r="I17" s="2"/>
      <c r="J17" s="19"/>
      <c r="K17" s="2"/>
      <c r="L17" s="2">
        <f t="shared" si="0"/>
        <v>-24452.76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--42290.9</f>
        <v>42290.9</v>
      </c>
      <c r="U17" s="2"/>
      <c r="V17" s="19"/>
      <c r="W17" s="2"/>
      <c r="X17" s="2">
        <f t="shared" si="2"/>
        <v>-41315.99</v>
      </c>
      <c r="Y17" s="2"/>
      <c r="Z17" s="19">
        <f t="shared" si="3"/>
        <v>-0.97694752298957921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--4535.69</f>
        <v>4535.6899999999996</v>
      </c>
      <c r="E18" s="2"/>
      <c r="F18" s="19"/>
      <c r="G18" s="2"/>
      <c r="H18" s="2">
        <f>--230707.54</f>
        <v>230707.54</v>
      </c>
      <c r="I18" s="2"/>
      <c r="J18" s="19"/>
      <c r="K18" s="2"/>
      <c r="L18" s="2">
        <f t="shared" si="0"/>
        <v>-226171.85</v>
      </c>
      <c r="M18" s="2"/>
      <c r="N18" s="19">
        <f t="shared" si="1"/>
        <v>-0.98034008771451508</v>
      </c>
      <c r="O18" s="11"/>
      <c r="P18" s="2">
        <f>--6743.91</f>
        <v>6743.91</v>
      </c>
      <c r="Q18" s="2"/>
      <c r="R18" s="19"/>
      <c r="S18" s="2"/>
      <c r="T18" s="2">
        <f>--339551.09</f>
        <v>339551.09</v>
      </c>
      <c r="U18" s="2"/>
      <c r="V18" s="19"/>
      <c r="W18" s="2"/>
      <c r="X18" s="2">
        <f t="shared" si="2"/>
        <v>-332807.18000000005</v>
      </c>
      <c r="Y18" s="2"/>
      <c r="Z18" s="19">
        <f t="shared" si="3"/>
        <v>-0.98013874730898387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ref="D19:D21" si="6">0</f>
        <v>0</v>
      </c>
      <c r="E19" s="2"/>
      <c r="F19" s="19"/>
      <c r="G19" s="2"/>
      <c r="H19" s="2">
        <f>--8131.54</f>
        <v>8131.54</v>
      </c>
      <c r="I19" s="2"/>
      <c r="J19" s="19"/>
      <c r="K19" s="2"/>
      <c r="L19" s="2">
        <f t="shared" si="0"/>
        <v>-8131.54</v>
      </c>
      <c r="M19" s="2"/>
      <c r="N19" s="19">
        <f t="shared" si="1"/>
        <v>-1</v>
      </c>
      <c r="O19" s="11"/>
      <c r="P19" s="2">
        <f t="shared" ref="P19:P21" si="7">0</f>
        <v>0</v>
      </c>
      <c r="Q19" s="2"/>
      <c r="R19" s="19"/>
      <c r="S19" s="2"/>
      <c r="T19" s="2">
        <f>--15789.06</f>
        <v>15789.06</v>
      </c>
      <c r="U19" s="2"/>
      <c r="V19" s="19"/>
      <c r="W19" s="2"/>
      <c r="X19" s="2">
        <f t="shared" si="2"/>
        <v>-15789.06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"4155", " - ", "NON-TAXABLE SALES-FOOD")</f>
        <v xml:space="preserve">          4155 - NON-TAXABLE SALES-FOOD</v>
      </c>
      <c r="C20" s="11"/>
      <c r="D20" s="2">
        <f t="shared" si="6"/>
        <v>0</v>
      </c>
      <c r="E20" s="2"/>
      <c r="F20" s="19"/>
      <c r="G20" s="2"/>
      <c r="H20" s="2">
        <f>--112329.49</f>
        <v>112329.49</v>
      </c>
      <c r="I20" s="2"/>
      <c r="J20" s="19"/>
      <c r="K20" s="2"/>
      <c r="L20" s="2">
        <f t="shared" si="0"/>
        <v>-112329.49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--183054.54</f>
        <v>183054.54</v>
      </c>
      <c r="U20" s="2"/>
      <c r="V20" s="19"/>
      <c r="W20" s="2"/>
      <c r="X20" s="2">
        <f t="shared" si="2"/>
        <v>-183054.54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"4158", " - ", "NON-TAXABLE SALES-FOOD")</f>
        <v xml:space="preserve">          4158 - NON-TAXABLE SALES-FOOD</v>
      </c>
      <c r="C21" s="11"/>
      <c r="D21" s="2">
        <f t="shared" si="6"/>
        <v>0</v>
      </c>
      <c r="E21" s="2"/>
      <c r="F21" s="19"/>
      <c r="G21" s="2"/>
      <c r="H21" s="2">
        <f>--71876.72</f>
        <v>71876.72</v>
      </c>
      <c r="I21" s="2"/>
      <c r="J21" s="19"/>
      <c r="K21" s="2"/>
      <c r="L21" s="2">
        <f t="shared" si="0"/>
        <v>-71876.72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--112246.63</f>
        <v>112246.63</v>
      </c>
      <c r="U21" s="2"/>
      <c r="V21" s="19"/>
      <c r="W21" s="2"/>
      <c r="X21" s="2">
        <f t="shared" si="2"/>
        <v>-112246.63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6" t="s">
        <v>8</v>
      </c>
      <c r="C23" s="10"/>
      <c r="D23" s="4">
        <f>SUM(OSRRefD16x_0)</f>
        <v>1770.46</v>
      </c>
      <c r="E23" s="4"/>
      <c r="F23" s="12">
        <f t="shared" ref="F23:F25" si="8">IF(D$12=0,0,D23/D$12)</f>
        <v>0.20402528334284054</v>
      </c>
      <c r="G23" s="4"/>
      <c r="H23" s="4">
        <f>SUM(OSRRefH16x_0)</f>
        <v>263452.11</v>
      </c>
      <c r="I23" s="4"/>
      <c r="J23" s="12">
        <f t="shared" ref="J23:J25" si="9">IF(H$12=0,0,H23/H$12)</f>
        <v>0.36953372889466629</v>
      </c>
      <c r="K23" s="4"/>
      <c r="L23" s="4">
        <f t="shared" ref="L23:L25" si="10">+D23-H23</f>
        <v>-261681.65</v>
      </c>
      <c r="M23" s="4"/>
      <c r="N23" s="12">
        <f t="shared" ref="N23:N25" si="11">IF(H23=0,0,L23/H23)</f>
        <v>-0.99327976534331042</v>
      </c>
      <c r="O23" s="10"/>
      <c r="P23" s="4">
        <f>SUM(OSRRefP16x_0)</f>
        <v>6016.4</v>
      </c>
      <c r="Q23" s="4"/>
      <c r="R23" s="12">
        <f t="shared" ref="R23:R25" si="12">IF(P$12=0,0,P23/P$12)</f>
        <v>0.41863410221619174</v>
      </c>
      <c r="S23" s="4"/>
      <c r="T23" s="4">
        <f>SUM(OSRRefT16x_0)</f>
        <v>441910.93</v>
      </c>
      <c r="U23" s="4"/>
      <c r="V23" s="12">
        <f t="shared" ref="V23:V25" si="13">IF(T$12=0,0,T23/T$12)</f>
        <v>0.35641511046873192</v>
      </c>
      <c r="W23" s="4"/>
      <c r="X23" s="4">
        <f t="shared" ref="X23:X25" si="14">+P23-T23</f>
        <v>-435894.52999999997</v>
      </c>
      <c r="Y23" s="4"/>
      <c r="Z23" s="12">
        <f t="shared" ref="Z23:Z25" si="15">IF(T23=0,0,X23/T23)</f>
        <v>-0.98638549175509183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1229.4000000000001</v>
      </c>
      <c r="E24" s="2"/>
      <c r="F24" s="19">
        <f t="shared" si="8"/>
        <v>0.14167430122210509</v>
      </c>
      <c r="G24" s="2"/>
      <c r="H24" s="2">
        <v>246283.88</v>
      </c>
      <c r="I24" s="2"/>
      <c r="J24" s="19">
        <f t="shared" si="9"/>
        <v>0.34545253990581642</v>
      </c>
      <c r="K24" s="2"/>
      <c r="L24" s="2">
        <f t="shared" si="10"/>
        <v>-245054.48</v>
      </c>
      <c r="M24" s="2"/>
      <c r="N24" s="19">
        <f t="shared" si="11"/>
        <v>-0.9950081994810217</v>
      </c>
      <c r="O24" s="11"/>
      <c r="P24" s="2">
        <v>5430.34</v>
      </c>
      <c r="Q24" s="2"/>
      <c r="R24" s="19">
        <f t="shared" si="12"/>
        <v>0.3778547820338865</v>
      </c>
      <c r="S24" s="2"/>
      <c r="T24" s="2">
        <v>449767.04</v>
      </c>
      <c r="U24" s="2"/>
      <c r="V24" s="19">
        <f t="shared" si="13"/>
        <v>0.36275131109971542</v>
      </c>
      <c r="W24" s="2"/>
      <c r="X24" s="2">
        <f t="shared" si="14"/>
        <v>-444336.69999999995</v>
      </c>
      <c r="Y24" s="2"/>
      <c r="Z24" s="19">
        <f t="shared" si="15"/>
        <v>-0.9879263273716099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541.05999999999995</v>
      </c>
      <c r="E25" s="2"/>
      <c r="F25" s="19">
        <f t="shared" si="8"/>
        <v>6.2350982120735449E-2</v>
      </c>
      <c r="G25" s="2"/>
      <c r="H25" s="2">
        <v>17168.230000000003</v>
      </c>
      <c r="I25" s="2"/>
      <c r="J25" s="19">
        <f t="shared" si="9"/>
        <v>2.4081188988849922E-2</v>
      </c>
      <c r="K25" s="2"/>
      <c r="L25" s="2">
        <f t="shared" si="10"/>
        <v>-16627.170000000002</v>
      </c>
      <c r="M25" s="2"/>
      <c r="N25" s="19">
        <f t="shared" si="11"/>
        <v>-0.96848481177151047</v>
      </c>
      <c r="O25" s="11"/>
      <c r="P25" s="2">
        <v>586.05999999999995</v>
      </c>
      <c r="Q25" s="2"/>
      <c r="R25" s="19">
        <f t="shared" si="12"/>
        <v>4.0779320182305255E-2</v>
      </c>
      <c r="S25" s="2"/>
      <c r="T25" s="2">
        <v>-7856.11</v>
      </c>
      <c r="U25" s="2"/>
      <c r="V25" s="19">
        <f t="shared" si="13"/>
        <v>-6.3362006309835095E-3</v>
      </c>
      <c r="W25" s="2"/>
      <c r="X25" s="2">
        <f t="shared" si="14"/>
        <v>8442.17</v>
      </c>
      <c r="Y25" s="2"/>
      <c r="Z25" s="19">
        <f t="shared" si="15"/>
        <v>-1.0745992609573951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6</v>
      </c>
      <c r="C27" s="25"/>
      <c r="D27" s="22">
        <f>D12-D23</f>
        <v>6907.19</v>
      </c>
      <c r="E27" s="13"/>
      <c r="F27" s="21">
        <f>IF(D$12=0,0,D27/D$12)</f>
        <v>0.79597471665715946</v>
      </c>
      <c r="G27" s="13"/>
      <c r="H27" s="22">
        <f>H12-H23</f>
        <v>449479.05000000005</v>
      </c>
      <c r="I27" s="13"/>
      <c r="J27" s="21">
        <f>IF(H$12=0,0,H27/H$12)</f>
        <v>0.63046627110533371</v>
      </c>
      <c r="K27" s="15"/>
      <c r="L27" s="22">
        <f>+D27-H27</f>
        <v>-442571.86000000004</v>
      </c>
      <c r="M27" s="15"/>
      <c r="N27" s="21">
        <f>IF(H27=0,0,L27/H27)</f>
        <v>-0.98463289890819161</v>
      </c>
      <c r="O27" s="26"/>
      <c r="P27" s="22">
        <f>P12-P23</f>
        <v>8355.1</v>
      </c>
      <c r="Q27" s="13"/>
      <c r="R27" s="21">
        <f>IF(P$12=0,0,P27/P$12)</f>
        <v>0.58136589778380821</v>
      </c>
      <c r="S27" s="13"/>
      <c r="T27" s="22">
        <f>T12-T23</f>
        <v>797966.16000000038</v>
      </c>
      <c r="U27" s="13"/>
      <c r="V27" s="21">
        <f>IF(T$12=0,0,T27/T$12)</f>
        <v>0.64358488953126813</v>
      </c>
      <c r="W27" s="15"/>
      <c r="X27" s="22">
        <f>+P27-T27</f>
        <v>-789611.06000000041</v>
      </c>
      <c r="Y27" s="15"/>
      <c r="Z27" s="21">
        <f>IF(T27=0,0,X27/T27)</f>
        <v>-0.9895295058627549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6" t="s">
        <v>9</v>
      </c>
      <c r="C29" s="10"/>
      <c r="D29" s="20">
        <f>SUM(OSRRefD22x_0)</f>
        <v>117820.05000000002</v>
      </c>
      <c r="E29" s="20"/>
      <c r="F29" s="36">
        <f t="shared" ref="F29:F39" si="16">IF(D$12=0,0,D29/D$12)</f>
        <v>13.577414392145341</v>
      </c>
      <c r="G29" s="20"/>
      <c r="H29" s="20">
        <f>SUM(OSRRefH22x_0)</f>
        <v>531523.91000000027</v>
      </c>
      <c r="I29" s="20"/>
      <c r="J29" s="36">
        <f t="shared" ref="J29:J39" si="17">IF(H$12=0,0,H29/H$12)</f>
        <v>0.74554731202939739</v>
      </c>
      <c r="K29" s="4"/>
      <c r="L29" s="20">
        <f t="shared" ref="L29:L39" si="18">+D29-H29</f>
        <v>-413703.86000000022</v>
      </c>
      <c r="M29" s="4"/>
      <c r="N29" s="36">
        <f t="shared" ref="N29:N39" si="19">IF(H29=0,0,L29/H29)</f>
        <v>-0.77833537159222055</v>
      </c>
      <c r="O29" s="10"/>
      <c r="P29" s="20">
        <f>SUM(OSRRefP22x_0)</f>
        <v>329781.76000000001</v>
      </c>
      <c r="Q29" s="20"/>
      <c r="R29" s="36">
        <f t="shared" ref="R29:R39" si="20">IF(P$12=0,0,P29/P$12)</f>
        <v>22.946926903941829</v>
      </c>
      <c r="S29" s="20"/>
      <c r="T29" s="20">
        <f>SUM(OSRRefT22x_0)</f>
        <v>1326192.3900000001</v>
      </c>
      <c r="U29" s="20"/>
      <c r="V29" s="36">
        <f t="shared" ref="V29:V39" si="21">IF(T$12=0,0,T29/T$12)</f>
        <v>1.0696160133098351</v>
      </c>
      <c r="W29" s="4"/>
      <c r="X29" s="20">
        <f t="shared" ref="X29:X39" si="22">+P29-T29</f>
        <v>-996410.63000000012</v>
      </c>
      <c r="Y29" s="4"/>
      <c r="Z29" s="36">
        <f t="shared" ref="Z29:Z39" si="23">IF(T29=0,0,X29/T29)</f>
        <v>-0.75133188631854542</v>
      </c>
    </row>
    <row r="30" spans="1:26" s="27" customFormat="1" outlineLevel="1" collapsed="1" x14ac:dyDescent="0.25">
      <c r="A30" s="29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21540.73</v>
      </c>
      <c r="E30" s="1"/>
      <c r="F30" s="5">
        <f t="shared" si="16"/>
        <v>2.4823229791475803</v>
      </c>
      <c r="G30" s="1"/>
      <c r="H30" s="1">
        <f>SUM(OSRRefH22_0x_0)</f>
        <v>78475.53</v>
      </c>
      <c r="I30" s="1"/>
      <c r="J30" s="5">
        <f t="shared" si="17"/>
        <v>0.11007448461082833</v>
      </c>
      <c r="K30" s="1"/>
      <c r="L30" s="1">
        <f t="shared" si="18"/>
        <v>-56934.8</v>
      </c>
      <c r="M30" s="1"/>
      <c r="N30" s="5">
        <f t="shared" si="19"/>
        <v>-0.72551023229788958</v>
      </c>
      <c r="O30" s="14"/>
      <c r="P30" s="1">
        <f>SUM(OSRRefP22_0x_0)</f>
        <v>68831.38</v>
      </c>
      <c r="Q30" s="1"/>
      <c r="R30" s="5">
        <f t="shared" si="20"/>
        <v>4.7894360366002164</v>
      </c>
      <c r="S30" s="1"/>
      <c r="T30" s="1">
        <f>SUM(OSRRefT22_0x_0)</f>
        <v>202882.59</v>
      </c>
      <c r="U30" s="1"/>
      <c r="V30" s="5">
        <f t="shared" si="21"/>
        <v>0.1636312112194927</v>
      </c>
      <c r="W30" s="1"/>
      <c r="X30" s="1">
        <f t="shared" si="22"/>
        <v>-134051.21</v>
      </c>
      <c r="Y30" s="1"/>
      <c r="Z30" s="5">
        <f t="shared" si="23"/>
        <v>-0.6607329391841853</v>
      </c>
    </row>
    <row r="31" spans="1:26" s="24" customFormat="1" hidden="1" outlineLevel="2" x14ac:dyDescent="0.25">
      <c r="A31" s="28"/>
      <c r="B31" s="11" t="str">
        <f>CONCATENATE("          ", "6111", " - ", "F.I.C.A.")</f>
        <v xml:space="preserve">          6111 - F.I.C.A.</v>
      </c>
      <c r="C31" s="11"/>
      <c r="D31" s="7">
        <v>2366.3200000000002</v>
      </c>
      <c r="E31" s="2"/>
      <c r="F31" s="6">
        <f t="shared" si="16"/>
        <v>0.27269133924507216</v>
      </c>
      <c r="G31" s="2"/>
      <c r="H31" s="7">
        <v>11176.97</v>
      </c>
      <c r="I31" s="2"/>
      <c r="J31" s="6">
        <f t="shared" si="17"/>
        <v>1.5677488412766248E-2</v>
      </c>
      <c r="K31" s="2"/>
      <c r="L31" s="7">
        <f t="shared" si="18"/>
        <v>-8810.65</v>
      </c>
      <c r="M31" s="2"/>
      <c r="N31" s="6">
        <f t="shared" si="19"/>
        <v>-0.78828609184779064</v>
      </c>
      <c r="O31" s="11"/>
      <c r="P31" s="7">
        <v>7420.38</v>
      </c>
      <c r="Q31" s="2"/>
      <c r="R31" s="6">
        <f t="shared" si="20"/>
        <v>0.51632606199770381</v>
      </c>
      <c r="S31" s="2"/>
      <c r="T31" s="7">
        <v>34411.729999999996</v>
      </c>
      <c r="U31" s="2"/>
      <c r="V31" s="6">
        <f t="shared" si="21"/>
        <v>2.7754146179118439E-2</v>
      </c>
      <c r="W31" s="2"/>
      <c r="X31" s="7">
        <f t="shared" si="22"/>
        <v>-26991.349999999995</v>
      </c>
      <c r="Y31" s="2"/>
      <c r="Z31" s="6">
        <f t="shared" si="23"/>
        <v>-0.78436480816279797</v>
      </c>
    </row>
    <row r="32" spans="1:26" s="24" customFormat="1" hidden="1" outlineLevel="2" x14ac:dyDescent="0.25">
      <c r="A32" s="28"/>
      <c r="B32" s="11" t="str">
        <f>CONCATENATE("          ", "6112", " - ", "COMPENSATION INSURANCE")</f>
        <v xml:space="preserve">          6112 - COMPENSATION INSURANCE</v>
      </c>
      <c r="C32" s="11"/>
      <c r="D32" s="7">
        <v>824.72</v>
      </c>
      <c r="E32" s="2"/>
      <c r="F32" s="6">
        <f t="shared" si="16"/>
        <v>9.5039555640063847E-2</v>
      </c>
      <c r="G32" s="2"/>
      <c r="H32" s="7">
        <v>8784.84</v>
      </c>
      <c r="I32" s="2"/>
      <c r="J32" s="6">
        <f t="shared" si="17"/>
        <v>1.2322143417044641E-2</v>
      </c>
      <c r="K32" s="2"/>
      <c r="L32" s="7">
        <f t="shared" si="18"/>
        <v>-7960.12</v>
      </c>
      <c r="M32" s="2"/>
      <c r="N32" s="6">
        <f t="shared" si="19"/>
        <v>-0.90612008869825744</v>
      </c>
      <c r="O32" s="11"/>
      <c r="P32" s="7">
        <v>2007.49</v>
      </c>
      <c r="Q32" s="2"/>
      <c r="R32" s="6">
        <f t="shared" si="20"/>
        <v>0.13968548864071254</v>
      </c>
      <c r="S32" s="2"/>
      <c r="T32" s="7">
        <v>19972.59</v>
      </c>
      <c r="U32" s="2"/>
      <c r="V32" s="6">
        <f t="shared" si="21"/>
        <v>1.6108524111853696E-2</v>
      </c>
      <c r="W32" s="2"/>
      <c r="X32" s="7">
        <f t="shared" si="22"/>
        <v>-17965.099999999999</v>
      </c>
      <c r="Y32" s="2"/>
      <c r="Z32" s="6">
        <f t="shared" si="23"/>
        <v>-0.89948774795857711</v>
      </c>
    </row>
    <row r="33" spans="1:26" s="24" customFormat="1" hidden="1" outlineLevel="2" x14ac:dyDescent="0.25">
      <c r="A33" s="28"/>
      <c r="B33" s="11" t="str">
        <f>CONCATENATE("          ", "6113", " - ", "GROUP INSURANCE")</f>
        <v xml:space="preserve">          6113 - GROUP INSURANCE</v>
      </c>
      <c r="C33" s="11"/>
      <c r="D33" s="7">
        <v>10662.18</v>
      </c>
      <c r="E33" s="2"/>
      <c r="F33" s="6">
        <f t="shared" si="16"/>
        <v>1.2286944045911048</v>
      </c>
      <c r="G33" s="2"/>
      <c r="H33" s="7">
        <v>20642.36</v>
      </c>
      <c r="I33" s="2"/>
      <c r="J33" s="6">
        <f t="shared" si="17"/>
        <v>2.8954212072873908E-2</v>
      </c>
      <c r="K33" s="2"/>
      <c r="L33" s="7">
        <f t="shared" si="18"/>
        <v>-9980.18</v>
      </c>
      <c r="M33" s="2"/>
      <c r="N33" s="6">
        <f t="shared" si="19"/>
        <v>-0.48348057101998027</v>
      </c>
      <c r="O33" s="11"/>
      <c r="P33" s="7">
        <v>34942.879999999997</v>
      </c>
      <c r="Q33" s="2"/>
      <c r="R33" s="6">
        <f t="shared" si="20"/>
        <v>2.431401036774171</v>
      </c>
      <c r="S33" s="2"/>
      <c r="T33" s="7">
        <v>61847.399999999994</v>
      </c>
      <c r="U33" s="2"/>
      <c r="V33" s="6">
        <f t="shared" si="21"/>
        <v>4.9881879824071898E-2</v>
      </c>
      <c r="W33" s="2"/>
      <c r="X33" s="7">
        <f t="shared" si="22"/>
        <v>-26904.519999999997</v>
      </c>
      <c r="Y33" s="2"/>
      <c r="Z33" s="6">
        <f t="shared" si="23"/>
        <v>-0.43501456811442357</v>
      </c>
    </row>
    <row r="34" spans="1:26" s="24" customFormat="1" hidden="1" outlineLevel="2" x14ac:dyDescent="0.25">
      <c r="A34" s="28"/>
      <c r="B34" s="11" t="str">
        <f>CONCATENATE("          ", "6114", " - ", "STATE UNEMPLOYMENT INSURANCE")</f>
        <v xml:space="preserve">          6114 - STATE UNEMPLOYMENT INSURANCE</v>
      </c>
      <c r="C34" s="11"/>
      <c r="D34" s="7">
        <v>91.3</v>
      </c>
      <c r="E34" s="2"/>
      <c r="F34" s="6">
        <f t="shared" si="16"/>
        <v>1.0521281683405069E-2</v>
      </c>
      <c r="G34" s="2"/>
      <c r="H34" s="7">
        <v>628.28</v>
      </c>
      <c r="I34" s="2"/>
      <c r="J34" s="6">
        <f t="shared" si="17"/>
        <v>8.8126320639428911E-4</v>
      </c>
      <c r="K34" s="2"/>
      <c r="L34" s="7">
        <f t="shared" si="18"/>
        <v>-536.98</v>
      </c>
      <c r="M34" s="2"/>
      <c r="N34" s="6">
        <f t="shared" si="19"/>
        <v>-0.85468262558095121</v>
      </c>
      <c r="O34" s="11"/>
      <c r="P34" s="7">
        <v>257.93</v>
      </c>
      <c r="Q34" s="2"/>
      <c r="R34" s="6">
        <f t="shared" si="20"/>
        <v>1.794732630553526E-2</v>
      </c>
      <c r="S34" s="2"/>
      <c r="T34" s="7">
        <v>1413.62</v>
      </c>
      <c r="U34" s="2"/>
      <c r="V34" s="6">
        <f t="shared" si="21"/>
        <v>1.1401291397359391E-3</v>
      </c>
      <c r="W34" s="2"/>
      <c r="X34" s="7">
        <f t="shared" si="22"/>
        <v>-1155.6899999999998</v>
      </c>
      <c r="Y34" s="2"/>
      <c r="Z34" s="6">
        <f t="shared" si="23"/>
        <v>-0.81753936701518082</v>
      </c>
    </row>
    <row r="35" spans="1:26" s="24" customFormat="1" hidden="1" outlineLevel="2" x14ac:dyDescent="0.25">
      <c r="A35" s="28"/>
      <c r="B35" s="11" t="str">
        <f>CONCATENATE("          ", "6115", " - ", "P.E.R.S.")</f>
        <v xml:space="preserve">          6115 - P.E.R.S.</v>
      </c>
      <c r="C35" s="11"/>
      <c r="D35" s="7">
        <v>2748.35</v>
      </c>
      <c r="E35" s="2"/>
      <c r="F35" s="6">
        <f t="shared" si="16"/>
        <v>0.31671593115647667</v>
      </c>
      <c r="G35" s="2"/>
      <c r="H35" s="7">
        <v>6237.4</v>
      </c>
      <c r="I35" s="2"/>
      <c r="J35" s="6">
        <f t="shared" si="17"/>
        <v>8.7489513012729021E-3</v>
      </c>
      <c r="K35" s="2"/>
      <c r="L35" s="7">
        <f t="shared" si="18"/>
        <v>-3489.0499999999997</v>
      </c>
      <c r="M35" s="2"/>
      <c r="N35" s="6">
        <f t="shared" si="19"/>
        <v>-0.55937570141405069</v>
      </c>
      <c r="O35" s="11"/>
      <c r="P35" s="7">
        <v>10145.5</v>
      </c>
      <c r="Q35" s="2"/>
      <c r="R35" s="6">
        <f t="shared" si="20"/>
        <v>0.70594579549803427</v>
      </c>
      <c r="S35" s="2"/>
      <c r="T35" s="7">
        <v>17796.560000000001</v>
      </c>
      <c r="U35" s="2"/>
      <c r="V35" s="6">
        <f t="shared" si="21"/>
        <v>1.4353487247675491E-2</v>
      </c>
      <c r="W35" s="2"/>
      <c r="X35" s="7">
        <f t="shared" si="22"/>
        <v>-7651.0600000000013</v>
      </c>
      <c r="Y35" s="2"/>
      <c r="Z35" s="6">
        <f t="shared" si="23"/>
        <v>-0.42991791672098434</v>
      </c>
    </row>
    <row r="36" spans="1:26" s="24" customFormat="1" hidden="1" outlineLevel="2" x14ac:dyDescent="0.25">
      <c r="A36" s="28"/>
      <c r="B36" s="11" t="str">
        <f>CONCATENATE("          ", "6117", " - ", "RETIREMENT STAFF HOURLY")</f>
        <v xml:space="preserve">          6117 - RETIREMENT STAFF HOURLY</v>
      </c>
      <c r="C36" s="11"/>
      <c r="D36" s="7"/>
      <c r="E36" s="2"/>
      <c r="F36" s="6">
        <f t="shared" si="16"/>
        <v>0</v>
      </c>
      <c r="G36" s="2"/>
      <c r="H36" s="7">
        <v>84</v>
      </c>
      <c r="I36" s="2"/>
      <c r="J36" s="6">
        <f t="shared" si="17"/>
        <v>1.1782343753918681E-4</v>
      </c>
      <c r="K36" s="2"/>
      <c r="L36" s="7">
        <f t="shared" si="18"/>
        <v>-84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196</v>
      </c>
      <c r="U36" s="2"/>
      <c r="V36" s="6">
        <f t="shared" si="21"/>
        <v>1.5808018518996908E-4</v>
      </c>
      <c r="W36" s="2"/>
      <c r="X36" s="7">
        <f t="shared" si="22"/>
        <v>-196</v>
      </c>
      <c r="Y36" s="2"/>
      <c r="Z36" s="6">
        <f t="shared" si="23"/>
        <v>-1</v>
      </c>
    </row>
    <row r="37" spans="1:26" s="24" customFormat="1" hidden="1" outlineLevel="2" x14ac:dyDescent="0.25">
      <c r="A37" s="28"/>
      <c r="B37" s="11" t="str">
        <f>CONCATENATE("          ", "6118", " - ", "VACATION")</f>
        <v xml:space="preserve">          6118 - VACATION</v>
      </c>
      <c r="C37" s="11"/>
      <c r="D37" s="7">
        <v>2561.8200000000002</v>
      </c>
      <c r="E37" s="2"/>
      <c r="F37" s="6">
        <f t="shared" si="16"/>
        <v>0.29522048019913227</v>
      </c>
      <c r="G37" s="2"/>
      <c r="H37" s="7">
        <v>9375.94</v>
      </c>
      <c r="I37" s="2"/>
      <c r="J37" s="6">
        <f t="shared" si="17"/>
        <v>1.3151255725728133E-2</v>
      </c>
      <c r="K37" s="2"/>
      <c r="L37" s="7">
        <f t="shared" si="18"/>
        <v>-6814.1200000000008</v>
      </c>
      <c r="M37" s="2"/>
      <c r="N37" s="6">
        <f t="shared" si="19"/>
        <v>-0.72676659620262085</v>
      </c>
      <c r="O37" s="11"/>
      <c r="P37" s="7">
        <v>7683.97</v>
      </c>
      <c r="Q37" s="2"/>
      <c r="R37" s="6">
        <f t="shared" si="20"/>
        <v>0.53466722332393979</v>
      </c>
      <c r="S37" s="2"/>
      <c r="T37" s="7">
        <v>23485.52</v>
      </c>
      <c r="U37" s="2"/>
      <c r="V37" s="6">
        <f t="shared" si="21"/>
        <v>1.8941813014707768E-2</v>
      </c>
      <c r="W37" s="2"/>
      <c r="X37" s="7">
        <f t="shared" si="22"/>
        <v>-15801.55</v>
      </c>
      <c r="Y37" s="2"/>
      <c r="Z37" s="6">
        <f t="shared" si="23"/>
        <v>-0.67282095520984841</v>
      </c>
    </row>
    <row r="38" spans="1:26" s="24" customFormat="1" hidden="1" outlineLevel="2" x14ac:dyDescent="0.25">
      <c r="A38" s="28"/>
      <c r="B38" s="11" t="str">
        <f>CONCATENATE("          ", "6119", " - ", "SICK LEAVE")</f>
        <v xml:space="preserve">          6119 - SICK LEAVE</v>
      </c>
      <c r="C38" s="11"/>
      <c r="D38" s="7">
        <v>1497.32</v>
      </c>
      <c r="E38" s="2"/>
      <c r="F38" s="6">
        <f t="shared" si="16"/>
        <v>0.17254901960784313</v>
      </c>
      <c r="G38" s="2"/>
      <c r="H38" s="7">
        <v>18723.14</v>
      </c>
      <c r="I38" s="2"/>
      <c r="J38" s="6">
        <f t="shared" si="17"/>
        <v>2.6262199003898215E-2</v>
      </c>
      <c r="K38" s="2"/>
      <c r="L38" s="7">
        <f t="shared" si="18"/>
        <v>-17225.82</v>
      </c>
      <c r="M38" s="2"/>
      <c r="N38" s="6">
        <f t="shared" si="19"/>
        <v>-0.92002837130951332</v>
      </c>
      <c r="O38" s="11"/>
      <c r="P38" s="7">
        <v>4571.21</v>
      </c>
      <c r="Q38" s="2"/>
      <c r="R38" s="6">
        <f t="shared" si="20"/>
        <v>0.31807466165675119</v>
      </c>
      <c r="S38" s="2"/>
      <c r="T38" s="7">
        <v>36158.82</v>
      </c>
      <c r="U38" s="2"/>
      <c r="V38" s="6">
        <f t="shared" si="21"/>
        <v>2.9163229397197742E-2</v>
      </c>
      <c r="W38" s="2"/>
      <c r="X38" s="7">
        <f t="shared" si="22"/>
        <v>-31587.61</v>
      </c>
      <c r="Y38" s="2"/>
      <c r="Z38" s="6">
        <f t="shared" si="23"/>
        <v>-0.87357966880556392</v>
      </c>
    </row>
    <row r="39" spans="1:26" s="24" customFormat="1" hidden="1" outlineLevel="2" x14ac:dyDescent="0.25">
      <c r="A39" s="28"/>
      <c r="B39" s="11" t="str">
        <f>CONCATENATE("          ", "6156", " - ", "EMPLOYEE MEALS")</f>
        <v xml:space="preserve">          6156 - EMPLOYEE MEALS</v>
      </c>
      <c r="C39" s="11"/>
      <c r="D39" s="7">
        <v>788.72</v>
      </c>
      <c r="E39" s="2"/>
      <c r="F39" s="6">
        <f t="shared" si="16"/>
        <v>9.0890967024482447E-2</v>
      </c>
      <c r="G39" s="2"/>
      <c r="H39" s="7">
        <v>2822.6</v>
      </c>
      <c r="I39" s="2"/>
      <c r="J39" s="6">
        <f t="shared" si="17"/>
        <v>3.9591480333108177E-3</v>
      </c>
      <c r="K39" s="2"/>
      <c r="L39" s="7">
        <f t="shared" si="18"/>
        <v>-2033.8799999999999</v>
      </c>
      <c r="M39" s="2"/>
      <c r="N39" s="6">
        <f t="shared" si="19"/>
        <v>-0.72056968752214268</v>
      </c>
      <c r="O39" s="11"/>
      <c r="P39" s="7">
        <v>1802.02</v>
      </c>
      <c r="Q39" s="2"/>
      <c r="R39" s="6">
        <f t="shared" si="20"/>
        <v>0.12538844240336777</v>
      </c>
      <c r="S39" s="2"/>
      <c r="T39" s="7">
        <v>7600.35</v>
      </c>
      <c r="U39" s="2"/>
      <c r="V39" s="6">
        <f t="shared" si="21"/>
        <v>6.1299221199417426E-3</v>
      </c>
      <c r="W39" s="2"/>
      <c r="X39" s="7">
        <f t="shared" si="22"/>
        <v>-5798.33</v>
      </c>
      <c r="Y39" s="2"/>
      <c r="Z39" s="6">
        <f t="shared" si="23"/>
        <v>-0.76290302420283274</v>
      </c>
    </row>
    <row r="40" spans="1:26" s="27" customFormat="1" outlineLevel="1" collapsed="1" x14ac:dyDescent="0.25">
      <c r="A40" s="29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30018.61</v>
      </c>
      <c r="E40" s="1"/>
      <c r="F40" s="5">
        <f t="shared" ref="F40:F47" si="24">IF(D$12=0,0,D40/D$12)</f>
        <v>3.4593017694882833</v>
      </c>
      <c r="G40" s="1"/>
      <c r="H40" s="1">
        <f>SUM(OSRRefH22_1x_0)</f>
        <v>242299.64999999997</v>
      </c>
      <c r="I40" s="1"/>
      <c r="J40" s="5">
        <f t="shared" ref="J40:J47" si="25">IF(H$12=0,0,H40/H$12)</f>
        <v>0.33986401997073595</v>
      </c>
      <c r="K40" s="1"/>
      <c r="L40" s="1">
        <f t="shared" ref="L40:L47" si="26">+D40-H40</f>
        <v>-212281.03999999998</v>
      </c>
      <c r="M40" s="1"/>
      <c r="N40" s="5">
        <f t="shared" ref="N40:N47" si="27">IF(H40=0,0,L40/H40)</f>
        <v>-0.87610956103320825</v>
      </c>
      <c r="O40" s="14"/>
      <c r="P40" s="1">
        <f>SUM(OSRRefP22_1x_0)</f>
        <v>97187.880000000019</v>
      </c>
      <c r="Q40" s="1"/>
      <c r="R40" s="5">
        <f t="shared" ref="R40:R47" si="28">IF(P$12=0,0,P40/P$12)</f>
        <v>6.7625425320947725</v>
      </c>
      <c r="S40" s="1"/>
      <c r="T40" s="1">
        <f>SUM(OSRRefT22_1x_0)</f>
        <v>586530.5199999999</v>
      </c>
      <c r="U40" s="1"/>
      <c r="V40" s="5">
        <f t="shared" ref="V40:V47" si="29">IF(T$12=0,0,T40/T$12)</f>
        <v>0.47305537357739208</v>
      </c>
      <c r="W40" s="1"/>
      <c r="X40" s="1">
        <f t="shared" ref="X40:X47" si="30">+P40-T40</f>
        <v>-489342.6399999999</v>
      </c>
      <c r="Y40" s="1"/>
      <c r="Z40" s="5">
        <f t="shared" ref="Z40:Z47" si="31">IF(T40=0,0,X40/T40)</f>
        <v>-0.8343003873012439</v>
      </c>
    </row>
    <row r="41" spans="1:26" s="24" customFormat="1" hidden="1" outlineLevel="2" x14ac:dyDescent="0.25">
      <c r="A41" s="28"/>
      <c r="B41" s="11" t="str">
        <f>CONCATENATE("          ", "6001", " - ", "ADMINISTRATIVE SALARIES")</f>
        <v xml:space="preserve">          6001 - ADMINISTRATIVE SALARIES</v>
      </c>
      <c r="C41" s="11"/>
      <c r="D41" s="7">
        <v>11069.28</v>
      </c>
      <c r="E41" s="2"/>
      <c r="F41" s="6">
        <f t="shared" si="24"/>
        <v>1.2756080275189712</v>
      </c>
      <c r="G41" s="2"/>
      <c r="H41" s="7">
        <v>16211.87</v>
      </c>
      <c r="I41" s="2"/>
      <c r="J41" s="6">
        <f t="shared" si="25"/>
        <v>2.2739741099266863E-2</v>
      </c>
      <c r="K41" s="2"/>
      <c r="L41" s="7">
        <f t="shared" si="26"/>
        <v>-5142.59</v>
      </c>
      <c r="M41" s="2"/>
      <c r="N41" s="6">
        <f t="shared" si="27"/>
        <v>-0.31721140127573189</v>
      </c>
      <c r="O41" s="11"/>
      <c r="P41" s="7">
        <v>33345.89</v>
      </c>
      <c r="Q41" s="2"/>
      <c r="R41" s="6">
        <f t="shared" si="28"/>
        <v>2.3202790244581291</v>
      </c>
      <c r="S41" s="2"/>
      <c r="T41" s="7">
        <v>51694.77</v>
      </c>
      <c r="U41" s="2"/>
      <c r="V41" s="6">
        <f t="shared" si="29"/>
        <v>4.169346334159621E-2</v>
      </c>
      <c r="W41" s="2"/>
      <c r="X41" s="7">
        <f t="shared" si="30"/>
        <v>-18348.879999999997</v>
      </c>
      <c r="Y41" s="2"/>
      <c r="Z41" s="6">
        <f t="shared" si="31"/>
        <v>-0.35494654488258676</v>
      </c>
    </row>
    <row r="42" spans="1:26" s="24" customFormat="1" hidden="1" outlineLevel="2" x14ac:dyDescent="0.25">
      <c r="A42" s="28"/>
      <c r="B42" s="11" t="str">
        <f>CONCATENATE("          ", "6002", " - ", "STAFF SALARIES")</f>
        <v xml:space="preserve">          6002 - STAFF SALARIES</v>
      </c>
      <c r="C42" s="11"/>
      <c r="D42" s="7">
        <v>15148.26</v>
      </c>
      <c r="E42" s="2"/>
      <c r="F42" s="6">
        <f t="shared" si="24"/>
        <v>1.7456638606074226</v>
      </c>
      <c r="G42" s="2"/>
      <c r="H42" s="7">
        <v>55491.939999999995</v>
      </c>
      <c r="I42" s="2"/>
      <c r="J42" s="6">
        <f t="shared" si="25"/>
        <v>7.7836322934741686E-2</v>
      </c>
      <c r="K42" s="2"/>
      <c r="L42" s="7">
        <f t="shared" si="26"/>
        <v>-40343.679999999993</v>
      </c>
      <c r="M42" s="2"/>
      <c r="N42" s="6">
        <f t="shared" si="27"/>
        <v>-0.72701873461263022</v>
      </c>
      <c r="O42" s="11"/>
      <c r="P42" s="7">
        <v>50890.62</v>
      </c>
      <c r="Q42" s="2"/>
      <c r="R42" s="6">
        <f t="shared" si="28"/>
        <v>3.5410792192881746</v>
      </c>
      <c r="S42" s="2"/>
      <c r="T42" s="7">
        <v>163514.31</v>
      </c>
      <c r="U42" s="2"/>
      <c r="V42" s="6">
        <f t="shared" si="29"/>
        <v>0.13187945105107149</v>
      </c>
      <c r="W42" s="2"/>
      <c r="X42" s="7">
        <f t="shared" si="30"/>
        <v>-112623.69</v>
      </c>
      <c r="Y42" s="2"/>
      <c r="Z42" s="6">
        <f t="shared" si="31"/>
        <v>-0.68876962511721451</v>
      </c>
    </row>
    <row r="43" spans="1:26" s="24" customFormat="1" hidden="1" outlineLevel="2" x14ac:dyDescent="0.25">
      <c r="A43" s="28"/>
      <c r="B43" s="11" t="str">
        <f>CONCATENATE("          ", "6004", " - ", "STAFF HOURLY")</f>
        <v xml:space="preserve">          6004 - STAFF HOURLY</v>
      </c>
      <c r="C43" s="11"/>
      <c r="D43" s="7">
        <v>3115.4</v>
      </c>
      <c r="E43" s="2"/>
      <c r="F43" s="6">
        <f t="shared" si="24"/>
        <v>0.35901424924950881</v>
      </c>
      <c r="G43" s="2"/>
      <c r="H43" s="7">
        <v>19617.900000000001</v>
      </c>
      <c r="I43" s="2"/>
      <c r="J43" s="6">
        <f t="shared" si="25"/>
        <v>2.751724303928587E-2</v>
      </c>
      <c r="K43" s="2"/>
      <c r="L43" s="7">
        <f t="shared" si="26"/>
        <v>-16502.5</v>
      </c>
      <c r="M43" s="2"/>
      <c r="N43" s="6">
        <f t="shared" si="27"/>
        <v>-0.84119605054567503</v>
      </c>
      <c r="O43" s="11"/>
      <c r="P43" s="7">
        <v>10705.6</v>
      </c>
      <c r="Q43" s="2"/>
      <c r="R43" s="6">
        <f t="shared" si="28"/>
        <v>0.74491876282921066</v>
      </c>
      <c r="S43" s="2"/>
      <c r="T43" s="7">
        <v>52528.57</v>
      </c>
      <c r="U43" s="2"/>
      <c r="V43" s="6">
        <f t="shared" si="29"/>
        <v>4.236594935389925E-2</v>
      </c>
      <c r="W43" s="2"/>
      <c r="X43" s="7">
        <f t="shared" si="30"/>
        <v>-41822.97</v>
      </c>
      <c r="Y43" s="2"/>
      <c r="Z43" s="6">
        <f t="shared" si="31"/>
        <v>-0.79619471841704437</v>
      </c>
    </row>
    <row r="44" spans="1:26" s="24" customFormat="1" hidden="1" outlineLevel="2" x14ac:dyDescent="0.25">
      <c r="A44" s="28"/>
      <c r="B44" s="11" t="str">
        <f>CONCATENATE("          ", "6005", " - ", "TEMPORARY WAGES-HOURLY")</f>
        <v xml:space="preserve">          6005 - TEMPORARY WAGES-HOURLY</v>
      </c>
      <c r="C44" s="11"/>
      <c r="D44" s="7">
        <v>1266.67</v>
      </c>
      <c r="E44" s="2"/>
      <c r="F44" s="6">
        <f t="shared" si="24"/>
        <v>0.14596924282495838</v>
      </c>
      <c r="G44" s="2"/>
      <c r="H44" s="7">
        <v>50534.049999999996</v>
      </c>
      <c r="I44" s="2"/>
      <c r="J44" s="6">
        <f t="shared" si="25"/>
        <v>7.0882089092585032E-2</v>
      </c>
      <c r="K44" s="2"/>
      <c r="L44" s="7">
        <f t="shared" si="26"/>
        <v>-49267.38</v>
      </c>
      <c r="M44" s="2"/>
      <c r="N44" s="6">
        <f t="shared" si="27"/>
        <v>-0.97493432645909051</v>
      </c>
      <c r="O44" s="11"/>
      <c r="P44" s="7">
        <v>1421.77</v>
      </c>
      <c r="Q44" s="2"/>
      <c r="R44" s="6">
        <f t="shared" si="28"/>
        <v>9.8929826392512965E-2</v>
      </c>
      <c r="S44" s="2"/>
      <c r="T44" s="7">
        <v>113898.23</v>
      </c>
      <c r="U44" s="2"/>
      <c r="V44" s="6">
        <f t="shared" si="29"/>
        <v>9.1862516791886173E-2</v>
      </c>
      <c r="W44" s="2"/>
      <c r="X44" s="7">
        <f t="shared" si="30"/>
        <v>-112476.45999999999</v>
      </c>
      <c r="Y44" s="2"/>
      <c r="Z44" s="6">
        <f t="shared" si="31"/>
        <v>-0.9875171896876711</v>
      </c>
    </row>
    <row r="45" spans="1:26" s="24" customFormat="1" hidden="1" outlineLevel="2" x14ac:dyDescent="0.25">
      <c r="A45" s="28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4"/>
        <v>0</v>
      </c>
      <c r="G45" s="2"/>
      <c r="H45" s="7">
        <v>2487.5</v>
      </c>
      <c r="I45" s="2"/>
      <c r="J45" s="6">
        <f t="shared" si="25"/>
        <v>3.4891166771277046E-3</v>
      </c>
      <c r="K45" s="2"/>
      <c r="L45" s="7">
        <f t="shared" si="26"/>
        <v>-2487.5</v>
      </c>
      <c r="M45" s="2"/>
      <c r="N45" s="6">
        <f t="shared" si="27"/>
        <v>-1</v>
      </c>
      <c r="O45" s="11"/>
      <c r="P45" s="7"/>
      <c r="Q45" s="2"/>
      <c r="R45" s="6">
        <f t="shared" si="28"/>
        <v>0</v>
      </c>
      <c r="S45" s="2"/>
      <c r="T45" s="7">
        <v>6890.52</v>
      </c>
      <c r="U45" s="2"/>
      <c r="V45" s="6">
        <f t="shared" si="29"/>
        <v>5.5574218247713561E-3</v>
      </c>
      <c r="W45" s="2"/>
      <c r="X45" s="7">
        <f t="shared" si="30"/>
        <v>-6890.52</v>
      </c>
      <c r="Y45" s="2"/>
      <c r="Z45" s="6">
        <f t="shared" si="31"/>
        <v>-1</v>
      </c>
    </row>
    <row r="46" spans="1:26" s="24" customFormat="1" hidden="1" outlineLevel="2" x14ac:dyDescent="0.25">
      <c r="A46" s="28"/>
      <c r="B46" s="11" t="str">
        <f>CONCATENATE("          ", "6007", " - ", "STUDENT HOURLY")</f>
        <v xml:space="preserve">          6007 - STUDENT HOURLY</v>
      </c>
      <c r="C46" s="11"/>
      <c r="D46" s="7">
        <v>-581</v>
      </c>
      <c r="E46" s="2"/>
      <c r="F46" s="6">
        <f t="shared" si="24"/>
        <v>-6.6953610712577716E-2</v>
      </c>
      <c r="G46" s="2"/>
      <c r="H46" s="7">
        <v>94385.08</v>
      </c>
      <c r="I46" s="2"/>
      <c r="J46" s="6">
        <f t="shared" si="25"/>
        <v>0.13239017354775179</v>
      </c>
      <c r="K46" s="2"/>
      <c r="L46" s="7">
        <f t="shared" si="26"/>
        <v>-94966.080000000002</v>
      </c>
      <c r="M46" s="2"/>
      <c r="N46" s="6">
        <f t="shared" si="27"/>
        <v>-1.0061556339201068</v>
      </c>
      <c r="O46" s="11"/>
      <c r="P46" s="7">
        <v>824</v>
      </c>
      <c r="Q46" s="2"/>
      <c r="R46" s="6">
        <f t="shared" si="28"/>
        <v>5.7335699126743904E-2</v>
      </c>
      <c r="S46" s="2"/>
      <c r="T46" s="7">
        <v>190586.65</v>
      </c>
      <c r="U46" s="2"/>
      <c r="V46" s="6">
        <f t="shared" si="29"/>
        <v>0.15371414758538682</v>
      </c>
      <c r="W46" s="2"/>
      <c r="X46" s="7">
        <f t="shared" si="30"/>
        <v>-189762.65</v>
      </c>
      <c r="Y46" s="2"/>
      <c r="Z46" s="6">
        <f t="shared" si="31"/>
        <v>-0.99567650724749079</v>
      </c>
    </row>
    <row r="47" spans="1:26" s="24" customFormat="1" hidden="1" outlineLevel="2" x14ac:dyDescent="0.25">
      <c r="A47" s="28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4"/>
        <v>0</v>
      </c>
      <c r="G47" s="2"/>
      <c r="H47" s="7">
        <v>3571.31</v>
      </c>
      <c r="I47" s="2"/>
      <c r="J47" s="6">
        <f t="shared" si="25"/>
        <v>5.0093335799770624E-3</v>
      </c>
      <c r="K47" s="2"/>
      <c r="L47" s="7">
        <f t="shared" si="26"/>
        <v>-3571.31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7417.47</v>
      </c>
      <c r="U47" s="2"/>
      <c r="V47" s="6">
        <f t="shared" si="29"/>
        <v>5.9824236287808162E-3</v>
      </c>
      <c r="W47" s="2"/>
      <c r="X47" s="7">
        <f t="shared" si="30"/>
        <v>-7417.47</v>
      </c>
      <c r="Y47" s="2"/>
      <c r="Z47" s="6">
        <f t="shared" si="31"/>
        <v>-1</v>
      </c>
    </row>
    <row r="48" spans="1:26" s="27" customFormat="1" outlineLevel="1" collapsed="1" x14ac:dyDescent="0.25">
      <c r="A48" s="29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49.61</v>
      </c>
      <c r="E48" s="1"/>
      <c r="F48" s="5">
        <f t="shared" ref="F48:F57" si="32">IF(D$12=0,0,D48/D$12)</f>
        <v>5.7169855894164895E-3</v>
      </c>
      <c r="G48" s="1"/>
      <c r="H48" s="1">
        <f>SUM(OSRRefH22_2x_0)</f>
        <v>1455.58</v>
      </c>
      <c r="I48" s="1"/>
      <c r="J48" s="5">
        <f t="shared" ref="J48:J57" si="33">IF(H$12=0,0,H48/H$12)</f>
        <v>2.0416838001582087E-3</v>
      </c>
      <c r="K48" s="1"/>
      <c r="L48" s="1">
        <f t="shared" ref="L48:L57" si="34">+D48-H48</f>
        <v>-1405.97</v>
      </c>
      <c r="M48" s="1"/>
      <c r="N48" s="5">
        <f t="shared" ref="N48:N57" si="35">IF(H48=0,0,L48/H48)</f>
        <v>-0.96591736627323821</v>
      </c>
      <c r="O48" s="14"/>
      <c r="P48" s="1">
        <f>SUM(OSRRefP22_2x_0)</f>
        <v>95.58</v>
      </c>
      <c r="Q48" s="1"/>
      <c r="R48" s="5">
        <f t="shared" ref="R48:R57" si="36">IF(P$12=0,0,P48/P$12)</f>
        <v>6.650662770065755E-3</v>
      </c>
      <c r="S48" s="1"/>
      <c r="T48" s="1">
        <f>SUM(OSRRefT22_2x_0)</f>
        <v>6637.12</v>
      </c>
      <c r="U48" s="1"/>
      <c r="V48" s="5">
        <f t="shared" ref="V48:V57" si="37">IF(T$12=0,0,T48/T$12)</f>
        <v>5.3530467282043243E-3</v>
      </c>
      <c r="W48" s="1"/>
      <c r="X48" s="1">
        <f t="shared" ref="X48:X57" si="38">+P48-T48</f>
        <v>-6541.54</v>
      </c>
      <c r="Y48" s="1"/>
      <c r="Z48" s="5">
        <f t="shared" ref="Z48:Z57" si="39">IF(T48=0,0,X48/T48)</f>
        <v>-0.98559917554601995</v>
      </c>
    </row>
    <row r="49" spans="1:26" s="24" customFormat="1" hidden="1" outlineLevel="2" x14ac:dyDescent="0.25">
      <c r="A49" s="28"/>
      <c r="B49" s="11" t="str">
        <f>CONCATENATE("          ", "6362", " - ", "ADVERTISING EXPENSE")</f>
        <v xml:space="preserve">          6362 - ADVERTISING EXPENSE</v>
      </c>
      <c r="C49" s="11"/>
      <c r="D49" s="7">
        <v>49.61</v>
      </c>
      <c r="E49" s="2"/>
      <c r="F49" s="6">
        <f t="shared" si="32"/>
        <v>5.7169855894164895E-3</v>
      </c>
      <c r="G49" s="2"/>
      <c r="H49" s="7">
        <v>1455.58</v>
      </c>
      <c r="I49" s="2"/>
      <c r="J49" s="6">
        <f t="shared" si="33"/>
        <v>2.0416838001582087E-3</v>
      </c>
      <c r="K49" s="2"/>
      <c r="L49" s="7">
        <f t="shared" si="34"/>
        <v>-1405.97</v>
      </c>
      <c r="M49" s="2"/>
      <c r="N49" s="6">
        <f t="shared" si="35"/>
        <v>-0.96591736627323821</v>
      </c>
      <c r="O49" s="11"/>
      <c r="P49" s="7">
        <v>95.58</v>
      </c>
      <c r="Q49" s="2"/>
      <c r="R49" s="6">
        <f t="shared" si="36"/>
        <v>6.650662770065755E-3</v>
      </c>
      <c r="S49" s="2"/>
      <c r="T49" s="7">
        <v>6637.12</v>
      </c>
      <c r="U49" s="2"/>
      <c r="V49" s="6">
        <f t="shared" si="37"/>
        <v>5.3530467282043243E-3</v>
      </c>
      <c r="W49" s="2"/>
      <c r="X49" s="7">
        <f t="shared" si="38"/>
        <v>-6541.54</v>
      </c>
      <c r="Y49" s="2"/>
      <c r="Z49" s="6">
        <f t="shared" si="39"/>
        <v>-0.98559917554601995</v>
      </c>
    </row>
    <row r="50" spans="1:26" s="27" customFormat="1" outlineLevel="1" collapsed="1" x14ac:dyDescent="0.25">
      <c r="A50" s="29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-193.38</v>
      </c>
      <c r="E50" s="1"/>
      <c r="F50" s="5">
        <f t="shared" si="32"/>
        <v>-2.2284835180031461E-2</v>
      </c>
      <c r="G50" s="1"/>
      <c r="H50" s="1">
        <f>SUM(OSRRefH22_3x_0)</f>
        <v>-38.520000000000003</v>
      </c>
      <c r="I50" s="1"/>
      <c r="J50" s="5">
        <f t="shared" si="33"/>
        <v>-5.4030462071541385E-5</v>
      </c>
      <c r="K50" s="1"/>
      <c r="L50" s="1">
        <f t="shared" si="34"/>
        <v>-154.85999999999999</v>
      </c>
      <c r="M50" s="1"/>
      <c r="N50" s="5">
        <f t="shared" si="35"/>
        <v>4.0202492211837999</v>
      </c>
      <c r="O50" s="14"/>
      <c r="P50" s="1">
        <f>SUM(OSRRefP22_3x_0)</f>
        <v>-193.52</v>
      </c>
      <c r="Q50" s="1"/>
      <c r="R50" s="5">
        <f t="shared" si="36"/>
        <v>-1.346553943568869E-2</v>
      </c>
      <c r="S50" s="1"/>
      <c r="T50" s="1">
        <f>SUM(OSRRefT22_3x_0)</f>
        <v>-51.26</v>
      </c>
      <c r="U50" s="1"/>
      <c r="V50" s="5">
        <f t="shared" si="37"/>
        <v>-4.1342807616519462E-5</v>
      </c>
      <c r="W50" s="1"/>
      <c r="X50" s="1">
        <f t="shared" si="38"/>
        <v>-142.26000000000002</v>
      </c>
      <c r="Y50" s="1"/>
      <c r="Z50" s="5">
        <f t="shared" si="39"/>
        <v>2.7752633632461965</v>
      </c>
    </row>
    <row r="51" spans="1:26" s="24" customFormat="1" hidden="1" outlineLevel="2" x14ac:dyDescent="0.25">
      <c r="A51" s="28"/>
      <c r="B51" s="11" t="str">
        <f>CONCATENATE("          ", "6272", " - ", "CASH (OVER/SHORT)")</f>
        <v xml:space="preserve">          6272 - CASH (OVER/SHORT)</v>
      </c>
      <c r="C51" s="11"/>
      <c r="D51" s="7">
        <v>-193.38</v>
      </c>
      <c r="E51" s="2"/>
      <c r="F51" s="6">
        <f t="shared" si="32"/>
        <v>-2.2284835180031461E-2</v>
      </c>
      <c r="G51" s="2"/>
      <c r="H51" s="7">
        <v>-38.520000000000003</v>
      </c>
      <c r="I51" s="2"/>
      <c r="J51" s="6">
        <f t="shared" si="33"/>
        <v>-5.4030462071541385E-5</v>
      </c>
      <c r="K51" s="2"/>
      <c r="L51" s="7">
        <f t="shared" si="34"/>
        <v>-154.85999999999999</v>
      </c>
      <c r="M51" s="2"/>
      <c r="N51" s="6">
        <f t="shared" si="35"/>
        <v>4.0202492211837999</v>
      </c>
      <c r="O51" s="11"/>
      <c r="P51" s="7">
        <v>-193.52</v>
      </c>
      <c r="Q51" s="2"/>
      <c r="R51" s="6">
        <f t="shared" si="36"/>
        <v>-1.346553943568869E-2</v>
      </c>
      <c r="S51" s="2"/>
      <c r="T51" s="7">
        <v>-51.26</v>
      </c>
      <c r="U51" s="2"/>
      <c r="V51" s="6">
        <f t="shared" si="37"/>
        <v>-4.1342807616519462E-5</v>
      </c>
      <c r="W51" s="2"/>
      <c r="X51" s="7">
        <f t="shared" si="38"/>
        <v>-142.26000000000002</v>
      </c>
      <c r="Y51" s="2"/>
      <c r="Z51" s="6">
        <f t="shared" si="39"/>
        <v>2.7752633632461965</v>
      </c>
    </row>
    <row r="52" spans="1:26" s="27" customFormat="1" outlineLevel="1" collapsed="1" x14ac:dyDescent="0.25">
      <c r="A52" s="29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493.43</v>
      </c>
      <c r="E52" s="1"/>
      <c r="F52" s="5">
        <f t="shared" si="32"/>
        <v>5.6862168905175946E-2</v>
      </c>
      <c r="G52" s="1"/>
      <c r="H52" s="1">
        <f>SUM(OSRRefH22_4x_0)</f>
        <v>21139.22</v>
      </c>
      <c r="I52" s="1"/>
      <c r="J52" s="5">
        <f t="shared" si="33"/>
        <v>2.96511377059182E-2</v>
      </c>
      <c r="K52" s="1"/>
      <c r="L52" s="1">
        <f t="shared" si="34"/>
        <v>-20645.79</v>
      </c>
      <c r="M52" s="1"/>
      <c r="N52" s="5">
        <f t="shared" si="35"/>
        <v>-0.97665807915334624</v>
      </c>
      <c r="O52" s="14"/>
      <c r="P52" s="1">
        <f>SUM(OSRRefP22_4x_0)</f>
        <v>1109.32</v>
      </c>
      <c r="Q52" s="1"/>
      <c r="R52" s="5">
        <f t="shared" si="36"/>
        <v>7.7188880770970317E-2</v>
      </c>
      <c r="S52" s="1"/>
      <c r="T52" s="1">
        <f>SUM(OSRRefT22_4x_0)</f>
        <v>34145.17</v>
      </c>
      <c r="U52" s="1"/>
      <c r="V52" s="5">
        <f t="shared" si="37"/>
        <v>2.7539157127260083E-2</v>
      </c>
      <c r="W52" s="1"/>
      <c r="X52" s="1">
        <f t="shared" si="38"/>
        <v>-33035.85</v>
      </c>
      <c r="Y52" s="1"/>
      <c r="Z52" s="5">
        <f t="shared" si="39"/>
        <v>-0.96751165684634166</v>
      </c>
    </row>
    <row r="53" spans="1:26" s="24" customFormat="1" hidden="1" outlineLevel="2" x14ac:dyDescent="0.25">
      <c r="A53" s="28"/>
      <c r="B53" s="11" t="str">
        <f>CONCATENATE("          ", "6381", " - ", "BANK/CREDIT CARD FEES")</f>
        <v xml:space="preserve">          6381 - BANK/CREDIT CARD FEES</v>
      </c>
      <c r="C53" s="11"/>
      <c r="D53" s="7">
        <v>493.43</v>
      </c>
      <c r="E53" s="2"/>
      <c r="F53" s="6">
        <f t="shared" si="32"/>
        <v>5.6862168905175946E-2</v>
      </c>
      <c r="G53" s="2"/>
      <c r="H53" s="7">
        <v>21139.22</v>
      </c>
      <c r="I53" s="2"/>
      <c r="J53" s="6">
        <f t="shared" si="33"/>
        <v>2.96511377059182E-2</v>
      </c>
      <c r="K53" s="2"/>
      <c r="L53" s="7">
        <f t="shared" si="34"/>
        <v>-20645.79</v>
      </c>
      <c r="M53" s="2"/>
      <c r="N53" s="6">
        <f t="shared" si="35"/>
        <v>-0.97665807915334624</v>
      </c>
      <c r="O53" s="11"/>
      <c r="P53" s="7">
        <v>1109.32</v>
      </c>
      <c r="Q53" s="2"/>
      <c r="R53" s="6">
        <f t="shared" si="36"/>
        <v>7.7188880770970317E-2</v>
      </c>
      <c r="S53" s="2"/>
      <c r="T53" s="7">
        <v>34145.17</v>
      </c>
      <c r="U53" s="2"/>
      <c r="V53" s="6">
        <f t="shared" si="37"/>
        <v>2.7539157127260083E-2</v>
      </c>
      <c r="W53" s="2"/>
      <c r="X53" s="7">
        <f t="shared" si="38"/>
        <v>-33035.85</v>
      </c>
      <c r="Y53" s="2"/>
      <c r="Z53" s="6">
        <f t="shared" si="39"/>
        <v>-0.96751165684634166</v>
      </c>
    </row>
    <row r="54" spans="1:26" s="27" customFormat="1" outlineLevel="1" collapsed="1" x14ac:dyDescent="0.25">
      <c r="A54" s="29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37681.94</v>
      </c>
      <c r="E54" s="1"/>
      <c r="F54" s="5">
        <f t="shared" si="32"/>
        <v>4.3424129804728242</v>
      </c>
      <c r="G54" s="1"/>
      <c r="H54" s="1">
        <f>SUM(OSRRefH22_5x_0)</f>
        <v>39571.050000000003</v>
      </c>
      <c r="I54" s="1"/>
      <c r="J54" s="5">
        <f t="shared" si="33"/>
        <v>5.5504727833750461E-2</v>
      </c>
      <c r="K54" s="1"/>
      <c r="L54" s="1">
        <f t="shared" si="34"/>
        <v>-1889.1100000000006</v>
      </c>
      <c r="M54" s="1"/>
      <c r="N54" s="5">
        <f t="shared" si="35"/>
        <v>-4.7739698592784381E-2</v>
      </c>
      <c r="O54" s="14"/>
      <c r="P54" s="1">
        <f>SUM(OSRRefP22_5x_0)</f>
        <v>112928.43</v>
      </c>
      <c r="Q54" s="1"/>
      <c r="R54" s="5">
        <f t="shared" si="36"/>
        <v>7.8578039870577179</v>
      </c>
      <c r="S54" s="1"/>
      <c r="T54" s="1">
        <f>SUM(OSRRefT22_5x_0)</f>
        <v>118713.15</v>
      </c>
      <c r="U54" s="1"/>
      <c r="V54" s="5">
        <f t="shared" si="37"/>
        <v>9.5745901716758036E-2</v>
      </c>
      <c r="W54" s="1"/>
      <c r="X54" s="1">
        <f t="shared" si="38"/>
        <v>-5784.7200000000012</v>
      </c>
      <c r="Y54" s="1"/>
      <c r="Z54" s="5">
        <f t="shared" si="39"/>
        <v>-4.8728552818285094E-2</v>
      </c>
    </row>
    <row r="55" spans="1:26" s="24" customFormat="1" hidden="1" outlineLevel="2" x14ac:dyDescent="0.25">
      <c r="A55" s="28"/>
      <c r="B55" s="11" t="str">
        <f>CONCATENATE("          ", "6321", " - ", "BUILDING DEPRECIATION")</f>
        <v xml:space="preserve">          6321 - BUILDING DEPRECIATION</v>
      </c>
      <c r="C55" s="11"/>
      <c r="D55" s="7">
        <v>23844.880000000001</v>
      </c>
      <c r="E55" s="2"/>
      <c r="F55" s="6">
        <f t="shared" si="32"/>
        <v>2.747849936330689</v>
      </c>
      <c r="G55" s="2"/>
      <c r="H55" s="7">
        <v>24042.959999999999</v>
      </c>
      <c r="I55" s="2"/>
      <c r="J55" s="6">
        <f t="shared" si="33"/>
        <v>3.3724097569251987E-2</v>
      </c>
      <c r="K55" s="2"/>
      <c r="L55" s="7">
        <f t="shared" si="34"/>
        <v>-198.07999999999811</v>
      </c>
      <c r="M55" s="2"/>
      <c r="N55" s="6">
        <f t="shared" si="35"/>
        <v>-8.2385862639208357E-3</v>
      </c>
      <c r="O55" s="11"/>
      <c r="P55" s="7">
        <v>71534.66</v>
      </c>
      <c r="Q55" s="2"/>
      <c r="R55" s="6">
        <f t="shared" si="36"/>
        <v>4.9775360957450516</v>
      </c>
      <c r="S55" s="2"/>
      <c r="T55" s="7">
        <v>72128.88</v>
      </c>
      <c r="U55" s="2"/>
      <c r="V55" s="6">
        <f t="shared" si="37"/>
        <v>5.8174217897678862E-2</v>
      </c>
      <c r="W55" s="2"/>
      <c r="X55" s="7">
        <f t="shared" si="38"/>
        <v>-594.22000000000116</v>
      </c>
      <c r="Y55" s="2"/>
      <c r="Z55" s="6">
        <f t="shared" si="39"/>
        <v>-8.2383089824769381E-3</v>
      </c>
    </row>
    <row r="56" spans="1:26" s="24" customFormat="1" hidden="1" outlineLevel="2" x14ac:dyDescent="0.25">
      <c r="A56" s="28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13837.06</v>
      </c>
      <c r="E56" s="2"/>
      <c r="F56" s="6">
        <f t="shared" si="32"/>
        <v>1.5945630441421352</v>
      </c>
      <c r="G56" s="2"/>
      <c r="H56" s="7">
        <v>15103.84</v>
      </c>
      <c r="I56" s="2"/>
      <c r="J56" s="6">
        <f t="shared" si="33"/>
        <v>2.118555177192704E-2</v>
      </c>
      <c r="K56" s="2"/>
      <c r="L56" s="7">
        <f t="shared" si="34"/>
        <v>-1266.7800000000007</v>
      </c>
      <c r="M56" s="2"/>
      <c r="N56" s="6">
        <f t="shared" si="35"/>
        <v>-8.3871386349431712E-2</v>
      </c>
      <c r="O56" s="11"/>
      <c r="P56" s="7">
        <v>41393.769999999997</v>
      </c>
      <c r="Q56" s="2"/>
      <c r="R56" s="6">
        <f t="shared" si="36"/>
        <v>2.8802678913126671</v>
      </c>
      <c r="S56" s="2"/>
      <c r="T56" s="7">
        <v>45311.519999999997</v>
      </c>
      <c r="U56" s="2"/>
      <c r="V56" s="6">
        <f t="shared" si="37"/>
        <v>3.6545170779790748E-2</v>
      </c>
      <c r="W56" s="2"/>
      <c r="X56" s="7">
        <f t="shared" si="38"/>
        <v>-3917.75</v>
      </c>
      <c r="Y56" s="2"/>
      <c r="Z56" s="6">
        <f t="shared" si="39"/>
        <v>-8.6462559631634517E-2</v>
      </c>
    </row>
    <row r="57" spans="1:26" s="24" customFormat="1" hidden="1" outlineLevel="2" x14ac:dyDescent="0.25">
      <c r="A57" s="28"/>
      <c r="B57" s="11" t="str">
        <f>CONCATENATE("          ", "6326", " - ", "VEHICLES DEPRECIATION EXPENSE")</f>
        <v xml:space="preserve">          6326 - VEHICLES DEPRECIATION EXPENSE</v>
      </c>
      <c r="C57" s="11"/>
      <c r="D57" s="7"/>
      <c r="E57" s="2"/>
      <c r="F57" s="6">
        <f t="shared" si="32"/>
        <v>0</v>
      </c>
      <c r="G57" s="2"/>
      <c r="H57" s="7">
        <v>424.25</v>
      </c>
      <c r="I57" s="2"/>
      <c r="J57" s="6">
        <f t="shared" si="33"/>
        <v>5.950784925714286E-4</v>
      </c>
      <c r="K57" s="2"/>
      <c r="L57" s="7">
        <f t="shared" si="34"/>
        <v>-424.25</v>
      </c>
      <c r="M57" s="2"/>
      <c r="N57" s="6">
        <f t="shared" si="35"/>
        <v>-1</v>
      </c>
      <c r="O57" s="11"/>
      <c r="P57" s="7"/>
      <c r="Q57" s="2"/>
      <c r="R57" s="6">
        <f t="shared" si="36"/>
        <v>0</v>
      </c>
      <c r="S57" s="2"/>
      <c r="T57" s="7">
        <v>1272.75</v>
      </c>
      <c r="U57" s="2"/>
      <c r="V57" s="6">
        <f t="shared" si="37"/>
        <v>1.0265130392884344E-3</v>
      </c>
      <c r="W57" s="2"/>
      <c r="X57" s="7">
        <f t="shared" si="38"/>
        <v>-1272.75</v>
      </c>
      <c r="Y57" s="2"/>
      <c r="Z57" s="6">
        <f t="shared" si="39"/>
        <v>-1</v>
      </c>
    </row>
    <row r="58" spans="1:26" s="27" customFormat="1" outlineLevel="1" collapsed="1" x14ac:dyDescent="0.25">
      <c r="A58" s="29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66" si="40">IF(D$12=0,0,D58/D$12)</f>
        <v>0</v>
      </c>
      <c r="G58" s="1"/>
      <c r="H58" s="1">
        <f>SUM(OSRRefH22_6x_0)</f>
        <v>19.84</v>
      </c>
      <c r="I58" s="1"/>
      <c r="J58" s="5">
        <f t="shared" ref="J58:J66" si="41">IF(H$12=0,0,H58/H$12)</f>
        <v>2.782877381877936E-5</v>
      </c>
      <c r="K58" s="1"/>
      <c r="L58" s="1">
        <f t="shared" ref="L58:L66" si="42">+D58-H58</f>
        <v>-19.84</v>
      </c>
      <c r="M58" s="1"/>
      <c r="N58" s="5">
        <f t="shared" ref="N58:N66" si="43">IF(H58=0,0,L58/H58)</f>
        <v>-1</v>
      </c>
      <c r="O58" s="14"/>
      <c r="P58" s="1">
        <f>SUM(OSRRefP22_6x_0)</f>
        <v>0</v>
      </c>
      <c r="Q58" s="1"/>
      <c r="R58" s="5">
        <f t="shared" ref="R58:R66" si="44">IF(P$12=0,0,P58/P$12)</f>
        <v>0</v>
      </c>
      <c r="S58" s="1"/>
      <c r="T58" s="1">
        <f>SUM(OSRRefT22_6x_0)</f>
        <v>419.56</v>
      </c>
      <c r="U58" s="1"/>
      <c r="V58" s="5">
        <f t="shared" ref="V58:V66" si="45">IF(T$12=0,0,T58/T$12)</f>
        <v>3.3838838009338484E-4</v>
      </c>
      <c r="W58" s="1"/>
      <c r="X58" s="1">
        <f t="shared" ref="X58:X66" si="46">+P58-T58</f>
        <v>-419.56</v>
      </c>
      <c r="Y58" s="1"/>
      <c r="Z58" s="5">
        <f t="shared" ref="Z58:Z66" si="47">IF(T58=0,0,X58/T58)</f>
        <v>-1</v>
      </c>
    </row>
    <row r="59" spans="1:26" s="24" customFormat="1" hidden="1" outlineLevel="2" x14ac:dyDescent="0.25">
      <c r="A59" s="28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40"/>
        <v>0</v>
      </c>
      <c r="G59" s="2"/>
      <c r="H59" s="7">
        <v>19.84</v>
      </c>
      <c r="I59" s="2"/>
      <c r="J59" s="6">
        <f t="shared" si="41"/>
        <v>2.782877381877936E-5</v>
      </c>
      <c r="K59" s="2"/>
      <c r="L59" s="7">
        <f t="shared" si="42"/>
        <v>-19.84</v>
      </c>
      <c r="M59" s="2"/>
      <c r="N59" s="6">
        <f t="shared" si="43"/>
        <v>-1</v>
      </c>
      <c r="O59" s="11"/>
      <c r="P59" s="7"/>
      <c r="Q59" s="2"/>
      <c r="R59" s="6">
        <f t="shared" si="44"/>
        <v>0</v>
      </c>
      <c r="S59" s="2"/>
      <c r="T59" s="7">
        <v>419.56</v>
      </c>
      <c r="U59" s="2"/>
      <c r="V59" s="6">
        <f t="shared" si="45"/>
        <v>3.3838838009338484E-4</v>
      </c>
      <c r="W59" s="2"/>
      <c r="X59" s="7">
        <f t="shared" si="46"/>
        <v>-419.56</v>
      </c>
      <c r="Y59" s="2"/>
      <c r="Z59" s="6">
        <f t="shared" si="47"/>
        <v>-1</v>
      </c>
    </row>
    <row r="60" spans="1:26" s="27" customFormat="1" outlineLevel="1" collapsed="1" x14ac:dyDescent="0.25">
      <c r="A60" s="29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283.86</v>
      </c>
      <c r="E60" s="1"/>
      <c r="F60" s="5">
        <f t="shared" si="40"/>
        <v>3.27116212338594E-2</v>
      </c>
      <c r="G60" s="1"/>
      <c r="H60" s="1">
        <f>SUM(OSRRefH22_7x_0)</f>
        <v>2203.21</v>
      </c>
      <c r="I60" s="1"/>
      <c r="J60" s="5">
        <f t="shared" si="41"/>
        <v>3.0903544740560926E-3</v>
      </c>
      <c r="K60" s="1"/>
      <c r="L60" s="1">
        <f t="shared" si="42"/>
        <v>-1919.35</v>
      </c>
      <c r="M60" s="1"/>
      <c r="N60" s="5">
        <f t="shared" si="43"/>
        <v>-0.87116071550147278</v>
      </c>
      <c r="O60" s="14"/>
      <c r="P60" s="1">
        <f>SUM(OSRRefP22_7x_0)</f>
        <v>1316.61</v>
      </c>
      <c r="Q60" s="1"/>
      <c r="R60" s="5">
        <f t="shared" si="44"/>
        <v>9.1612566537939671E-2</v>
      </c>
      <c r="S60" s="1"/>
      <c r="T60" s="1">
        <f>SUM(OSRRefT22_7x_0)</f>
        <v>6368.81</v>
      </c>
      <c r="U60" s="1"/>
      <c r="V60" s="5">
        <f t="shared" si="45"/>
        <v>5.1366462461210557E-3</v>
      </c>
      <c r="W60" s="1"/>
      <c r="X60" s="1">
        <f t="shared" si="46"/>
        <v>-5052.2000000000007</v>
      </c>
      <c r="Y60" s="1"/>
      <c r="Z60" s="5">
        <f t="shared" si="47"/>
        <v>-0.79327221254834113</v>
      </c>
    </row>
    <row r="61" spans="1:26" s="24" customFormat="1" hidden="1" outlineLevel="2" x14ac:dyDescent="0.25">
      <c r="A61" s="28"/>
      <c r="B61" s="11" t="str">
        <f>CONCATENATE("          ", "6351", " - ", "EQUIPMENT RENTAL")</f>
        <v xml:space="preserve">          6351 - EQUIPMENT RENTAL</v>
      </c>
      <c r="C61" s="11"/>
      <c r="D61" s="7">
        <v>283.86</v>
      </c>
      <c r="E61" s="2"/>
      <c r="F61" s="6">
        <f t="shared" si="40"/>
        <v>3.27116212338594E-2</v>
      </c>
      <c r="G61" s="2"/>
      <c r="H61" s="7">
        <v>2203.21</v>
      </c>
      <c r="I61" s="2"/>
      <c r="J61" s="6">
        <f t="shared" si="41"/>
        <v>3.0903544740560926E-3</v>
      </c>
      <c r="K61" s="2"/>
      <c r="L61" s="7">
        <f t="shared" si="42"/>
        <v>-1919.35</v>
      </c>
      <c r="M61" s="2"/>
      <c r="N61" s="6">
        <f t="shared" si="43"/>
        <v>-0.87116071550147278</v>
      </c>
      <c r="O61" s="11"/>
      <c r="P61" s="7">
        <v>1316.61</v>
      </c>
      <c r="Q61" s="2"/>
      <c r="R61" s="6">
        <f t="shared" si="44"/>
        <v>9.1612566537939671E-2</v>
      </c>
      <c r="S61" s="2"/>
      <c r="T61" s="7">
        <v>6368.81</v>
      </c>
      <c r="U61" s="2"/>
      <c r="V61" s="6">
        <f t="shared" si="45"/>
        <v>5.1366462461210557E-3</v>
      </c>
      <c r="W61" s="2"/>
      <c r="X61" s="7">
        <f t="shared" si="46"/>
        <v>-5052.2000000000007</v>
      </c>
      <c r="Y61" s="2"/>
      <c r="Z61" s="6">
        <f t="shared" si="47"/>
        <v>-0.79327221254834113</v>
      </c>
    </row>
    <row r="62" spans="1:26" s="27" customFormat="1" outlineLevel="1" collapsed="1" x14ac:dyDescent="0.25">
      <c r="A62" s="29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SUM(OSRRefD22_8x_0)</f>
        <v>-5.41</v>
      </c>
      <c r="E62" s="1"/>
      <c r="F62" s="5">
        <f t="shared" si="40"/>
        <v>-6.2344067806376156E-4</v>
      </c>
      <c r="G62" s="1"/>
      <c r="H62" s="1">
        <f>SUM(OSRRefH22_8x_0)</f>
        <v>0</v>
      </c>
      <c r="I62" s="1"/>
      <c r="J62" s="5">
        <f t="shared" si="41"/>
        <v>0</v>
      </c>
      <c r="K62" s="1"/>
      <c r="L62" s="1">
        <f t="shared" si="42"/>
        <v>-5.41</v>
      </c>
      <c r="M62" s="1"/>
      <c r="N62" s="5">
        <f t="shared" si="43"/>
        <v>0</v>
      </c>
      <c r="O62" s="14"/>
      <c r="P62" s="1">
        <f>SUM(OSRRefP22_8x_0)</f>
        <v>-5.41</v>
      </c>
      <c r="Q62" s="1"/>
      <c r="R62" s="5">
        <f t="shared" si="44"/>
        <v>-3.7643948091709288E-4</v>
      </c>
      <c r="S62" s="1"/>
      <c r="T62" s="1">
        <f>SUM(OSRRefT22_8x_0)</f>
        <v>0</v>
      </c>
      <c r="U62" s="1"/>
      <c r="V62" s="5">
        <f t="shared" si="45"/>
        <v>0</v>
      </c>
      <c r="W62" s="1"/>
      <c r="X62" s="1">
        <f t="shared" si="46"/>
        <v>-5.41</v>
      </c>
      <c r="Y62" s="1"/>
      <c r="Z62" s="5">
        <f t="shared" si="47"/>
        <v>0</v>
      </c>
    </row>
    <row r="63" spans="1:26" s="24" customFormat="1" hidden="1" outlineLevel="2" x14ac:dyDescent="0.25">
      <c r="A63" s="28"/>
      <c r="B63" s="11" t="str">
        <f>CONCATENATE("          ", "6307", " - ", "POSTAGE")</f>
        <v xml:space="preserve">          6307 - POSTAGE</v>
      </c>
      <c r="C63" s="11"/>
      <c r="D63" s="7">
        <v>-5.41</v>
      </c>
      <c r="E63" s="2"/>
      <c r="F63" s="6">
        <f t="shared" si="40"/>
        <v>-6.2344067806376156E-4</v>
      </c>
      <c r="G63" s="2"/>
      <c r="H63" s="7"/>
      <c r="I63" s="2"/>
      <c r="J63" s="6">
        <f t="shared" si="41"/>
        <v>0</v>
      </c>
      <c r="K63" s="2"/>
      <c r="L63" s="7">
        <f t="shared" si="42"/>
        <v>-5.41</v>
      </c>
      <c r="M63" s="2"/>
      <c r="N63" s="6">
        <f t="shared" si="43"/>
        <v>0</v>
      </c>
      <c r="O63" s="11"/>
      <c r="P63" s="7">
        <v>-5.41</v>
      </c>
      <c r="Q63" s="2"/>
      <c r="R63" s="6">
        <f t="shared" si="44"/>
        <v>-3.7643948091709288E-4</v>
      </c>
      <c r="S63" s="2"/>
      <c r="T63" s="7"/>
      <c r="U63" s="2"/>
      <c r="V63" s="6">
        <f t="shared" si="45"/>
        <v>0</v>
      </c>
      <c r="W63" s="2"/>
      <c r="X63" s="7">
        <f t="shared" si="46"/>
        <v>-5.41</v>
      </c>
      <c r="Y63" s="2"/>
      <c r="Z63" s="6">
        <f t="shared" si="47"/>
        <v>0</v>
      </c>
    </row>
    <row r="64" spans="1:26" s="27" customFormat="1" outlineLevel="1" collapsed="1" x14ac:dyDescent="0.25">
      <c r="A64" s="29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SUM(OSRRefD22_9x_0)</f>
        <v>550.52</v>
      </c>
      <c r="E64" s="1"/>
      <c r="F64" s="5">
        <f t="shared" si="40"/>
        <v>6.3441139018052123E-2</v>
      </c>
      <c r="G64" s="1"/>
      <c r="H64" s="1">
        <f>SUM(OSRRefH22_9x_0)</f>
        <v>7452.15</v>
      </c>
      <c r="I64" s="1"/>
      <c r="J64" s="5">
        <f t="shared" si="41"/>
        <v>1.0452832500686321E-2</v>
      </c>
      <c r="K64" s="1"/>
      <c r="L64" s="1">
        <f t="shared" si="42"/>
        <v>-6901.6299999999992</v>
      </c>
      <c r="M64" s="1"/>
      <c r="N64" s="5">
        <f t="shared" si="43"/>
        <v>-0.92612601732385946</v>
      </c>
      <c r="O64" s="14"/>
      <c r="P64" s="1">
        <f>SUM(OSRRefP22_9x_0)</f>
        <v>3766.45</v>
      </c>
      <c r="Q64" s="1"/>
      <c r="R64" s="5">
        <f t="shared" si="44"/>
        <v>0.2620777232717531</v>
      </c>
      <c r="S64" s="1"/>
      <c r="T64" s="1">
        <f>SUM(OSRRefT22_9x_0)</f>
        <v>29518.129999999997</v>
      </c>
      <c r="U64" s="1"/>
      <c r="V64" s="5">
        <f t="shared" si="45"/>
        <v>2.3807303351334599E-2</v>
      </c>
      <c r="W64" s="1"/>
      <c r="X64" s="1">
        <f t="shared" si="46"/>
        <v>-25751.679999999997</v>
      </c>
      <c r="Y64" s="1"/>
      <c r="Z64" s="5">
        <f t="shared" si="47"/>
        <v>-0.87240214742600564</v>
      </c>
    </row>
    <row r="65" spans="1:26" s="24" customFormat="1" hidden="1" outlineLevel="2" x14ac:dyDescent="0.25">
      <c r="A65" s="28"/>
      <c r="B65" s="11" t="str">
        <f>CONCATENATE("          ", "6269", " - ", "ENTERTAINMENT")</f>
        <v xml:space="preserve">          6269 - ENTERTAINMENT</v>
      </c>
      <c r="C65" s="11"/>
      <c r="D65" s="7"/>
      <c r="E65" s="2"/>
      <c r="F65" s="6">
        <f t="shared" si="40"/>
        <v>0</v>
      </c>
      <c r="G65" s="2"/>
      <c r="H65" s="7">
        <v>1050</v>
      </c>
      <c r="I65" s="2"/>
      <c r="J65" s="6">
        <f t="shared" si="41"/>
        <v>1.472792969239835E-3</v>
      </c>
      <c r="K65" s="2"/>
      <c r="L65" s="7">
        <f t="shared" si="42"/>
        <v>-1050</v>
      </c>
      <c r="M65" s="2"/>
      <c r="N65" s="6">
        <f t="shared" si="43"/>
        <v>-1</v>
      </c>
      <c r="O65" s="11"/>
      <c r="P65" s="7"/>
      <c r="Q65" s="2"/>
      <c r="R65" s="6">
        <f t="shared" si="44"/>
        <v>0</v>
      </c>
      <c r="S65" s="2"/>
      <c r="T65" s="7">
        <v>3650</v>
      </c>
      <c r="U65" s="2"/>
      <c r="V65" s="6">
        <f t="shared" si="45"/>
        <v>2.9438401833846283E-3</v>
      </c>
      <c r="W65" s="2"/>
      <c r="X65" s="7">
        <f t="shared" si="46"/>
        <v>-3650</v>
      </c>
      <c r="Y65" s="2"/>
      <c r="Z65" s="6">
        <f t="shared" si="47"/>
        <v>-1</v>
      </c>
    </row>
    <row r="66" spans="1:26" s="24" customFormat="1" hidden="1" outlineLevel="2" x14ac:dyDescent="0.25">
      <c r="A66" s="28"/>
      <c r="B66" s="11" t="str">
        <f>CONCATENATE("          ", "6279", " - ", "GENERAL EXPENSE")</f>
        <v xml:space="preserve">          6279 - GENERAL EXPENSE</v>
      </c>
      <c r="C66" s="11"/>
      <c r="D66" s="7">
        <v>550.52</v>
      </c>
      <c r="E66" s="2"/>
      <c r="F66" s="6">
        <f t="shared" si="40"/>
        <v>6.3441139018052123E-2</v>
      </c>
      <c r="G66" s="2"/>
      <c r="H66" s="7">
        <v>6402.15</v>
      </c>
      <c r="I66" s="2"/>
      <c r="J66" s="6">
        <f t="shared" si="41"/>
        <v>8.9800395314464862E-3</v>
      </c>
      <c r="K66" s="2"/>
      <c r="L66" s="7">
        <f t="shared" si="42"/>
        <v>-5851.6299999999992</v>
      </c>
      <c r="M66" s="2"/>
      <c r="N66" s="6">
        <f t="shared" si="43"/>
        <v>-0.91401013721952773</v>
      </c>
      <c r="O66" s="11"/>
      <c r="P66" s="7">
        <v>3766.45</v>
      </c>
      <c r="Q66" s="2"/>
      <c r="R66" s="6">
        <f t="shared" si="44"/>
        <v>0.2620777232717531</v>
      </c>
      <c r="S66" s="2"/>
      <c r="T66" s="7">
        <v>25868.129999999997</v>
      </c>
      <c r="U66" s="2"/>
      <c r="V66" s="6">
        <f t="shared" si="45"/>
        <v>2.0863463167949972E-2</v>
      </c>
      <c r="W66" s="2"/>
      <c r="X66" s="7">
        <f t="shared" si="46"/>
        <v>-22101.679999999997</v>
      </c>
      <c r="Y66" s="2"/>
      <c r="Z66" s="6">
        <f t="shared" si="47"/>
        <v>-0.8543980566047874</v>
      </c>
    </row>
    <row r="67" spans="1:26" s="27" customFormat="1" outlineLevel="1" collapsed="1" x14ac:dyDescent="0.25">
      <c r="A67" s="29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4240.13</v>
      </c>
      <c r="E67" s="1"/>
      <c r="F67" s="5">
        <f t="shared" ref="F67:F78" si="48">IF(D$12=0,0,D67/D$12)</f>
        <v>0.48862652907181092</v>
      </c>
      <c r="G67" s="1"/>
      <c r="H67" s="1">
        <f>SUM(OSRRefH22_10x_0)</f>
        <v>4240.13</v>
      </c>
      <c r="I67" s="1"/>
      <c r="J67" s="5">
        <f t="shared" ref="J67:J78" si="49">IF(H$12=0,0,H67/H$12)</f>
        <v>5.9474606215837167E-3</v>
      </c>
      <c r="K67" s="1"/>
      <c r="L67" s="1">
        <f t="shared" ref="L67:L78" si="50">+D67-H67</f>
        <v>0</v>
      </c>
      <c r="M67" s="1"/>
      <c r="N67" s="5">
        <f t="shared" ref="N67:N78" si="51">IF(H67=0,0,L67/H67)</f>
        <v>0</v>
      </c>
      <c r="O67" s="14"/>
      <c r="P67" s="1">
        <f>SUM(OSRRefP22_10x_0)</f>
        <v>12720.39</v>
      </c>
      <c r="Q67" s="1"/>
      <c r="R67" s="5">
        <f t="shared" ref="R67:R78" si="52">IF(P$12=0,0,P67/P$12)</f>
        <v>0.88511220123160417</v>
      </c>
      <c r="S67" s="1"/>
      <c r="T67" s="1">
        <f>SUM(OSRRefT22_10x_0)</f>
        <v>12720.39</v>
      </c>
      <c r="U67" s="1"/>
      <c r="V67" s="5">
        <f t="shared" ref="V67:V78" si="53">IF(T$12=0,0,T67/T$12)</f>
        <v>1.0259395953513422E-2</v>
      </c>
      <c r="W67" s="1"/>
      <c r="X67" s="1">
        <f t="shared" ref="X67:X78" si="54">+P67-T67</f>
        <v>0</v>
      </c>
      <c r="Y67" s="1"/>
      <c r="Z67" s="5">
        <f t="shared" ref="Z67:Z78" si="55">IF(T67=0,0,X67/T67)</f>
        <v>0</v>
      </c>
    </row>
    <row r="68" spans="1:26" s="24" customFormat="1" hidden="1" outlineLevel="2" x14ac:dyDescent="0.25">
      <c r="A68" s="28"/>
      <c r="B68" s="11" t="str">
        <f>CONCATENATE("          ", "6314", " - ", "LIABILITY INSURANCE")</f>
        <v xml:space="preserve">          6314 - LIABILITY INSURANCE</v>
      </c>
      <c r="C68" s="11"/>
      <c r="D68" s="7">
        <v>4240.13</v>
      </c>
      <c r="E68" s="2"/>
      <c r="F68" s="6">
        <f t="shared" si="48"/>
        <v>0.48862652907181092</v>
      </c>
      <c r="G68" s="2"/>
      <c r="H68" s="7">
        <v>4240.13</v>
      </c>
      <c r="I68" s="2"/>
      <c r="J68" s="6">
        <f t="shared" si="49"/>
        <v>5.9474606215837167E-3</v>
      </c>
      <c r="K68" s="2"/>
      <c r="L68" s="7">
        <f t="shared" si="50"/>
        <v>0</v>
      </c>
      <c r="M68" s="2"/>
      <c r="N68" s="6">
        <f t="shared" si="51"/>
        <v>0</v>
      </c>
      <c r="O68" s="11"/>
      <c r="P68" s="7">
        <v>12720.39</v>
      </c>
      <c r="Q68" s="2"/>
      <c r="R68" s="6">
        <f t="shared" si="52"/>
        <v>0.88511220123160417</v>
      </c>
      <c r="S68" s="2"/>
      <c r="T68" s="7">
        <v>12720.39</v>
      </c>
      <c r="U68" s="2"/>
      <c r="V68" s="6">
        <f t="shared" si="53"/>
        <v>1.0259395953513422E-2</v>
      </c>
      <c r="W68" s="2"/>
      <c r="X68" s="7">
        <f t="shared" si="54"/>
        <v>0</v>
      </c>
      <c r="Y68" s="2"/>
      <c r="Z68" s="6">
        <f t="shared" si="55"/>
        <v>0</v>
      </c>
    </row>
    <row r="69" spans="1:26" s="27" customFormat="1" outlineLevel="1" collapsed="1" x14ac:dyDescent="0.25">
      <c r="A69" s="29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7510</v>
      </c>
      <c r="E69" s="1"/>
      <c r="F69" s="5">
        <f t="shared" si="48"/>
        <v>0.86544168063934368</v>
      </c>
      <c r="G69" s="1"/>
      <c r="H69" s="1">
        <f>SUM(OSRRefH22_11x_0)</f>
        <v>7630</v>
      </c>
      <c r="I69" s="1"/>
      <c r="J69" s="5">
        <f t="shared" si="49"/>
        <v>1.0702295576476135E-2</v>
      </c>
      <c r="K69" s="1"/>
      <c r="L69" s="1">
        <f t="shared" si="50"/>
        <v>-120</v>
      </c>
      <c r="M69" s="1"/>
      <c r="N69" s="5">
        <f t="shared" si="51"/>
        <v>-1.5727391874180863E-2</v>
      </c>
      <c r="O69" s="14"/>
      <c r="P69" s="1">
        <f>SUM(OSRRefP22_11x_0)</f>
        <v>22530</v>
      </c>
      <c r="Q69" s="1"/>
      <c r="R69" s="5">
        <f t="shared" si="52"/>
        <v>1.5676860452979855</v>
      </c>
      <c r="S69" s="1"/>
      <c r="T69" s="1">
        <f>SUM(OSRRefT22_11x_0)</f>
        <v>22890</v>
      </c>
      <c r="U69" s="1"/>
      <c r="V69" s="5">
        <f t="shared" si="53"/>
        <v>1.8461507341828529E-2</v>
      </c>
      <c r="W69" s="1"/>
      <c r="X69" s="1">
        <f t="shared" si="54"/>
        <v>-360</v>
      </c>
      <c r="Y69" s="1"/>
      <c r="Z69" s="5">
        <f t="shared" si="55"/>
        <v>-1.5727391874180863E-2</v>
      </c>
    </row>
    <row r="70" spans="1:26" s="24" customFormat="1" hidden="1" outlineLevel="2" x14ac:dyDescent="0.25">
      <c r="A70" s="28"/>
      <c r="B70" s="11" t="str">
        <f>CONCATENATE("          ", "6401", " - ", "INTEREST EXPENSE")</f>
        <v xml:space="preserve">          6401 - INTEREST EXPENSE</v>
      </c>
      <c r="C70" s="11"/>
      <c r="D70" s="7">
        <v>7510</v>
      </c>
      <c r="E70" s="2"/>
      <c r="F70" s="6">
        <f t="shared" si="48"/>
        <v>0.86544168063934368</v>
      </c>
      <c r="G70" s="2"/>
      <c r="H70" s="7">
        <v>7630</v>
      </c>
      <c r="I70" s="2"/>
      <c r="J70" s="6">
        <f t="shared" si="49"/>
        <v>1.0702295576476135E-2</v>
      </c>
      <c r="K70" s="2"/>
      <c r="L70" s="7">
        <f t="shared" si="50"/>
        <v>-120</v>
      </c>
      <c r="M70" s="2"/>
      <c r="N70" s="6">
        <f t="shared" si="51"/>
        <v>-1.5727391874180863E-2</v>
      </c>
      <c r="O70" s="11"/>
      <c r="P70" s="7">
        <v>22530</v>
      </c>
      <c r="Q70" s="2"/>
      <c r="R70" s="6">
        <f t="shared" si="52"/>
        <v>1.5676860452979855</v>
      </c>
      <c r="S70" s="2"/>
      <c r="T70" s="7">
        <v>22890</v>
      </c>
      <c r="U70" s="2"/>
      <c r="V70" s="6">
        <f t="shared" si="53"/>
        <v>1.8461507341828529E-2</v>
      </c>
      <c r="W70" s="2"/>
      <c r="X70" s="7">
        <f t="shared" si="54"/>
        <v>-360</v>
      </c>
      <c r="Y70" s="2"/>
      <c r="Z70" s="6">
        <f t="shared" si="55"/>
        <v>-1.5727391874180863E-2</v>
      </c>
    </row>
    <row r="71" spans="1:26" s="27" customFormat="1" outlineLevel="1" collapsed="1" x14ac:dyDescent="0.25">
      <c r="A71" s="29"/>
      <c r="B71" s="14" t="str">
        <f>CONCATENATE("     ","Professional Services                             ")</f>
        <v xml:space="preserve">     Professional Services                             </v>
      </c>
      <c r="C71" s="14"/>
      <c r="D71" s="1">
        <f>SUM(OSRRefD22_12x_0)</f>
        <v>0</v>
      </c>
      <c r="E71" s="1"/>
      <c r="F71" s="5">
        <f t="shared" si="48"/>
        <v>0</v>
      </c>
      <c r="G71" s="1"/>
      <c r="H71" s="1">
        <f>SUM(OSRRefH22_12x_0)</f>
        <v>0</v>
      </c>
      <c r="I71" s="1"/>
      <c r="J71" s="5">
        <f t="shared" si="49"/>
        <v>0</v>
      </c>
      <c r="K71" s="1"/>
      <c r="L71" s="1">
        <f t="shared" si="50"/>
        <v>0</v>
      </c>
      <c r="M71" s="1"/>
      <c r="N71" s="5">
        <f t="shared" si="51"/>
        <v>0</v>
      </c>
      <c r="O71" s="14"/>
      <c r="P71" s="1">
        <f>SUM(OSRRefP22_12x_0)</f>
        <v>0</v>
      </c>
      <c r="Q71" s="1"/>
      <c r="R71" s="5">
        <f t="shared" si="52"/>
        <v>0</v>
      </c>
      <c r="S71" s="1"/>
      <c r="T71" s="1">
        <f>SUM(OSRRefT22_12x_0)</f>
        <v>125</v>
      </c>
      <c r="U71" s="1"/>
      <c r="V71" s="5">
        <f t="shared" si="53"/>
        <v>1.0081644463645987E-4</v>
      </c>
      <c r="W71" s="1"/>
      <c r="X71" s="1">
        <f t="shared" si="54"/>
        <v>-125</v>
      </c>
      <c r="Y71" s="1"/>
      <c r="Z71" s="5">
        <f t="shared" si="55"/>
        <v>-1</v>
      </c>
    </row>
    <row r="72" spans="1:26" s="24" customFormat="1" hidden="1" outlineLevel="2" x14ac:dyDescent="0.25">
      <c r="A72" s="28"/>
      <c r="B72" s="11" t="str">
        <f>CONCATENATE("          ", "6336", " - ", "PROFESSIONAL SERVICES")</f>
        <v xml:space="preserve">          6336 - PROFESSIONAL SERVICES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/>
      <c r="Q72" s="2"/>
      <c r="R72" s="6">
        <f t="shared" si="52"/>
        <v>0</v>
      </c>
      <c r="S72" s="2"/>
      <c r="T72" s="7">
        <v>125</v>
      </c>
      <c r="U72" s="2"/>
      <c r="V72" s="6">
        <f t="shared" si="53"/>
        <v>1.0081644463645987E-4</v>
      </c>
      <c r="W72" s="2"/>
      <c r="X72" s="7">
        <f t="shared" si="54"/>
        <v>-125</v>
      </c>
      <c r="Y72" s="2"/>
      <c r="Z72" s="6">
        <f t="shared" si="55"/>
        <v>-1</v>
      </c>
    </row>
    <row r="73" spans="1:26" s="27" customFormat="1" outlineLevel="1" collapsed="1" x14ac:dyDescent="0.25">
      <c r="A73" s="29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SUM(OSRRefD22_13x_0)</f>
        <v>5550</v>
      </c>
      <c r="E73" s="1"/>
      <c r="F73" s="5">
        <f t="shared" si="48"/>
        <v>0.63957407823546697</v>
      </c>
      <c r="G73" s="1"/>
      <c r="H73" s="1">
        <f>SUM(OSRRefH22_13x_0)</f>
        <v>1850</v>
      </c>
      <c r="I73" s="1"/>
      <c r="J73" s="5">
        <f t="shared" si="49"/>
        <v>2.594920945803519E-3</v>
      </c>
      <c r="K73" s="1"/>
      <c r="L73" s="1">
        <f t="shared" si="50"/>
        <v>3700</v>
      </c>
      <c r="M73" s="1"/>
      <c r="N73" s="5">
        <f t="shared" si="51"/>
        <v>2</v>
      </c>
      <c r="O73" s="14"/>
      <c r="P73" s="1">
        <f>SUM(OSRRefP22_13x_0)</f>
        <v>5550</v>
      </c>
      <c r="Q73" s="1"/>
      <c r="R73" s="5">
        <f t="shared" si="52"/>
        <v>0.38618098319590854</v>
      </c>
      <c r="S73" s="1"/>
      <c r="T73" s="1">
        <f>SUM(OSRRefT22_13x_0)</f>
        <v>5550</v>
      </c>
      <c r="U73" s="1"/>
      <c r="V73" s="5">
        <f t="shared" si="53"/>
        <v>4.4762501418588183E-3</v>
      </c>
      <c r="W73" s="1"/>
      <c r="X73" s="1">
        <f t="shared" si="54"/>
        <v>0</v>
      </c>
      <c r="Y73" s="1"/>
      <c r="Z73" s="5">
        <f t="shared" si="55"/>
        <v>0</v>
      </c>
    </row>
    <row r="74" spans="1:26" s="24" customFormat="1" hidden="1" outlineLevel="2" x14ac:dyDescent="0.25">
      <c r="A74" s="28"/>
      <c r="B74" s="11" t="str">
        <f>CONCATENATE("          ", "6273", " - ", "RENT")</f>
        <v xml:space="preserve">          6273 - RENT</v>
      </c>
      <c r="C74" s="11"/>
      <c r="D74" s="7">
        <v>5550</v>
      </c>
      <c r="E74" s="2"/>
      <c r="F74" s="6">
        <f t="shared" si="48"/>
        <v>0.63957407823546697</v>
      </c>
      <c r="G74" s="2"/>
      <c r="H74" s="7">
        <v>1850</v>
      </c>
      <c r="I74" s="2"/>
      <c r="J74" s="6">
        <f t="shared" si="49"/>
        <v>2.594920945803519E-3</v>
      </c>
      <c r="K74" s="2"/>
      <c r="L74" s="7">
        <f t="shared" si="50"/>
        <v>3700</v>
      </c>
      <c r="M74" s="2"/>
      <c r="N74" s="6">
        <f t="shared" si="51"/>
        <v>2</v>
      </c>
      <c r="O74" s="11"/>
      <c r="P74" s="7">
        <v>5550</v>
      </c>
      <c r="Q74" s="2"/>
      <c r="R74" s="6">
        <f t="shared" si="52"/>
        <v>0.38618098319590854</v>
      </c>
      <c r="S74" s="2"/>
      <c r="T74" s="7">
        <v>5550</v>
      </c>
      <c r="U74" s="2"/>
      <c r="V74" s="6">
        <f t="shared" si="53"/>
        <v>4.4762501418588183E-3</v>
      </c>
      <c r="W74" s="2"/>
      <c r="X74" s="7">
        <f t="shared" si="54"/>
        <v>0</v>
      </c>
      <c r="Y74" s="2"/>
      <c r="Z74" s="6">
        <f t="shared" si="55"/>
        <v>0</v>
      </c>
    </row>
    <row r="75" spans="1:26" s="27" customFormat="1" outlineLevel="1" collapsed="1" x14ac:dyDescent="0.25">
      <c r="A75" s="29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SUM(OSRRefD22_14x_0)</f>
        <v>2608.58</v>
      </c>
      <c r="E75" s="1"/>
      <c r="F75" s="5">
        <f t="shared" si="48"/>
        <v>0.30060903585648191</v>
      </c>
      <c r="G75" s="1"/>
      <c r="H75" s="1">
        <f>SUM(OSRRefH22_14x_0)</f>
        <v>32297.57</v>
      </c>
      <c r="I75" s="1"/>
      <c r="J75" s="5">
        <f t="shared" si="49"/>
        <v>4.5302508590029926E-2</v>
      </c>
      <c r="K75" s="1"/>
      <c r="L75" s="1">
        <f t="shared" si="50"/>
        <v>-29688.989999999998</v>
      </c>
      <c r="M75" s="1"/>
      <c r="N75" s="5">
        <f t="shared" si="51"/>
        <v>-0.91923293300393805</v>
      </c>
      <c r="O75" s="14"/>
      <c r="P75" s="1">
        <f>SUM(OSRRefP22_14x_0)</f>
        <v>11007.75</v>
      </c>
      <c r="Q75" s="1"/>
      <c r="R75" s="5">
        <f t="shared" si="52"/>
        <v>0.76594301221166894</v>
      </c>
      <c r="S75" s="1"/>
      <c r="T75" s="1">
        <f>SUM(OSRRefT22_14x_0)</f>
        <v>80107.38</v>
      </c>
      <c r="U75" s="1"/>
      <c r="V75" s="5">
        <f t="shared" si="53"/>
        <v>6.460912992593483E-2</v>
      </c>
      <c r="W75" s="1"/>
      <c r="X75" s="1">
        <f t="shared" si="54"/>
        <v>-69099.63</v>
      </c>
      <c r="Y75" s="1"/>
      <c r="Z75" s="5">
        <f t="shared" si="55"/>
        <v>-0.8625875668384112</v>
      </c>
    </row>
    <row r="76" spans="1:26" s="24" customFormat="1" hidden="1" outlineLevel="2" x14ac:dyDescent="0.25">
      <c r="A76" s="28"/>
      <c r="B76" s="11" t="str">
        <f>CONCATENATE("          ", "6371", " - ", "COMPUTER SOFTWARE MAINTENANCE")</f>
        <v xml:space="preserve">          6371 - COMPUTER SOFTWARE MAINTENANCE</v>
      </c>
      <c r="C76" s="11"/>
      <c r="D76" s="7"/>
      <c r="E76" s="2"/>
      <c r="F76" s="6">
        <f t="shared" si="48"/>
        <v>0</v>
      </c>
      <c r="G76" s="2"/>
      <c r="H76" s="7">
        <v>10932.69</v>
      </c>
      <c r="I76" s="2"/>
      <c r="J76" s="6">
        <f t="shared" si="49"/>
        <v>1.5334846635122527E-2</v>
      </c>
      <c r="K76" s="2"/>
      <c r="L76" s="7">
        <f t="shared" si="50"/>
        <v>-10932.69</v>
      </c>
      <c r="M76" s="2"/>
      <c r="N76" s="6">
        <f t="shared" si="51"/>
        <v>-1</v>
      </c>
      <c r="O76" s="11"/>
      <c r="P76" s="7"/>
      <c r="Q76" s="2"/>
      <c r="R76" s="6">
        <f t="shared" si="52"/>
        <v>0</v>
      </c>
      <c r="S76" s="2"/>
      <c r="T76" s="7">
        <v>10932.69</v>
      </c>
      <c r="U76" s="2"/>
      <c r="V76" s="6">
        <f t="shared" si="53"/>
        <v>8.8175594889006274E-3</v>
      </c>
      <c r="W76" s="2"/>
      <c r="X76" s="7">
        <f t="shared" si="54"/>
        <v>-10932.69</v>
      </c>
      <c r="Y76" s="2"/>
      <c r="Z76" s="6">
        <f t="shared" si="55"/>
        <v>-1</v>
      </c>
    </row>
    <row r="77" spans="1:26" s="24" customFormat="1" hidden="1" outlineLevel="2" x14ac:dyDescent="0.25">
      <c r="A77" s="28"/>
      <c r="B77" s="11" t="str">
        <f>CONCATENATE("          ", "6373", " - ", "MAINTENANCE CONTRACTS")</f>
        <v xml:space="preserve">          6373 - MAINTENANCE CONTRACTS</v>
      </c>
      <c r="C77" s="11"/>
      <c r="D77" s="7">
        <v>1656.76</v>
      </c>
      <c r="E77" s="2"/>
      <c r="F77" s="6">
        <f t="shared" si="48"/>
        <v>0.19092265763196259</v>
      </c>
      <c r="G77" s="2"/>
      <c r="H77" s="7">
        <v>8717.31</v>
      </c>
      <c r="I77" s="2"/>
      <c r="J77" s="6">
        <f t="shared" si="49"/>
        <v>1.2227421789222958E-2</v>
      </c>
      <c r="K77" s="2"/>
      <c r="L77" s="7">
        <f t="shared" si="50"/>
        <v>-7060.5499999999993</v>
      </c>
      <c r="M77" s="2"/>
      <c r="N77" s="6">
        <f t="shared" si="51"/>
        <v>-0.80994595809945957</v>
      </c>
      <c r="O77" s="11"/>
      <c r="P77" s="7">
        <v>5697.71</v>
      </c>
      <c r="Q77" s="2"/>
      <c r="R77" s="6">
        <f t="shared" si="52"/>
        <v>0.39645896392165048</v>
      </c>
      <c r="S77" s="2"/>
      <c r="T77" s="7">
        <v>24808.510000000002</v>
      </c>
      <c r="U77" s="2"/>
      <c r="V77" s="6">
        <f t="shared" si="53"/>
        <v>2.0008846199424491E-2</v>
      </c>
      <c r="W77" s="2"/>
      <c r="X77" s="7">
        <f t="shared" si="54"/>
        <v>-19110.800000000003</v>
      </c>
      <c r="Y77" s="2"/>
      <c r="Z77" s="6">
        <f t="shared" si="55"/>
        <v>-0.77033243834474552</v>
      </c>
    </row>
    <row r="78" spans="1:26" s="24" customFormat="1" hidden="1" outlineLevel="2" x14ac:dyDescent="0.25">
      <c r="A78" s="28"/>
      <c r="B78" s="11" t="str">
        <f>CONCATENATE("          ", "6375", " - ", "OUTSIDE REPAIRS &amp; MAINTENANCE")</f>
        <v xml:space="preserve">          6375 - OUTSIDE REPAIRS &amp; MAINTENANCE</v>
      </c>
      <c r="C78" s="11"/>
      <c r="D78" s="7">
        <v>951.82</v>
      </c>
      <c r="E78" s="2"/>
      <c r="F78" s="6">
        <f t="shared" si="48"/>
        <v>0.10968637822451932</v>
      </c>
      <c r="G78" s="2"/>
      <c r="H78" s="7">
        <v>12647.57</v>
      </c>
      <c r="I78" s="2"/>
      <c r="J78" s="6">
        <f t="shared" si="49"/>
        <v>1.7740240165684439E-2</v>
      </c>
      <c r="K78" s="2"/>
      <c r="L78" s="7">
        <f t="shared" si="50"/>
        <v>-11695.75</v>
      </c>
      <c r="M78" s="2"/>
      <c r="N78" s="6">
        <f t="shared" si="51"/>
        <v>-0.92474285574224935</v>
      </c>
      <c r="O78" s="11"/>
      <c r="P78" s="7">
        <v>5310.04</v>
      </c>
      <c r="Q78" s="2"/>
      <c r="R78" s="6">
        <f t="shared" si="52"/>
        <v>0.36948404829001846</v>
      </c>
      <c r="S78" s="2"/>
      <c r="T78" s="7">
        <v>44366.18</v>
      </c>
      <c r="U78" s="2"/>
      <c r="V78" s="6">
        <f t="shared" si="53"/>
        <v>3.5782724237609705E-2</v>
      </c>
      <c r="W78" s="2"/>
      <c r="X78" s="7">
        <f t="shared" si="54"/>
        <v>-39056.14</v>
      </c>
      <c r="Y78" s="2"/>
      <c r="Z78" s="6">
        <f t="shared" si="55"/>
        <v>-0.88031333777214982</v>
      </c>
    </row>
    <row r="79" spans="1:26" s="27" customFormat="1" outlineLevel="1" collapsed="1" x14ac:dyDescent="0.25">
      <c r="A79" s="29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1">
        <f>SUM(OSRRefD22_15x_0)</f>
        <v>0</v>
      </c>
      <c r="E79" s="1"/>
      <c r="F79" s="5">
        <f t="shared" ref="F79:F81" si="56">IF(D$12=0,0,D79/D$12)</f>
        <v>0</v>
      </c>
      <c r="G79" s="1"/>
      <c r="H79" s="1">
        <f>SUM(OSRRefH22_15x_0)</f>
        <v>26561.729999999996</v>
      </c>
      <c r="I79" s="1"/>
      <c r="J79" s="5">
        <f t="shared" ref="J79:J81" si="57">IF(H$12=0,0,H79/H$12)</f>
        <v>3.7257075423663619E-2</v>
      </c>
      <c r="K79" s="1"/>
      <c r="L79" s="1">
        <f t="shared" ref="L79:L81" si="58">+D79-H79</f>
        <v>-26561.729999999996</v>
      </c>
      <c r="M79" s="1"/>
      <c r="N79" s="5">
        <f t="shared" ref="N79:N81" si="59">IF(H79=0,0,L79/H79)</f>
        <v>-1</v>
      </c>
      <c r="O79" s="14"/>
      <c r="P79" s="1">
        <f>SUM(OSRRefP22_15x_0)</f>
        <v>0</v>
      </c>
      <c r="Q79" s="1"/>
      <c r="R79" s="5">
        <f t="shared" ref="R79:R81" si="60">IF(P$12=0,0,P79/P$12)</f>
        <v>0</v>
      </c>
      <c r="S79" s="1"/>
      <c r="T79" s="1">
        <f>SUM(OSRRefT22_15x_0)</f>
        <v>60263.770000000004</v>
      </c>
      <c r="U79" s="1"/>
      <c r="V79" s="5">
        <f t="shared" ref="V79:V81" si="61">IF(T$12=0,0,T79/T$12)</f>
        <v>4.8604632254314814E-2</v>
      </c>
      <c r="W79" s="1"/>
      <c r="X79" s="1">
        <f t="shared" ref="X79:X81" si="62">+P79-T79</f>
        <v>-60263.770000000004</v>
      </c>
      <c r="Y79" s="1"/>
      <c r="Z79" s="5">
        <f t="shared" ref="Z79:Z81" si="63">IF(T79=0,0,X79/T79)</f>
        <v>-1</v>
      </c>
    </row>
    <row r="80" spans="1:26" s="24" customFormat="1" hidden="1" outlineLevel="2" x14ac:dyDescent="0.25">
      <c r="A80" s="28"/>
      <c r="B80" s="11" t="str">
        <f>CONCATENATE("          ", "6254", " - ", "ROYALTY &amp; COMMISSIONS")</f>
        <v xml:space="preserve">          6254 - ROYALTY &amp; COMMISSIONS</v>
      </c>
      <c r="C80" s="11"/>
      <c r="D80" s="7"/>
      <c r="E80" s="2"/>
      <c r="F80" s="6">
        <f t="shared" si="56"/>
        <v>0</v>
      </c>
      <c r="G80" s="2"/>
      <c r="H80" s="7">
        <v>9813.9699999999993</v>
      </c>
      <c r="I80" s="2"/>
      <c r="J80" s="6">
        <f t="shared" si="57"/>
        <v>1.376566287269587E-2</v>
      </c>
      <c r="K80" s="2"/>
      <c r="L80" s="7">
        <f t="shared" si="58"/>
        <v>-9813.9699999999993</v>
      </c>
      <c r="M80" s="2"/>
      <c r="N80" s="6">
        <f t="shared" si="59"/>
        <v>-1</v>
      </c>
      <c r="O80" s="11"/>
      <c r="P80" s="7"/>
      <c r="Q80" s="2"/>
      <c r="R80" s="6">
        <f t="shared" si="60"/>
        <v>0</v>
      </c>
      <c r="S80" s="2"/>
      <c r="T80" s="7">
        <v>34657.61</v>
      </c>
      <c r="U80" s="2"/>
      <c r="V80" s="6">
        <f t="shared" si="61"/>
        <v>2.7952456158376143E-2</v>
      </c>
      <c r="W80" s="2"/>
      <c r="X80" s="7">
        <f t="shared" si="62"/>
        <v>-34657.61</v>
      </c>
      <c r="Y80" s="2"/>
      <c r="Z80" s="6">
        <f t="shared" si="63"/>
        <v>-1</v>
      </c>
    </row>
    <row r="81" spans="1:26" s="24" customFormat="1" hidden="1" outlineLevel="2" x14ac:dyDescent="0.25">
      <c r="A81" s="28"/>
      <c r="B81" s="11" t="str">
        <f>CONCATENATE("          ", "6259", " - ", "ROYALTY &amp; COMMISSIONS")</f>
        <v xml:space="preserve">          6259 - ROYALTY &amp; COMMISSIONS</v>
      </c>
      <c r="C81" s="11"/>
      <c r="D81" s="7"/>
      <c r="E81" s="2"/>
      <c r="F81" s="6">
        <f t="shared" si="56"/>
        <v>0</v>
      </c>
      <c r="G81" s="2"/>
      <c r="H81" s="7">
        <v>16747.759999999998</v>
      </c>
      <c r="I81" s="2"/>
      <c r="J81" s="6">
        <f t="shared" si="57"/>
        <v>2.349141255096775E-2</v>
      </c>
      <c r="K81" s="2"/>
      <c r="L81" s="7">
        <f t="shared" si="58"/>
        <v>-16747.759999999998</v>
      </c>
      <c r="M81" s="2"/>
      <c r="N81" s="6">
        <f t="shared" si="59"/>
        <v>-1</v>
      </c>
      <c r="O81" s="11"/>
      <c r="P81" s="7"/>
      <c r="Q81" s="2"/>
      <c r="R81" s="6">
        <f t="shared" si="60"/>
        <v>0</v>
      </c>
      <c r="S81" s="2"/>
      <c r="T81" s="7">
        <v>25606.16</v>
      </c>
      <c r="U81" s="2"/>
      <c r="V81" s="6">
        <f t="shared" si="61"/>
        <v>2.0652176095938665E-2</v>
      </c>
      <c r="W81" s="2"/>
      <c r="X81" s="7">
        <f t="shared" si="62"/>
        <v>-25606.16</v>
      </c>
      <c r="Y81" s="2"/>
      <c r="Z81" s="6">
        <f t="shared" si="63"/>
        <v>-1</v>
      </c>
    </row>
    <row r="82" spans="1:26" s="27" customFormat="1" outlineLevel="1" collapsed="1" x14ac:dyDescent="0.25">
      <c r="A82" s="29"/>
      <c r="B82" s="14" t="str">
        <f>CONCATENATE("     ","Services                                          ")</f>
        <v xml:space="preserve">     Services                                          </v>
      </c>
      <c r="C82" s="14"/>
      <c r="D82" s="1">
        <f>SUM(OSRRefD22_16x_0)</f>
        <v>4131.68</v>
      </c>
      <c r="E82" s="1"/>
      <c r="F82" s="5">
        <f t="shared" ref="F82:F87" si="64">IF(D$12=0,0,D82/D$12)</f>
        <v>0.476128905867372</v>
      </c>
      <c r="G82" s="1"/>
      <c r="H82" s="1">
        <f>SUM(OSRRefH22_16x_0)</f>
        <v>19455.759999999998</v>
      </c>
      <c r="I82" s="1"/>
      <c r="J82" s="5">
        <f t="shared" ref="J82:J87" si="65">IF(H$12=0,0,H82/H$12)</f>
        <v>2.7289815751635822E-2</v>
      </c>
      <c r="K82" s="1"/>
      <c r="L82" s="1">
        <f t="shared" ref="L82:L87" si="66">+D82-H82</f>
        <v>-15324.079999999998</v>
      </c>
      <c r="M82" s="1"/>
      <c r="N82" s="5">
        <f t="shared" ref="N82:N87" si="67">IF(H82=0,0,L82/H82)</f>
        <v>-0.78763718302446162</v>
      </c>
      <c r="O82" s="14"/>
      <c r="P82" s="1">
        <f>SUM(OSRRefP22_16x_0)</f>
        <v>10528.06</v>
      </c>
      <c r="Q82" s="1"/>
      <c r="R82" s="5">
        <f t="shared" ref="R82:R87" si="68">IF(P$12=0,0,P82/P$12)</f>
        <v>0.7325651462964895</v>
      </c>
      <c r="S82" s="1"/>
      <c r="T82" s="1">
        <f>SUM(OSRRefT22_16x_0)</f>
        <v>58527.539999999994</v>
      </c>
      <c r="U82" s="1"/>
      <c r="V82" s="5">
        <f t="shared" ref="V82:V87" si="69">IF(T$12=0,0,T82/T$12)</f>
        <v>4.7204307968945515E-2</v>
      </c>
      <c r="W82" s="1"/>
      <c r="X82" s="1">
        <f t="shared" ref="X82:X87" si="70">+P82-T82</f>
        <v>-47999.479999999996</v>
      </c>
      <c r="Y82" s="1"/>
      <c r="Z82" s="5">
        <f t="shared" ref="Z82:Z87" si="71">IF(T82=0,0,X82/T82)</f>
        <v>-0.8201178453767235</v>
      </c>
    </row>
    <row r="83" spans="1:26" s="24" customFormat="1" hidden="1" outlineLevel="2" x14ac:dyDescent="0.25">
      <c r="A83" s="28"/>
      <c r="B83" s="11" t="str">
        <f>CONCATENATE("          ", "6282", " - ", "JANITORIAL/EXTERMINATOR EXPENS")</f>
        <v xml:space="preserve">          6282 - JANITORIAL/EXTERMINATOR EXPENS</v>
      </c>
      <c r="C83" s="11"/>
      <c r="D83" s="7">
        <v>8.36</v>
      </c>
      <c r="E83" s="2"/>
      <c r="F83" s="6">
        <f t="shared" si="64"/>
        <v>9.6339446739612681E-4</v>
      </c>
      <c r="G83" s="2"/>
      <c r="H83" s="7">
        <v>1277.57</v>
      </c>
      <c r="I83" s="2"/>
      <c r="J83" s="6">
        <f t="shared" si="65"/>
        <v>1.7919962987730819E-3</v>
      </c>
      <c r="K83" s="2"/>
      <c r="L83" s="7">
        <f t="shared" si="66"/>
        <v>-1269.21</v>
      </c>
      <c r="M83" s="2"/>
      <c r="N83" s="6">
        <f t="shared" si="67"/>
        <v>-0.99345632724625665</v>
      </c>
      <c r="O83" s="11"/>
      <c r="P83" s="7">
        <v>780.87</v>
      </c>
      <c r="Q83" s="2"/>
      <c r="R83" s="6">
        <f t="shared" si="68"/>
        <v>5.4334620603277317E-2</v>
      </c>
      <c r="S83" s="2"/>
      <c r="T83" s="7">
        <v>3832.71</v>
      </c>
      <c r="U83" s="2"/>
      <c r="V83" s="6">
        <f t="shared" si="69"/>
        <v>3.0912015641808488E-3</v>
      </c>
      <c r="W83" s="2"/>
      <c r="X83" s="7">
        <f t="shared" si="70"/>
        <v>-3051.84</v>
      </c>
      <c r="Y83" s="2"/>
      <c r="Z83" s="6">
        <f t="shared" si="71"/>
        <v>-0.79626165298183271</v>
      </c>
    </row>
    <row r="84" spans="1:26" s="24" customFormat="1" hidden="1" outlineLevel="2" x14ac:dyDescent="0.25">
      <c r="A84" s="28"/>
      <c r="B84" s="11" t="str">
        <f>CONCATENATE("          ", "6283", " - ", "PLANT SERVICE")</f>
        <v xml:space="preserve">          6283 - PLANT SERVICE</v>
      </c>
      <c r="C84" s="11"/>
      <c r="D84" s="7"/>
      <c r="E84" s="2"/>
      <c r="F84" s="6">
        <f t="shared" si="64"/>
        <v>0</v>
      </c>
      <c r="G84" s="2"/>
      <c r="H84" s="7">
        <v>199.78</v>
      </c>
      <c r="I84" s="2"/>
      <c r="J84" s="6">
        <f t="shared" si="65"/>
        <v>2.8022340894736595E-4</v>
      </c>
      <c r="K84" s="2"/>
      <c r="L84" s="7">
        <f t="shared" si="66"/>
        <v>-199.78</v>
      </c>
      <c r="M84" s="2"/>
      <c r="N84" s="6">
        <f t="shared" si="67"/>
        <v>-1</v>
      </c>
      <c r="O84" s="11"/>
      <c r="P84" s="7"/>
      <c r="Q84" s="2"/>
      <c r="R84" s="6">
        <f t="shared" si="68"/>
        <v>0</v>
      </c>
      <c r="S84" s="2"/>
      <c r="T84" s="7">
        <v>599.34</v>
      </c>
      <c r="U84" s="2"/>
      <c r="V84" s="6">
        <f t="shared" si="69"/>
        <v>4.8338662342732689E-4</v>
      </c>
      <c r="W84" s="2"/>
      <c r="X84" s="7">
        <f t="shared" si="70"/>
        <v>-599.34</v>
      </c>
      <c r="Y84" s="2"/>
      <c r="Z84" s="6">
        <f t="shared" si="71"/>
        <v>-1</v>
      </c>
    </row>
    <row r="85" spans="1:26" s="24" customFormat="1" hidden="1" outlineLevel="2" x14ac:dyDescent="0.25">
      <c r="A85" s="28"/>
      <c r="B85" s="11" t="str">
        <f>CONCATENATE("          ", "6284", " - ", "TRASH REMOVAL EXPENSE")</f>
        <v xml:space="preserve">          6284 - TRASH REMOVAL EXPENSE</v>
      </c>
      <c r="C85" s="11"/>
      <c r="D85" s="7">
        <v>761</v>
      </c>
      <c r="E85" s="2"/>
      <c r="F85" s="6">
        <f t="shared" si="64"/>
        <v>8.7696553790484758E-2</v>
      </c>
      <c r="G85" s="2"/>
      <c r="H85" s="7">
        <v>623</v>
      </c>
      <c r="I85" s="2"/>
      <c r="J85" s="6">
        <f t="shared" si="65"/>
        <v>8.7385716174896884E-4</v>
      </c>
      <c r="K85" s="2"/>
      <c r="L85" s="7">
        <f t="shared" si="66"/>
        <v>138</v>
      </c>
      <c r="M85" s="2"/>
      <c r="N85" s="6">
        <f t="shared" si="67"/>
        <v>0.22150882825040127</v>
      </c>
      <c r="O85" s="11"/>
      <c r="P85" s="7">
        <v>2761</v>
      </c>
      <c r="Q85" s="2"/>
      <c r="R85" s="6">
        <f t="shared" si="68"/>
        <v>0.19211634137007272</v>
      </c>
      <c r="S85" s="2"/>
      <c r="T85" s="7">
        <v>4822</v>
      </c>
      <c r="U85" s="2"/>
      <c r="V85" s="6">
        <f t="shared" si="69"/>
        <v>3.8890951682960758E-3</v>
      </c>
      <c r="W85" s="2"/>
      <c r="X85" s="7">
        <f t="shared" si="70"/>
        <v>-2061</v>
      </c>
      <c r="Y85" s="2"/>
      <c r="Z85" s="6">
        <f t="shared" si="71"/>
        <v>-0.42741600995437579</v>
      </c>
    </row>
    <row r="86" spans="1:26" s="24" customFormat="1" hidden="1" outlineLevel="2" x14ac:dyDescent="0.25">
      <c r="A86" s="28"/>
      <c r="B86" s="11" t="str">
        <f>CONCATENATE("          ", "6285", " - ", "JANITORIAL SERVICES")</f>
        <v xml:space="preserve">          6285 - JANITORIAL SERVICES</v>
      </c>
      <c r="C86" s="11"/>
      <c r="D86" s="7">
        <v>3256.35</v>
      </c>
      <c r="E86" s="2"/>
      <c r="F86" s="6">
        <f t="shared" si="64"/>
        <v>0.37525712606523653</v>
      </c>
      <c r="G86" s="2"/>
      <c r="H86" s="7">
        <v>13674.46</v>
      </c>
      <c r="I86" s="2"/>
      <c r="J86" s="6">
        <f t="shared" si="65"/>
        <v>1.918061766300129E-2</v>
      </c>
      <c r="K86" s="2"/>
      <c r="L86" s="7">
        <f t="shared" si="66"/>
        <v>-10418.109999999999</v>
      </c>
      <c r="M86" s="2"/>
      <c r="N86" s="6">
        <f t="shared" si="67"/>
        <v>-0.76186628210547247</v>
      </c>
      <c r="O86" s="11"/>
      <c r="P86" s="7">
        <v>6411.93</v>
      </c>
      <c r="Q86" s="2"/>
      <c r="R86" s="6">
        <f t="shared" si="68"/>
        <v>0.44615593361862022</v>
      </c>
      <c r="S86" s="2"/>
      <c r="T86" s="7">
        <v>39813.379999999997</v>
      </c>
      <c r="U86" s="2"/>
      <c r="V86" s="6">
        <f t="shared" si="69"/>
        <v>3.2110747364482703E-2</v>
      </c>
      <c r="W86" s="2"/>
      <c r="X86" s="7">
        <f t="shared" si="70"/>
        <v>-33401.449999999997</v>
      </c>
      <c r="Y86" s="2"/>
      <c r="Z86" s="6">
        <f t="shared" si="71"/>
        <v>-0.83895037296506847</v>
      </c>
    </row>
    <row r="87" spans="1:26" s="24" customFormat="1" hidden="1" outlineLevel="2" x14ac:dyDescent="0.25">
      <c r="A87" s="28"/>
      <c r="B87" s="11" t="str">
        <f>CONCATENATE("          ", "6286", " - ", "LAUNDRY EXPENSE")</f>
        <v xml:space="preserve">          6286 - LAUNDRY EXPENSE</v>
      </c>
      <c r="C87" s="11"/>
      <c r="D87" s="7">
        <v>105.97</v>
      </c>
      <c r="E87" s="2"/>
      <c r="F87" s="6">
        <f t="shared" si="64"/>
        <v>1.2211831544254493E-2</v>
      </c>
      <c r="G87" s="2"/>
      <c r="H87" s="7">
        <v>3680.95</v>
      </c>
      <c r="I87" s="2"/>
      <c r="J87" s="6">
        <f t="shared" si="65"/>
        <v>5.1631212191651146E-3</v>
      </c>
      <c r="K87" s="2"/>
      <c r="L87" s="7">
        <f t="shared" si="66"/>
        <v>-3574.98</v>
      </c>
      <c r="M87" s="2"/>
      <c r="N87" s="6">
        <f t="shared" si="67"/>
        <v>-0.97121123622977767</v>
      </c>
      <c r="O87" s="11"/>
      <c r="P87" s="7">
        <v>574.26</v>
      </c>
      <c r="Q87" s="2"/>
      <c r="R87" s="6">
        <f t="shared" si="68"/>
        <v>3.995825070451936E-2</v>
      </c>
      <c r="S87" s="2"/>
      <c r="T87" s="7">
        <v>9460.11</v>
      </c>
      <c r="U87" s="2"/>
      <c r="V87" s="6">
        <f t="shared" si="69"/>
        <v>7.6298772485585637E-3</v>
      </c>
      <c r="W87" s="2"/>
      <c r="X87" s="7">
        <f t="shared" si="70"/>
        <v>-8885.85</v>
      </c>
      <c r="Y87" s="2"/>
      <c r="Z87" s="6">
        <f t="shared" si="71"/>
        <v>-0.93929668893913498</v>
      </c>
    </row>
    <row r="88" spans="1:26" s="27" customFormat="1" outlineLevel="1" collapsed="1" x14ac:dyDescent="0.25">
      <c r="A88" s="29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SUM(OSRRefD22_17x_0)</f>
        <v>131.34</v>
      </c>
      <c r="E88" s="1"/>
      <c r="F88" s="5">
        <f t="shared" ref="F88:F99" si="72">IF(D$12=0,0,D88/D$12)</f>
        <v>1.5135434132512835E-2</v>
      </c>
      <c r="G88" s="1"/>
      <c r="H88" s="1">
        <f>SUM(OSRRefH22_17x_0)</f>
        <v>454.78</v>
      </c>
      <c r="I88" s="1"/>
      <c r="J88" s="5">
        <f t="shared" ref="J88:J99" si="73">IF(H$12=0,0,H88/H$12)</f>
        <v>6.3790170147704015E-4</v>
      </c>
      <c r="K88" s="1"/>
      <c r="L88" s="1">
        <f t="shared" ref="L88:L99" si="74">+D88-H88</f>
        <v>-323.43999999999994</v>
      </c>
      <c r="M88" s="1"/>
      <c r="N88" s="5">
        <f t="shared" ref="N88:N99" si="75">IF(H88=0,0,L88/H88)</f>
        <v>-0.71120102027353882</v>
      </c>
      <c r="O88" s="14"/>
      <c r="P88" s="1">
        <f>SUM(OSRRefP22_17x_0)</f>
        <v>140.66</v>
      </c>
      <c r="Q88" s="1"/>
      <c r="R88" s="5">
        <f t="shared" ref="R88:R99" si="76">IF(P$12=0,0,P88/P$12)</f>
        <v>9.7874265038444142E-3</v>
      </c>
      <c r="S88" s="1"/>
      <c r="T88" s="1">
        <f>SUM(OSRRefT22_17x_0)</f>
        <v>1302.98</v>
      </c>
      <c r="U88" s="1"/>
      <c r="V88" s="5">
        <f t="shared" ref="V88:V99" si="77">IF(T$12=0,0,T88/T$12)</f>
        <v>1.0508944882593159E-3</v>
      </c>
      <c r="W88" s="1"/>
      <c r="X88" s="1">
        <f t="shared" ref="X88:X99" si="78">+P88-T88</f>
        <v>-1162.32</v>
      </c>
      <c r="Y88" s="1"/>
      <c r="Z88" s="5">
        <f t="shared" ref="Z88:Z99" si="79">IF(T88=0,0,X88/T88)</f>
        <v>-0.89204746043684469</v>
      </c>
    </row>
    <row r="89" spans="1:26" s="24" customFormat="1" hidden="1" outlineLevel="2" x14ac:dyDescent="0.25">
      <c r="A89" s="28"/>
      <c r="B89" s="11" t="str">
        <f>CONCATENATE("          ", "6275", " - ", "SUBSCRIPTIONS")</f>
        <v xml:space="preserve">          6275 - SUBSCRIPTIONS</v>
      </c>
      <c r="C89" s="11"/>
      <c r="D89" s="7">
        <v>131.34</v>
      </c>
      <c r="E89" s="2"/>
      <c r="F89" s="6">
        <f t="shared" si="72"/>
        <v>1.5135434132512835E-2</v>
      </c>
      <c r="G89" s="2"/>
      <c r="H89" s="7">
        <v>454.78</v>
      </c>
      <c r="I89" s="2"/>
      <c r="J89" s="6">
        <f t="shared" si="73"/>
        <v>6.3790170147704015E-4</v>
      </c>
      <c r="K89" s="2"/>
      <c r="L89" s="7">
        <f t="shared" si="74"/>
        <v>-323.43999999999994</v>
      </c>
      <c r="M89" s="2"/>
      <c r="N89" s="6">
        <f t="shared" si="75"/>
        <v>-0.71120102027353882</v>
      </c>
      <c r="O89" s="11"/>
      <c r="P89" s="7">
        <v>140.66</v>
      </c>
      <c r="Q89" s="2"/>
      <c r="R89" s="6">
        <f t="shared" si="76"/>
        <v>9.7874265038444142E-3</v>
      </c>
      <c r="S89" s="2"/>
      <c r="T89" s="7">
        <v>1302.98</v>
      </c>
      <c r="U89" s="2"/>
      <c r="V89" s="6">
        <f t="shared" si="77"/>
        <v>1.0508944882593159E-3</v>
      </c>
      <c r="W89" s="2"/>
      <c r="X89" s="7">
        <f t="shared" si="78"/>
        <v>-1162.32</v>
      </c>
      <c r="Y89" s="2"/>
      <c r="Z89" s="6">
        <f t="shared" si="79"/>
        <v>-0.89204746043684469</v>
      </c>
    </row>
    <row r="90" spans="1:26" s="27" customFormat="1" outlineLevel="1" collapsed="1" x14ac:dyDescent="0.25">
      <c r="A90" s="29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SUM(OSRRefD22_18x_0)</f>
        <v>137.26</v>
      </c>
      <c r="E90" s="1"/>
      <c r="F90" s="5">
        <f t="shared" si="72"/>
        <v>1.5817646482630666E-2</v>
      </c>
      <c r="G90" s="1"/>
      <c r="H90" s="1">
        <f>SUM(OSRRefH22_18x_0)</f>
        <v>26168.499999999996</v>
      </c>
      <c r="I90" s="1"/>
      <c r="J90" s="5">
        <f t="shared" si="73"/>
        <v>3.6705507443383446E-2</v>
      </c>
      <c r="K90" s="1"/>
      <c r="L90" s="1">
        <f t="shared" si="74"/>
        <v>-26031.239999999998</v>
      </c>
      <c r="M90" s="1"/>
      <c r="N90" s="5">
        <f t="shared" si="75"/>
        <v>-0.9947547624051819</v>
      </c>
      <c r="O90" s="14"/>
      <c r="P90" s="1">
        <f>SUM(OSRRefP22_18x_0)</f>
        <v>-28035.440000000002</v>
      </c>
      <c r="Q90" s="1"/>
      <c r="R90" s="5">
        <f t="shared" si="76"/>
        <v>-1.9507664474828657</v>
      </c>
      <c r="S90" s="1"/>
      <c r="T90" s="1">
        <f>SUM(OSRRefT22_18x_0)</f>
        <v>61369.920000000006</v>
      </c>
      <c r="U90" s="1"/>
      <c r="V90" s="5">
        <f t="shared" si="77"/>
        <v>4.9496777136191772E-2</v>
      </c>
      <c r="W90" s="1"/>
      <c r="X90" s="1">
        <f t="shared" si="78"/>
        <v>-89405.360000000015</v>
      </c>
      <c r="Y90" s="1"/>
      <c r="Z90" s="5">
        <f t="shared" si="79"/>
        <v>-1.4568270579463034</v>
      </c>
    </row>
    <row r="91" spans="1:26" s="24" customFormat="1" hidden="1" outlineLevel="2" x14ac:dyDescent="0.25">
      <c r="A91" s="28"/>
      <c r="B91" s="11" t="str">
        <f>CONCATENATE("          ", "6234", " - ", "EXPENDABLE SUPPLIES &amp; EQUIPMEN")</f>
        <v xml:space="preserve">          6234 - EXPENDABLE SUPPLIES &amp; EQUIPMEN</v>
      </c>
      <c r="C91" s="11"/>
      <c r="D91" s="7"/>
      <c r="E91" s="2"/>
      <c r="F91" s="6">
        <f t="shared" si="72"/>
        <v>0</v>
      </c>
      <c r="G91" s="2"/>
      <c r="H91" s="7">
        <v>7670.09</v>
      </c>
      <c r="I91" s="2"/>
      <c r="J91" s="6">
        <f t="shared" si="73"/>
        <v>1.0758528214701683E-2</v>
      </c>
      <c r="K91" s="2"/>
      <c r="L91" s="7">
        <f t="shared" si="74"/>
        <v>-7670.09</v>
      </c>
      <c r="M91" s="2"/>
      <c r="N91" s="6">
        <f t="shared" si="75"/>
        <v>-1</v>
      </c>
      <c r="O91" s="11"/>
      <c r="P91" s="7">
        <v>255.78</v>
      </c>
      <c r="Q91" s="2"/>
      <c r="R91" s="6">
        <f t="shared" si="76"/>
        <v>1.7797724663396304E-2</v>
      </c>
      <c r="S91" s="2"/>
      <c r="T91" s="7">
        <v>7670.09</v>
      </c>
      <c r="U91" s="2"/>
      <c r="V91" s="6">
        <f t="shared" si="77"/>
        <v>6.1861696307333154E-3</v>
      </c>
      <c r="W91" s="2"/>
      <c r="X91" s="7">
        <f t="shared" si="78"/>
        <v>-7414.31</v>
      </c>
      <c r="Y91" s="2"/>
      <c r="Z91" s="6">
        <f t="shared" si="79"/>
        <v>-0.96665228178548102</v>
      </c>
    </row>
    <row r="92" spans="1:26" s="24" customFormat="1" hidden="1" outlineLevel="2" x14ac:dyDescent="0.25">
      <c r="A92" s="28"/>
      <c r="B92" s="11" t="str">
        <f>CONCATENATE("          ", "6235", " - ", "COVID-19 EXPENSES")</f>
        <v xml:space="preserve">          6235 - COVID-19 EXPENSES</v>
      </c>
      <c r="C92" s="11"/>
      <c r="D92" s="7">
        <v>127.89</v>
      </c>
      <c r="E92" s="2"/>
      <c r="F92" s="6">
        <f t="shared" si="72"/>
        <v>1.4737861056852951E-2</v>
      </c>
      <c r="G92" s="2"/>
      <c r="H92" s="7"/>
      <c r="I92" s="2"/>
      <c r="J92" s="6">
        <f t="shared" si="73"/>
        <v>0</v>
      </c>
      <c r="K92" s="2"/>
      <c r="L92" s="7">
        <f t="shared" si="74"/>
        <v>127.89</v>
      </c>
      <c r="M92" s="2"/>
      <c r="N92" s="6">
        <f t="shared" si="75"/>
        <v>0</v>
      </c>
      <c r="O92" s="11"/>
      <c r="P92" s="7">
        <v>949.86</v>
      </c>
      <c r="Q92" s="2"/>
      <c r="R92" s="6">
        <f t="shared" si="76"/>
        <v>6.6093309675399226E-2</v>
      </c>
      <c r="S92" s="2"/>
      <c r="T92" s="7"/>
      <c r="U92" s="2"/>
      <c r="V92" s="6">
        <f t="shared" si="77"/>
        <v>0</v>
      </c>
      <c r="W92" s="2"/>
      <c r="X92" s="7">
        <f t="shared" si="78"/>
        <v>949.86</v>
      </c>
      <c r="Y92" s="2"/>
      <c r="Z92" s="6">
        <f t="shared" si="79"/>
        <v>0</v>
      </c>
    </row>
    <row r="93" spans="1:26" s="24" customFormat="1" hidden="1" outlineLevel="2" x14ac:dyDescent="0.25">
      <c r="A93" s="28"/>
      <c r="B93" s="11" t="str">
        <f>CONCATENATE("          ", "6237", " - ", "JANITORIAL SUPPLIES")</f>
        <v xml:space="preserve">          6237 - JANITORIAL SUPPLIES</v>
      </c>
      <c r="C93" s="11"/>
      <c r="D93" s="7"/>
      <c r="E93" s="2"/>
      <c r="F93" s="6">
        <f t="shared" si="72"/>
        <v>0</v>
      </c>
      <c r="G93" s="2"/>
      <c r="H93" s="7">
        <v>4022.37</v>
      </c>
      <c r="I93" s="2"/>
      <c r="J93" s="6">
        <f t="shared" si="73"/>
        <v>5.6420173863630813E-3</v>
      </c>
      <c r="K93" s="2"/>
      <c r="L93" s="7">
        <f t="shared" si="74"/>
        <v>-4022.37</v>
      </c>
      <c r="M93" s="2"/>
      <c r="N93" s="6">
        <f t="shared" si="75"/>
        <v>-1</v>
      </c>
      <c r="O93" s="11"/>
      <c r="P93" s="7"/>
      <c r="Q93" s="2"/>
      <c r="R93" s="6">
        <f t="shared" si="76"/>
        <v>0</v>
      </c>
      <c r="S93" s="2"/>
      <c r="T93" s="7">
        <v>11362.87</v>
      </c>
      <c r="U93" s="2"/>
      <c r="V93" s="6">
        <f t="shared" si="77"/>
        <v>9.1645132341303271E-3</v>
      </c>
      <c r="W93" s="2"/>
      <c r="X93" s="7">
        <f t="shared" si="78"/>
        <v>-11362.87</v>
      </c>
      <c r="Y93" s="2"/>
      <c r="Z93" s="6">
        <f t="shared" si="79"/>
        <v>-1</v>
      </c>
    </row>
    <row r="94" spans="1:26" s="24" customFormat="1" hidden="1" outlineLevel="2" x14ac:dyDescent="0.25">
      <c r="A94" s="28"/>
      <c r="B94" s="11" t="str">
        <f>CONCATENATE("          ", "6239", " - ", "KITCHEN SUPPLIES")</f>
        <v xml:space="preserve">          6239 - KITCHEN SUPPLIES</v>
      </c>
      <c r="C94" s="11"/>
      <c r="D94" s="7"/>
      <c r="E94" s="2"/>
      <c r="F94" s="6">
        <f t="shared" si="72"/>
        <v>0</v>
      </c>
      <c r="G94" s="2"/>
      <c r="H94" s="7">
        <v>7569.78</v>
      </c>
      <c r="I94" s="2"/>
      <c r="J94" s="6">
        <f t="shared" si="73"/>
        <v>1.0617827393040303E-2</v>
      </c>
      <c r="K94" s="2"/>
      <c r="L94" s="7">
        <f t="shared" si="74"/>
        <v>-7569.78</v>
      </c>
      <c r="M94" s="2"/>
      <c r="N94" s="6">
        <f t="shared" si="75"/>
        <v>-1</v>
      </c>
      <c r="O94" s="11"/>
      <c r="P94" s="7"/>
      <c r="Q94" s="2"/>
      <c r="R94" s="6">
        <f t="shared" si="76"/>
        <v>0</v>
      </c>
      <c r="S94" s="2"/>
      <c r="T94" s="7">
        <v>17994.36</v>
      </c>
      <c r="U94" s="2"/>
      <c r="V94" s="6">
        <f t="shared" si="77"/>
        <v>1.4513019189668224E-2</v>
      </c>
      <c r="W94" s="2"/>
      <c r="X94" s="7">
        <f t="shared" si="78"/>
        <v>-17994.36</v>
      </c>
      <c r="Y94" s="2"/>
      <c r="Z94" s="6">
        <f t="shared" si="79"/>
        <v>-1</v>
      </c>
    </row>
    <row r="95" spans="1:26" s="24" customFormat="1" hidden="1" outlineLevel="2" x14ac:dyDescent="0.25">
      <c r="A95" s="28"/>
      <c r="B95" s="11" t="str">
        <f>CONCATENATE("          ", "6241", " - ", "OFFICE EXPENSE")</f>
        <v xml:space="preserve">          6241 - OFFICE EXPENSE</v>
      </c>
      <c r="C95" s="11"/>
      <c r="D95" s="7">
        <v>9.3699999999999992</v>
      </c>
      <c r="E95" s="2"/>
      <c r="F95" s="6">
        <f t="shared" si="72"/>
        <v>1.0797854257777162E-3</v>
      </c>
      <c r="G95" s="2"/>
      <c r="H95" s="7">
        <v>1837.41</v>
      </c>
      <c r="I95" s="2"/>
      <c r="J95" s="6">
        <f t="shared" si="73"/>
        <v>2.5772614567723482E-3</v>
      </c>
      <c r="K95" s="2"/>
      <c r="L95" s="7">
        <f t="shared" si="74"/>
        <v>-1828.0400000000002</v>
      </c>
      <c r="M95" s="2"/>
      <c r="N95" s="6">
        <f t="shared" si="75"/>
        <v>-0.99490043049727617</v>
      </c>
      <c r="O95" s="11"/>
      <c r="P95" s="7">
        <v>-29241.08</v>
      </c>
      <c r="Q95" s="2"/>
      <c r="R95" s="6">
        <f t="shared" si="76"/>
        <v>-2.034657481821661</v>
      </c>
      <c r="S95" s="2"/>
      <c r="T95" s="7">
        <v>8765.69</v>
      </c>
      <c r="U95" s="2"/>
      <c r="V95" s="6">
        <f t="shared" si="77"/>
        <v>7.0698056046829593E-3</v>
      </c>
      <c r="W95" s="2"/>
      <c r="X95" s="7">
        <f t="shared" si="78"/>
        <v>-38006.770000000004</v>
      </c>
      <c r="Y95" s="2"/>
      <c r="Z95" s="6">
        <f t="shared" si="79"/>
        <v>-4.3358560478410713</v>
      </c>
    </row>
    <row r="96" spans="1:26" s="24" customFormat="1" hidden="1" outlineLevel="2" x14ac:dyDescent="0.25">
      <c r="A96" s="28"/>
      <c r="B96" s="11" t="str">
        <f>CONCATENATE("          ", "6243", " - ", "PAPER SUPPLIES")</f>
        <v xml:space="preserve">          6243 - PAPER SUPPLIES</v>
      </c>
      <c r="C96" s="11"/>
      <c r="D96" s="7"/>
      <c r="E96" s="2"/>
      <c r="F96" s="6">
        <f t="shared" si="72"/>
        <v>0</v>
      </c>
      <c r="G96" s="2"/>
      <c r="H96" s="7">
        <v>3788.95</v>
      </c>
      <c r="I96" s="2"/>
      <c r="J96" s="6">
        <f t="shared" si="73"/>
        <v>5.3146084960012125E-3</v>
      </c>
      <c r="K96" s="2"/>
      <c r="L96" s="7">
        <f t="shared" si="74"/>
        <v>-3788.95</v>
      </c>
      <c r="M96" s="2"/>
      <c r="N96" s="6">
        <f t="shared" si="75"/>
        <v>-1</v>
      </c>
      <c r="O96" s="11"/>
      <c r="P96" s="7"/>
      <c r="Q96" s="2"/>
      <c r="R96" s="6">
        <f t="shared" si="76"/>
        <v>0</v>
      </c>
      <c r="S96" s="2"/>
      <c r="T96" s="7">
        <v>10340.74</v>
      </c>
      <c r="U96" s="2"/>
      <c r="V96" s="6">
        <f t="shared" si="77"/>
        <v>8.3401331336802071E-3</v>
      </c>
      <c r="W96" s="2"/>
      <c r="X96" s="7">
        <f t="shared" si="78"/>
        <v>-10340.74</v>
      </c>
      <c r="Y96" s="2"/>
      <c r="Z96" s="6">
        <f t="shared" si="79"/>
        <v>-1</v>
      </c>
    </row>
    <row r="97" spans="1:26" s="24" customFormat="1" hidden="1" outlineLevel="2" x14ac:dyDescent="0.25">
      <c r="A97" s="28"/>
      <c r="B97" s="11" t="str">
        <f>CONCATENATE("          ", "6245", " - ", "PRINTING")</f>
        <v xml:space="preserve">          6245 - PRINTING</v>
      </c>
      <c r="C97" s="11"/>
      <c r="D97" s="7"/>
      <c r="E97" s="2"/>
      <c r="F97" s="6">
        <f t="shared" si="72"/>
        <v>0</v>
      </c>
      <c r="G97" s="2"/>
      <c r="H97" s="7">
        <v>28.27</v>
      </c>
      <c r="I97" s="2"/>
      <c r="J97" s="6">
        <f t="shared" si="73"/>
        <v>3.965319737181918E-5</v>
      </c>
      <c r="K97" s="2"/>
      <c r="L97" s="7">
        <f t="shared" si="74"/>
        <v>-28.27</v>
      </c>
      <c r="M97" s="2"/>
      <c r="N97" s="6">
        <f t="shared" si="75"/>
        <v>-1</v>
      </c>
      <c r="O97" s="11"/>
      <c r="P97" s="7"/>
      <c r="Q97" s="2"/>
      <c r="R97" s="6">
        <f t="shared" si="76"/>
        <v>0</v>
      </c>
      <c r="S97" s="2"/>
      <c r="T97" s="7">
        <v>199.19</v>
      </c>
      <c r="U97" s="2"/>
      <c r="V97" s="6">
        <f t="shared" si="77"/>
        <v>1.6065302085709152E-4</v>
      </c>
      <c r="W97" s="2"/>
      <c r="X97" s="7">
        <f t="shared" si="78"/>
        <v>-199.19</v>
      </c>
      <c r="Y97" s="2"/>
      <c r="Z97" s="6">
        <f t="shared" si="79"/>
        <v>-1</v>
      </c>
    </row>
    <row r="98" spans="1:26" s="24" customFormat="1" hidden="1" outlineLevel="2" x14ac:dyDescent="0.25">
      <c r="A98" s="28"/>
      <c r="B98" s="11" t="str">
        <f>CONCATENATE("          ", "6247", " - ", "STORE SUPPLIES")</f>
        <v xml:space="preserve">          6247 - STORE SUPPLIES</v>
      </c>
      <c r="C98" s="11"/>
      <c r="D98" s="7"/>
      <c r="E98" s="2"/>
      <c r="F98" s="6">
        <f t="shared" si="72"/>
        <v>0</v>
      </c>
      <c r="G98" s="2"/>
      <c r="H98" s="7">
        <v>582.28</v>
      </c>
      <c r="I98" s="2"/>
      <c r="J98" s="6">
        <f t="shared" si="73"/>
        <v>8.1674084774187728E-4</v>
      </c>
      <c r="K98" s="2"/>
      <c r="L98" s="7">
        <f t="shared" si="74"/>
        <v>-582.28</v>
      </c>
      <c r="M98" s="2"/>
      <c r="N98" s="6">
        <f t="shared" si="75"/>
        <v>-1</v>
      </c>
      <c r="O98" s="11"/>
      <c r="P98" s="7"/>
      <c r="Q98" s="2"/>
      <c r="R98" s="6">
        <f t="shared" si="76"/>
        <v>0</v>
      </c>
      <c r="S98" s="2"/>
      <c r="T98" s="7">
        <v>1693.15</v>
      </c>
      <c r="U98" s="2"/>
      <c r="V98" s="6">
        <f t="shared" si="77"/>
        <v>1.3655789058897763E-3</v>
      </c>
      <c r="W98" s="2"/>
      <c r="X98" s="7">
        <f t="shared" si="78"/>
        <v>-1693.15</v>
      </c>
      <c r="Y98" s="2"/>
      <c r="Z98" s="6">
        <f t="shared" si="79"/>
        <v>-1</v>
      </c>
    </row>
    <row r="99" spans="1:26" s="24" customFormat="1" hidden="1" outlineLevel="2" x14ac:dyDescent="0.25">
      <c r="A99" s="28"/>
      <c r="B99" s="11" t="str">
        <f>CONCATENATE("          ", "6248", " - ", "UNIFORMS")</f>
        <v xml:space="preserve">          6248 - UNIFORMS</v>
      </c>
      <c r="C99" s="11"/>
      <c r="D99" s="7"/>
      <c r="E99" s="2"/>
      <c r="F99" s="6">
        <f t="shared" si="72"/>
        <v>0</v>
      </c>
      <c r="G99" s="2"/>
      <c r="H99" s="7">
        <v>669.35</v>
      </c>
      <c r="I99" s="2"/>
      <c r="J99" s="6">
        <f t="shared" si="73"/>
        <v>9.3887045139112724E-4</v>
      </c>
      <c r="K99" s="2"/>
      <c r="L99" s="7">
        <f t="shared" si="74"/>
        <v>-669.35</v>
      </c>
      <c r="M99" s="2"/>
      <c r="N99" s="6">
        <f t="shared" si="75"/>
        <v>-1</v>
      </c>
      <c r="O99" s="11"/>
      <c r="P99" s="7"/>
      <c r="Q99" s="2"/>
      <c r="R99" s="6">
        <f t="shared" si="76"/>
        <v>0</v>
      </c>
      <c r="S99" s="2"/>
      <c r="T99" s="7">
        <v>3343.83</v>
      </c>
      <c r="U99" s="2"/>
      <c r="V99" s="6">
        <f t="shared" si="77"/>
        <v>2.6969044165498688E-3</v>
      </c>
      <c r="W99" s="2"/>
      <c r="X99" s="7">
        <f t="shared" si="78"/>
        <v>-3343.83</v>
      </c>
      <c r="Y99" s="2"/>
      <c r="Z99" s="6">
        <f t="shared" si="79"/>
        <v>-1</v>
      </c>
    </row>
    <row r="100" spans="1:26" s="27" customFormat="1" outlineLevel="1" collapsed="1" x14ac:dyDescent="0.25">
      <c r="A100" s="29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SUM(OSRRefD22_19x_0)</f>
        <v>638.63</v>
      </c>
      <c r="E100" s="1"/>
      <c r="F100" s="5">
        <f t="shared" ref="F100:F107" si="80">IF(D$12=0,0,D100/D$12)</f>
        <v>7.3594809654687621E-2</v>
      </c>
      <c r="G100" s="1"/>
      <c r="H100" s="1">
        <f>SUM(OSRRefH22_19x_0)</f>
        <v>2436.21</v>
      </c>
      <c r="I100" s="1"/>
      <c r="J100" s="5">
        <f t="shared" ref="J100:J107" si="81">IF(H$12=0,0,H100/H$12)</f>
        <v>3.4171742472302656E-3</v>
      </c>
      <c r="K100" s="1"/>
      <c r="L100" s="1">
        <f t="shared" ref="L100:L107" si="82">+D100-H100</f>
        <v>-1797.58</v>
      </c>
      <c r="M100" s="1"/>
      <c r="N100" s="5">
        <f t="shared" ref="N100:N107" si="83">IF(H100=0,0,L100/H100)</f>
        <v>-0.73785921574905278</v>
      </c>
      <c r="O100" s="14"/>
      <c r="P100" s="1">
        <f>SUM(OSRRefP22_19x_0)</f>
        <v>3071.41</v>
      </c>
      <c r="Q100" s="1"/>
      <c r="R100" s="5">
        <f t="shared" ref="R100:R107" si="84">IF(P$12=0,0,P100/P$12)</f>
        <v>0.21371533938698117</v>
      </c>
      <c r="S100" s="1"/>
      <c r="T100" s="1">
        <f>SUM(OSRRefT22_19x_0)</f>
        <v>4733.8900000000003</v>
      </c>
      <c r="U100" s="1"/>
      <c r="V100" s="5">
        <f t="shared" ref="V100:V107" si="85">IF(T$12=0,0,T100/T$12)</f>
        <v>3.8180316728007283E-3</v>
      </c>
      <c r="W100" s="1"/>
      <c r="X100" s="1">
        <f t="shared" ref="X100:X107" si="86">+P100-T100</f>
        <v>-1662.4800000000005</v>
      </c>
      <c r="Y100" s="1"/>
      <c r="Z100" s="5">
        <f t="shared" ref="Z100:Z107" si="87">IF(T100=0,0,X100/T100)</f>
        <v>-0.35118686745995376</v>
      </c>
    </row>
    <row r="101" spans="1:26" s="24" customFormat="1" hidden="1" outlineLevel="2" x14ac:dyDescent="0.25">
      <c r="A101" s="28"/>
      <c r="B101" s="11" t="str">
        <f>CONCATENATE("          ", "6309", " - ", "TELEPHONE")</f>
        <v xml:space="preserve">          6309 - TELEPHONE</v>
      </c>
      <c r="C101" s="11"/>
      <c r="D101" s="7">
        <v>638.63</v>
      </c>
      <c r="E101" s="2"/>
      <c r="F101" s="6">
        <f t="shared" si="80"/>
        <v>7.3594809654687621E-2</v>
      </c>
      <c r="G101" s="2"/>
      <c r="H101" s="7">
        <v>2436.21</v>
      </c>
      <c r="I101" s="2"/>
      <c r="J101" s="6">
        <f t="shared" si="81"/>
        <v>3.4171742472302656E-3</v>
      </c>
      <c r="K101" s="2"/>
      <c r="L101" s="7">
        <f t="shared" si="82"/>
        <v>-1797.58</v>
      </c>
      <c r="M101" s="2"/>
      <c r="N101" s="6">
        <f t="shared" si="83"/>
        <v>-0.73785921574905278</v>
      </c>
      <c r="O101" s="11"/>
      <c r="P101" s="7">
        <v>3071.41</v>
      </c>
      <c r="Q101" s="2"/>
      <c r="R101" s="6">
        <f t="shared" si="84"/>
        <v>0.21371533938698117</v>
      </c>
      <c r="S101" s="2"/>
      <c r="T101" s="7">
        <v>4733.8900000000003</v>
      </c>
      <c r="U101" s="2"/>
      <c r="V101" s="6">
        <f t="shared" si="85"/>
        <v>3.8180316728007283E-3</v>
      </c>
      <c r="W101" s="2"/>
      <c r="X101" s="7">
        <f t="shared" si="86"/>
        <v>-1662.4800000000005</v>
      </c>
      <c r="Y101" s="2"/>
      <c r="Z101" s="6">
        <f t="shared" si="87"/>
        <v>-0.35118686745995376</v>
      </c>
    </row>
    <row r="102" spans="1:26" s="27" customFormat="1" outlineLevel="1" collapsed="1" x14ac:dyDescent="0.25">
      <c r="A102" s="29"/>
      <c r="B102" s="14" t="str">
        <f>CONCATENATE("     ","Training                                          ")</f>
        <v xml:space="preserve">     Training                                          </v>
      </c>
      <c r="C102" s="14"/>
      <c r="D102" s="1">
        <f>SUM(OSRRefD22_20x_0)</f>
        <v>0</v>
      </c>
      <c r="E102" s="1"/>
      <c r="F102" s="5">
        <f t="shared" si="80"/>
        <v>0</v>
      </c>
      <c r="G102" s="1"/>
      <c r="H102" s="1">
        <f>SUM(OSRRefH22_20x_0)</f>
        <v>334.7</v>
      </c>
      <c r="I102" s="1"/>
      <c r="J102" s="5">
        <f t="shared" si="81"/>
        <v>4.6947029219483125E-4</v>
      </c>
      <c r="K102" s="1"/>
      <c r="L102" s="1">
        <f t="shared" si="82"/>
        <v>-334.7</v>
      </c>
      <c r="M102" s="1"/>
      <c r="N102" s="5">
        <f t="shared" si="83"/>
        <v>-1</v>
      </c>
      <c r="O102" s="14"/>
      <c r="P102" s="1">
        <f>SUM(OSRRefP22_20x_0)</f>
        <v>0</v>
      </c>
      <c r="Q102" s="1"/>
      <c r="R102" s="5">
        <f t="shared" si="84"/>
        <v>0</v>
      </c>
      <c r="S102" s="1"/>
      <c r="T102" s="1">
        <f>SUM(OSRRefT22_20x_0)</f>
        <v>1378.55</v>
      </c>
      <c r="U102" s="1"/>
      <c r="V102" s="5">
        <f t="shared" si="85"/>
        <v>1.1118440780287339E-3</v>
      </c>
      <c r="W102" s="1"/>
      <c r="X102" s="1">
        <f t="shared" si="86"/>
        <v>-1378.55</v>
      </c>
      <c r="Y102" s="1"/>
      <c r="Z102" s="5">
        <f t="shared" si="87"/>
        <v>-1</v>
      </c>
    </row>
    <row r="103" spans="1:26" s="24" customFormat="1" hidden="1" outlineLevel="2" x14ac:dyDescent="0.25">
      <c r="A103" s="28"/>
      <c r="B103" s="11" t="str">
        <f>CONCATENATE("          ", "6376", " - ", "TRAINING")</f>
        <v xml:space="preserve">          6376 - TRAINING</v>
      </c>
      <c r="C103" s="11"/>
      <c r="D103" s="7"/>
      <c r="E103" s="2"/>
      <c r="F103" s="6">
        <f t="shared" si="80"/>
        <v>0</v>
      </c>
      <c r="G103" s="2"/>
      <c r="H103" s="7">
        <v>334.7</v>
      </c>
      <c r="I103" s="2"/>
      <c r="J103" s="6">
        <f t="shared" si="81"/>
        <v>4.6947029219483125E-4</v>
      </c>
      <c r="K103" s="2"/>
      <c r="L103" s="7">
        <f t="shared" si="82"/>
        <v>-334.7</v>
      </c>
      <c r="M103" s="2"/>
      <c r="N103" s="6">
        <f t="shared" si="83"/>
        <v>-1</v>
      </c>
      <c r="O103" s="11"/>
      <c r="P103" s="7"/>
      <c r="Q103" s="2"/>
      <c r="R103" s="6">
        <f t="shared" si="84"/>
        <v>0</v>
      </c>
      <c r="S103" s="2"/>
      <c r="T103" s="7">
        <v>1378.55</v>
      </c>
      <c r="U103" s="2"/>
      <c r="V103" s="6">
        <f t="shared" si="85"/>
        <v>1.1118440780287339E-3</v>
      </c>
      <c r="W103" s="2"/>
      <c r="X103" s="7">
        <f t="shared" si="86"/>
        <v>-1378.55</v>
      </c>
      <c r="Y103" s="2"/>
      <c r="Z103" s="6">
        <f t="shared" si="87"/>
        <v>-1</v>
      </c>
    </row>
    <row r="104" spans="1:26" s="27" customFormat="1" outlineLevel="1" collapsed="1" x14ac:dyDescent="0.25">
      <c r="A104" s="29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SUM(OSRRefD22_21x_0)</f>
        <v>152.52000000000001</v>
      </c>
      <c r="E104" s="1"/>
      <c r="F104" s="5">
        <f t="shared" si="80"/>
        <v>1.7576187101346563E-2</v>
      </c>
      <c r="G104" s="1"/>
      <c r="H104" s="1">
        <f>SUM(OSRRefH22_21x_0)</f>
        <v>249.82</v>
      </c>
      <c r="I104" s="1"/>
      <c r="J104" s="5">
        <f t="shared" si="81"/>
        <v>3.5041251388142437E-4</v>
      </c>
      <c r="K104" s="1"/>
      <c r="L104" s="1">
        <f t="shared" si="82"/>
        <v>-97.299999999999983</v>
      </c>
      <c r="M104" s="1"/>
      <c r="N104" s="5">
        <f t="shared" si="83"/>
        <v>-0.38948042590665272</v>
      </c>
      <c r="O104" s="14"/>
      <c r="P104" s="1">
        <f>SUM(OSRRefP22_21x_0)</f>
        <v>332.21</v>
      </c>
      <c r="Q104" s="1"/>
      <c r="R104" s="5">
        <f t="shared" si="84"/>
        <v>2.3115889086038337E-2</v>
      </c>
      <c r="S104" s="1"/>
      <c r="T104" s="1">
        <f>SUM(OSRRefT22_21x_0)</f>
        <v>1101.18</v>
      </c>
      <c r="U104" s="1"/>
      <c r="V104" s="5">
        <f t="shared" si="85"/>
        <v>8.8813642003821502E-4</v>
      </c>
      <c r="W104" s="1"/>
      <c r="X104" s="1">
        <f t="shared" si="86"/>
        <v>-768.97</v>
      </c>
      <c r="Y104" s="1"/>
      <c r="Z104" s="5">
        <f t="shared" si="87"/>
        <v>-0.69831453531666032</v>
      </c>
    </row>
    <row r="105" spans="1:26" s="24" customFormat="1" hidden="1" outlineLevel="2" x14ac:dyDescent="0.25">
      <c r="A105" s="28"/>
      <c r="B105" s="11" t="str">
        <f>CONCATENATE("          ", "6292", " - ", "TRAVEL/CONFERENCE")</f>
        <v xml:space="preserve">          6292 - TRAVEL/CONFERENCE</v>
      </c>
      <c r="C105" s="11"/>
      <c r="D105" s="7"/>
      <c r="E105" s="2"/>
      <c r="F105" s="6">
        <f t="shared" si="80"/>
        <v>0</v>
      </c>
      <c r="G105" s="2"/>
      <c r="H105" s="7"/>
      <c r="I105" s="2"/>
      <c r="J105" s="6">
        <f t="shared" si="81"/>
        <v>0</v>
      </c>
      <c r="K105" s="2"/>
      <c r="L105" s="7">
        <f t="shared" si="82"/>
        <v>0</v>
      </c>
      <c r="M105" s="2"/>
      <c r="N105" s="6">
        <f t="shared" si="83"/>
        <v>0</v>
      </c>
      <c r="O105" s="11"/>
      <c r="P105" s="7"/>
      <c r="Q105" s="2"/>
      <c r="R105" s="6">
        <f t="shared" si="84"/>
        <v>0</v>
      </c>
      <c r="S105" s="2"/>
      <c r="T105" s="7">
        <v>545.69000000000005</v>
      </c>
      <c r="U105" s="2"/>
      <c r="V105" s="6">
        <f t="shared" si="85"/>
        <v>4.401162053893583E-4</v>
      </c>
      <c r="W105" s="2"/>
      <c r="X105" s="7">
        <f t="shared" si="86"/>
        <v>-545.69000000000005</v>
      </c>
      <c r="Y105" s="2"/>
      <c r="Z105" s="6">
        <f t="shared" si="87"/>
        <v>-1</v>
      </c>
    </row>
    <row r="106" spans="1:26" s="24" customFormat="1" hidden="1" outlineLevel="2" x14ac:dyDescent="0.25">
      <c r="A106" s="28"/>
      <c r="B106" s="11" t="str">
        <f>CONCATENATE("          ", "6294", " - ", "TRAVEL OPERATIONAL")</f>
        <v xml:space="preserve">          6294 - TRAVEL OPERATIONAL</v>
      </c>
      <c r="C106" s="11"/>
      <c r="D106" s="7"/>
      <c r="E106" s="2"/>
      <c r="F106" s="6">
        <f t="shared" si="80"/>
        <v>0</v>
      </c>
      <c r="G106" s="2"/>
      <c r="H106" s="7"/>
      <c r="I106" s="2"/>
      <c r="J106" s="6">
        <f t="shared" si="81"/>
        <v>0</v>
      </c>
      <c r="K106" s="2"/>
      <c r="L106" s="7">
        <f t="shared" si="82"/>
        <v>0</v>
      </c>
      <c r="M106" s="2"/>
      <c r="N106" s="6">
        <f t="shared" si="83"/>
        <v>0</v>
      </c>
      <c r="O106" s="11"/>
      <c r="P106" s="7"/>
      <c r="Q106" s="2"/>
      <c r="R106" s="6">
        <f t="shared" si="84"/>
        <v>0</v>
      </c>
      <c r="S106" s="2"/>
      <c r="T106" s="7">
        <v>45.49</v>
      </c>
      <c r="U106" s="2"/>
      <c r="V106" s="6">
        <f t="shared" si="85"/>
        <v>3.6689120532100475E-5</v>
      </c>
      <c r="W106" s="2"/>
      <c r="X106" s="7">
        <f t="shared" si="86"/>
        <v>-45.49</v>
      </c>
      <c r="Y106" s="2"/>
      <c r="Z106" s="6">
        <f t="shared" si="87"/>
        <v>-1</v>
      </c>
    </row>
    <row r="107" spans="1:26" s="24" customFormat="1" hidden="1" outlineLevel="2" x14ac:dyDescent="0.25">
      <c r="A107" s="28"/>
      <c r="B107" s="11" t="str">
        <f>CONCATENATE("          ", "6298", " - ", "VEHICLE MILEAGE")</f>
        <v xml:space="preserve">          6298 - VEHICLE MILEAGE</v>
      </c>
      <c r="C107" s="11"/>
      <c r="D107" s="7">
        <v>152.52000000000001</v>
      </c>
      <c r="E107" s="2"/>
      <c r="F107" s="6">
        <f t="shared" si="80"/>
        <v>1.7576187101346563E-2</v>
      </c>
      <c r="G107" s="2"/>
      <c r="H107" s="7">
        <v>249.82</v>
      </c>
      <c r="I107" s="2"/>
      <c r="J107" s="6">
        <f t="shared" si="81"/>
        <v>3.5041251388142437E-4</v>
      </c>
      <c r="K107" s="2"/>
      <c r="L107" s="7">
        <f t="shared" si="82"/>
        <v>-97.299999999999983</v>
      </c>
      <c r="M107" s="2"/>
      <c r="N107" s="6">
        <f t="shared" si="83"/>
        <v>-0.38948042590665272</v>
      </c>
      <c r="O107" s="11"/>
      <c r="P107" s="7">
        <v>332.21</v>
      </c>
      <c r="Q107" s="2"/>
      <c r="R107" s="6">
        <f t="shared" si="84"/>
        <v>2.3115889086038337E-2</v>
      </c>
      <c r="S107" s="2"/>
      <c r="T107" s="7">
        <v>510</v>
      </c>
      <c r="U107" s="2"/>
      <c r="V107" s="6">
        <f t="shared" si="85"/>
        <v>4.1133109411675624E-4</v>
      </c>
      <c r="W107" s="2"/>
      <c r="X107" s="7">
        <f t="shared" si="86"/>
        <v>-177.79000000000002</v>
      </c>
      <c r="Y107" s="2"/>
      <c r="Z107" s="6">
        <f t="shared" si="87"/>
        <v>-0.34860784313725496</v>
      </c>
    </row>
    <row r="108" spans="1:26" s="27" customFormat="1" outlineLevel="1" collapsed="1" x14ac:dyDescent="0.25">
      <c r="A108" s="29"/>
      <c r="B108" s="14" t="str">
        <f>CONCATENATE("     ","Utilities                                         ")</f>
        <v xml:space="preserve">     Utilities                                         </v>
      </c>
      <c r="C108" s="14"/>
      <c r="D108" s="1">
        <f>SUM(OSRRefD22_22x_0)</f>
        <v>2300</v>
      </c>
      <c r="E108" s="1"/>
      <c r="F108" s="5">
        <f t="shared" ref="F108:F109" si="88">IF(D$12=0,0,D108/D$12)</f>
        <v>0.26504871710658995</v>
      </c>
      <c r="G108" s="1"/>
      <c r="H108" s="1">
        <f>SUM(OSRRefH22_22x_0)</f>
        <v>17267</v>
      </c>
      <c r="I108" s="1"/>
      <c r="J108" s="5">
        <f t="shared" ref="J108:J109" si="89">IF(H$12=0,0,H108/H$12)</f>
        <v>2.4219729714156413E-2</v>
      </c>
      <c r="K108" s="1"/>
      <c r="L108" s="1">
        <f t="shared" ref="L108:L109" si="90">+D108-H108</f>
        <v>-14967</v>
      </c>
      <c r="M108" s="1"/>
      <c r="N108" s="5">
        <f t="shared" ref="N108:N109" si="91">IF(H108=0,0,L108/H108)</f>
        <v>-0.86679793826374008</v>
      </c>
      <c r="O108" s="14"/>
      <c r="P108" s="1">
        <f>SUM(OSRRefP22_22x_0)</f>
        <v>6900</v>
      </c>
      <c r="Q108" s="1"/>
      <c r="R108" s="5">
        <f t="shared" ref="R108:R109" si="92">IF(P$12=0,0,P108/P$12)</f>
        <v>0.48011689802734581</v>
      </c>
      <c r="S108" s="1"/>
      <c r="T108" s="1">
        <f>SUM(OSRRefT22_22x_0)</f>
        <v>30958</v>
      </c>
      <c r="U108" s="1"/>
      <c r="V108" s="5">
        <f t="shared" ref="V108:V109" si="93">IF(T$12=0,0,T108/T$12)</f>
        <v>2.4968603944444195E-2</v>
      </c>
      <c r="W108" s="1"/>
      <c r="X108" s="1">
        <f t="shared" ref="X108:X109" si="94">+P108-T108</f>
        <v>-24058</v>
      </c>
      <c r="Y108" s="1"/>
      <c r="Z108" s="5">
        <f t="shared" ref="Z108:Z109" si="95">IF(T108=0,0,X108/T108)</f>
        <v>-0.77711738484398218</v>
      </c>
    </row>
    <row r="109" spans="1:26" s="24" customFormat="1" hidden="1" outlineLevel="2" x14ac:dyDescent="0.25">
      <c r="A109" s="28"/>
      <c r="B109" s="11" t="str">
        <f>CONCATENATE("          ", "6274", " - ", "UTILITIES")</f>
        <v xml:space="preserve">          6274 - UTILITIES</v>
      </c>
      <c r="C109" s="11"/>
      <c r="D109" s="7">
        <v>2300</v>
      </c>
      <c r="E109" s="2"/>
      <c r="F109" s="6">
        <f t="shared" si="88"/>
        <v>0.26504871710658995</v>
      </c>
      <c r="G109" s="2"/>
      <c r="H109" s="7">
        <v>17267</v>
      </c>
      <c r="I109" s="2"/>
      <c r="J109" s="6">
        <f t="shared" si="89"/>
        <v>2.4219729714156413E-2</v>
      </c>
      <c r="K109" s="2"/>
      <c r="L109" s="7">
        <f t="shared" si="90"/>
        <v>-14967</v>
      </c>
      <c r="M109" s="2"/>
      <c r="N109" s="6">
        <f t="shared" si="91"/>
        <v>-0.86679793826374008</v>
      </c>
      <c r="O109" s="11"/>
      <c r="P109" s="7">
        <v>6900</v>
      </c>
      <c r="Q109" s="2"/>
      <c r="R109" s="6">
        <f t="shared" si="92"/>
        <v>0.48011689802734581</v>
      </c>
      <c r="S109" s="2"/>
      <c r="T109" s="7">
        <v>30958</v>
      </c>
      <c r="U109" s="2"/>
      <c r="V109" s="6">
        <f t="shared" si="93"/>
        <v>2.4968603944444195E-2</v>
      </c>
      <c r="W109" s="2"/>
      <c r="X109" s="7">
        <f t="shared" si="94"/>
        <v>-24058</v>
      </c>
      <c r="Y109" s="2"/>
      <c r="Z109" s="6">
        <f t="shared" si="95"/>
        <v>-0.77711738484398218</v>
      </c>
    </row>
    <row r="110" spans="1:26" s="60" customFormat="1" x14ac:dyDescent="0.25">
      <c r="A110" s="37"/>
      <c r="B110" s="37"/>
      <c r="C110" s="37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7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6" t="s">
        <v>0</v>
      </c>
      <c r="C111" s="10"/>
      <c r="D111" s="4">
        <f>SUM(OSRRefD25x_0)</f>
        <v>805.53</v>
      </c>
      <c r="E111" s="4"/>
      <c r="F111" s="12">
        <f t="shared" ref="F111:F114" si="96">IF(D$12=0,0,D111/D$12)</f>
        <v>9.2828127430813645E-2</v>
      </c>
      <c r="G111" s="4"/>
      <c r="H111" s="4">
        <f>SUM(OSRRefH25x_0)</f>
        <v>237266.33000000002</v>
      </c>
      <c r="I111" s="4"/>
      <c r="J111" s="12">
        <f t="shared" ref="J111:J114" si="97">IF(H$12=0,0,H111/H$12)</f>
        <v>0.33280398348698914</v>
      </c>
      <c r="K111" s="4"/>
      <c r="L111" s="4">
        <f t="shared" ref="L111:L114" si="98">+D111-H111</f>
        <v>-236460.80000000002</v>
      </c>
      <c r="M111" s="4"/>
      <c r="N111" s="12">
        <f t="shared" ref="N111:N114" si="99">IF(H111=0,0,L111/H111)</f>
        <v>-0.99660495444085972</v>
      </c>
      <c r="O111" s="10"/>
      <c r="P111" s="4">
        <f>SUM(OSRRefP25x_0)</f>
        <v>3619.9199999999996</v>
      </c>
      <c r="Q111" s="4"/>
      <c r="R111" s="12">
        <f t="shared" ref="R111:R114" si="100">IF(P$12=0,0,P111/P$12)</f>
        <v>0.25188184949378978</v>
      </c>
      <c r="S111" s="4"/>
      <c r="T111" s="4">
        <f>SUM(OSRRefT25x_0)</f>
        <v>302660.99</v>
      </c>
      <c r="U111" s="4"/>
      <c r="V111" s="12">
        <f t="shared" ref="V111:V114" si="101">IF(T$12=0,0,T111/T$12)</f>
        <v>0.24410563953560907</v>
      </c>
      <c r="W111" s="4"/>
      <c r="X111" s="4">
        <f t="shared" ref="X111:X114" si="102">+P111-T111</f>
        <v>-299041.07</v>
      </c>
      <c r="Y111" s="4"/>
      <c r="Z111" s="12">
        <f t="shared" ref="Z111:Z114" si="103">IF(T111=0,0,X111/T111)</f>
        <v>-0.98803968757255445</v>
      </c>
    </row>
    <row r="112" spans="1:26" s="24" customFormat="1" hidden="1" outlineLevel="1" x14ac:dyDescent="0.25">
      <c r="A112" s="44"/>
      <c r="B112" s="11" t="str">
        <f>CONCATENATE("          ", "9150", " - ", "MISC. INCOME")</f>
        <v xml:space="preserve">          9150 - MISC. INCOME</v>
      </c>
      <c r="C112" s="11"/>
      <c r="D112" s="2">
        <f>--180.85</f>
        <v>180.85</v>
      </c>
      <c r="E112" s="2"/>
      <c r="F112" s="19">
        <f t="shared" si="96"/>
        <v>2.0840895864663821E-2</v>
      </c>
      <c r="G112" s="2"/>
      <c r="H112" s="2">
        <f>--18738.99</f>
        <v>18738.990000000002</v>
      </c>
      <c r="I112" s="2"/>
      <c r="J112" s="19">
        <f t="shared" si="97"/>
        <v>2.6284431164433887E-2</v>
      </c>
      <c r="K112" s="2"/>
      <c r="L112" s="2">
        <f t="shared" si="98"/>
        <v>-18558.140000000003</v>
      </c>
      <c r="M112" s="2"/>
      <c r="N112" s="19">
        <f t="shared" si="99"/>
        <v>-0.99034899959923139</v>
      </c>
      <c r="O112" s="11"/>
      <c r="P112" s="2">
        <f>--804.68</f>
        <v>804.68</v>
      </c>
      <c r="Q112" s="2"/>
      <c r="R112" s="19">
        <f t="shared" si="100"/>
        <v>5.5991371812267328E-2</v>
      </c>
      <c r="S112" s="2"/>
      <c r="T112" s="2">
        <f>--66526.94</f>
        <v>66526.94</v>
      </c>
      <c r="U112" s="2"/>
      <c r="V112" s="19">
        <f t="shared" si="101"/>
        <v>5.3656076506744699E-2</v>
      </c>
      <c r="W112" s="2"/>
      <c r="X112" s="2">
        <f t="shared" si="102"/>
        <v>-65722.260000000009</v>
      </c>
      <c r="Y112" s="2"/>
      <c r="Z112" s="19">
        <f t="shared" si="103"/>
        <v>-0.98790444893452201</v>
      </c>
    </row>
    <row r="113" spans="1:26" s="24" customFormat="1" hidden="1" outlineLevel="1" x14ac:dyDescent="0.25">
      <c r="A113" s="44"/>
      <c r="B113" s="11" t="str">
        <f>CONCATENATE("          ", "9160", " - ", "MISC. INCOME")</f>
        <v xml:space="preserve">          9160 - MISC. INCOME</v>
      </c>
      <c r="C113" s="11"/>
      <c r="D113" s="2">
        <f>0</f>
        <v>0</v>
      </c>
      <c r="E113" s="2"/>
      <c r="F113" s="19">
        <f t="shared" si="96"/>
        <v>0</v>
      </c>
      <c r="G113" s="2"/>
      <c r="H113" s="2">
        <f>--20000</f>
        <v>20000</v>
      </c>
      <c r="I113" s="2"/>
      <c r="J113" s="19">
        <f t="shared" si="97"/>
        <v>2.8053199414092098E-2</v>
      </c>
      <c r="K113" s="2"/>
      <c r="L113" s="2">
        <f t="shared" si="98"/>
        <v>-20000</v>
      </c>
      <c r="M113" s="2"/>
      <c r="N113" s="19">
        <f t="shared" si="99"/>
        <v>-1</v>
      </c>
      <c r="O113" s="11"/>
      <c r="P113" s="2">
        <f>--1990.06</f>
        <v>1990.06</v>
      </c>
      <c r="Q113" s="2"/>
      <c r="R113" s="19">
        <f t="shared" si="100"/>
        <v>0.13847267160699997</v>
      </c>
      <c r="S113" s="2"/>
      <c r="T113" s="2">
        <f>--30973.27</f>
        <v>30973.27</v>
      </c>
      <c r="U113" s="2"/>
      <c r="V113" s="19">
        <f t="shared" si="101"/>
        <v>2.4980919681320986E-2</v>
      </c>
      <c r="W113" s="2"/>
      <c r="X113" s="2">
        <f t="shared" si="102"/>
        <v>-28983.21</v>
      </c>
      <c r="Y113" s="2"/>
      <c r="Z113" s="19">
        <f t="shared" si="103"/>
        <v>-0.93574911528553484</v>
      </c>
    </row>
    <row r="114" spans="1:26" s="24" customFormat="1" hidden="1" outlineLevel="1" x14ac:dyDescent="0.25">
      <c r="A114" s="44"/>
      <c r="B114" s="11" t="str">
        <f>CONCATENATE("          ", "9165", " - ", "OTHER INCOME")</f>
        <v xml:space="preserve">          9165 - OTHER INCOME</v>
      </c>
      <c r="C114" s="11"/>
      <c r="D114" s="2">
        <f>--624.68</f>
        <v>624.67999999999995</v>
      </c>
      <c r="E114" s="2"/>
      <c r="F114" s="19">
        <f t="shared" si="96"/>
        <v>7.198723156614982E-2</v>
      </c>
      <c r="G114" s="2"/>
      <c r="H114" s="2">
        <f>--198527.34</f>
        <v>198527.34</v>
      </c>
      <c r="I114" s="2"/>
      <c r="J114" s="19">
        <f t="shared" si="97"/>
        <v>0.27846635290846311</v>
      </c>
      <c r="K114" s="2"/>
      <c r="L114" s="2">
        <f t="shared" si="98"/>
        <v>-197902.66</v>
      </c>
      <c r="M114" s="2"/>
      <c r="N114" s="19">
        <f t="shared" si="99"/>
        <v>-0.99685343086750677</v>
      </c>
      <c r="O114" s="11"/>
      <c r="P114" s="2">
        <f>--825.18</f>
        <v>825.18</v>
      </c>
      <c r="Q114" s="2"/>
      <c r="R114" s="19">
        <f t="shared" si="100"/>
        <v>5.7417806074522487E-2</v>
      </c>
      <c r="S114" s="2"/>
      <c r="T114" s="2">
        <f>--205160.78</f>
        <v>205160.78</v>
      </c>
      <c r="U114" s="2"/>
      <c r="V114" s="19">
        <f t="shared" si="101"/>
        <v>0.16546864334754338</v>
      </c>
      <c r="W114" s="2"/>
      <c r="X114" s="2">
        <f t="shared" si="102"/>
        <v>-204335.6</v>
      </c>
      <c r="Y114" s="2"/>
      <c r="Z114" s="19">
        <f t="shared" si="103"/>
        <v>-0.99597788622172334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10"/>
      <c r="B116" s="25" t="s">
        <v>3</v>
      </c>
      <c r="C116" s="25"/>
      <c r="D116" s="22">
        <f>+D27-D29+D111</f>
        <v>-110107.33000000002</v>
      </c>
      <c r="E116" s="13"/>
      <c r="F116" s="21">
        <f>IF(D$12=0,0,D116/D$12)</f>
        <v>-12.688611548057368</v>
      </c>
      <c r="G116" s="13"/>
      <c r="H116" s="22">
        <f>+H27-H29+H111</f>
        <v>155221.4699999998</v>
      </c>
      <c r="I116" s="13"/>
      <c r="J116" s="21">
        <f>IF(H$12=0,0,H116/H$12)</f>
        <v>0.2177229425629254</v>
      </c>
      <c r="K116" s="15"/>
      <c r="L116" s="22">
        <f>+D116-H116</f>
        <v>-265328.79999999981</v>
      </c>
      <c r="M116" s="15"/>
      <c r="N116" s="21">
        <f>IF(H116=0,0,L116/H116)</f>
        <v>-1.709356315205623</v>
      </c>
      <c r="O116" s="26"/>
      <c r="P116" s="22">
        <f>+P27-P29+P111</f>
        <v>-317806.74000000005</v>
      </c>
      <c r="Q116" s="13"/>
      <c r="R116" s="21">
        <f>IF(P$12=0,0,P116/P$12)</f>
        <v>-22.113679156664233</v>
      </c>
      <c r="S116" s="13"/>
      <c r="T116" s="22">
        <f>+T27-T29+T111</f>
        <v>-225565.23999999976</v>
      </c>
      <c r="U116" s="13"/>
      <c r="V116" s="21">
        <f>IF(T$12=0,0,T116/T$12)</f>
        <v>-0.18192548424295807</v>
      </c>
      <c r="W116" s="15"/>
      <c r="X116" s="22">
        <f>+P116-T116</f>
        <v>-92241.500000000291</v>
      </c>
      <c r="Y116" s="15"/>
      <c r="Z116" s="21">
        <f>IF(T116=0,0,X116/T116)</f>
        <v>0.40893490504122171</v>
      </c>
    </row>
    <row r="117" spans="1:26" x14ac:dyDescent="0.25">
      <c r="A117" s="9"/>
      <c r="B117" s="10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51"/>
      <c r="B118" s="10" t="s">
        <v>13</v>
      </c>
      <c r="C118" s="10"/>
      <c r="D118" s="4">
        <v>1701.07</v>
      </c>
      <c r="E118" s="4"/>
      <c r="F118" s="12">
        <f>IF(D$12=0,0,D118/D$12)</f>
        <v>0.19602887878630734</v>
      </c>
      <c r="G118" s="4"/>
      <c r="H118" s="4">
        <v>67478.680000000008</v>
      </c>
      <c r="I118" s="4"/>
      <c r="J118" s="12">
        <f>IF(H$12=0,0,H118/H$12)</f>
        <v>9.4649643311985415E-2</v>
      </c>
      <c r="K118" s="4"/>
      <c r="L118" s="4">
        <f>+D118-H118</f>
        <v>-65777.61</v>
      </c>
      <c r="M118" s="4"/>
      <c r="N118" s="12">
        <f>IF(H118=0,0,L118/H118)</f>
        <v>-0.97479100065383606</v>
      </c>
      <c r="O118" s="10"/>
      <c r="P118" s="4">
        <v>2662.4</v>
      </c>
      <c r="Q118" s="4"/>
      <c r="R118" s="12">
        <f>IF(P$12=0,0,P118/P$12)</f>
        <v>0.18525554047942108</v>
      </c>
      <c r="S118" s="4"/>
      <c r="T118" s="4">
        <v>133179.23000000001</v>
      </c>
      <c r="U118" s="4"/>
      <c r="V118" s="12">
        <f>IF(T$12=0,0,T118/T$12)</f>
        <v>0.10741325174417085</v>
      </c>
      <c r="W118" s="4"/>
      <c r="X118" s="4">
        <f>+P118-T118</f>
        <v>-130516.83000000002</v>
      </c>
      <c r="Y118" s="4"/>
      <c r="Z118" s="12">
        <f>IF(T118=0,0,X118/T118)</f>
        <v>-0.98000889478036479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5" t="s">
        <v>4</v>
      </c>
      <c r="C120" s="25"/>
      <c r="D120" s="33">
        <f>+D116-D118</f>
        <v>-111808.40000000002</v>
      </c>
      <c r="E120" s="13"/>
      <c r="F120" s="32">
        <f>IF(D$12=0,0,D120/D$12)</f>
        <v>-12.884640426843676</v>
      </c>
      <c r="G120" s="13"/>
      <c r="H120" s="33">
        <f>+H116-H118</f>
        <v>87742.78999999979</v>
      </c>
      <c r="I120" s="13"/>
      <c r="J120" s="32">
        <f>IF(H$12=0,0,H120/H$12)</f>
        <v>0.12307329925094</v>
      </c>
      <c r="K120" s="15"/>
      <c r="L120" s="33">
        <f>D120-H120</f>
        <v>-199551.18999999983</v>
      </c>
      <c r="M120" s="15"/>
      <c r="N120" s="32">
        <f>IF(H120=0,0,L120/H120)</f>
        <v>-2.2742745016428167</v>
      </c>
      <c r="O120" s="26"/>
      <c r="P120" s="33">
        <f>+P116-P118</f>
        <v>-320469.14000000007</v>
      </c>
      <c r="Q120" s="13"/>
      <c r="R120" s="32">
        <f>IF(P$12=0,0,P120/P$12)</f>
        <v>-22.298934697143658</v>
      </c>
      <c r="S120" s="13"/>
      <c r="T120" s="33">
        <f>+T116-T118</f>
        <v>-358744.46999999974</v>
      </c>
      <c r="U120" s="13"/>
      <c r="V120" s="32">
        <f>IF(T$12=0,0,T120/T$12)</f>
        <v>-0.28933873598712889</v>
      </c>
      <c r="W120" s="15"/>
      <c r="X120" s="33">
        <f>P120-T120</f>
        <v>38275.329999999667</v>
      </c>
      <c r="Y120" s="15"/>
      <c r="Z120" s="32">
        <f>IF(T120=0,0,X120/T120)</f>
        <v>-0.106692459956246</v>
      </c>
    </row>
    <row r="121" spans="1:26" ht="15.75" thickTop="1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ht="15.75" thickBot="1" x14ac:dyDescent="0.3">
      <c r="A123" s="10"/>
      <c r="B123" s="25" t="s">
        <v>5</v>
      </c>
      <c r="C123" s="25"/>
      <c r="D123" s="34">
        <f>SUM(D120:D122)</f>
        <v>-111808.40000000002</v>
      </c>
      <c r="E123" s="13"/>
      <c r="F123" s="31">
        <f>IF(D$12=0,0,D123/D$12)</f>
        <v>-12.884640426843676</v>
      </c>
      <c r="G123" s="13"/>
      <c r="H123" s="34">
        <f>SUM(H120:H122)</f>
        <v>87742.78999999979</v>
      </c>
      <c r="I123" s="13"/>
      <c r="J123" s="31">
        <f>IF(H$12=0,0,H123/H$12)</f>
        <v>0.12307329925094</v>
      </c>
      <c r="K123" s="15"/>
      <c r="L123" s="34">
        <f>+D123-H123</f>
        <v>-199551.18999999983</v>
      </c>
      <c r="M123" s="15"/>
      <c r="N123" s="31">
        <f>IF(H123=0,0,L123/H123)</f>
        <v>-2.2742745016428167</v>
      </c>
      <c r="O123" s="26"/>
      <c r="P123" s="34">
        <f>SUM(P120:P122)</f>
        <v>-320469.14000000007</v>
      </c>
      <c r="Q123" s="13"/>
      <c r="R123" s="31">
        <f>IF(P$12=0,0,P123/P$12)</f>
        <v>-22.298934697143658</v>
      </c>
      <c r="S123" s="13"/>
      <c r="T123" s="34">
        <f>SUM(T120:T122)</f>
        <v>-358744.46999999974</v>
      </c>
      <c r="U123" s="13"/>
      <c r="V123" s="31">
        <f>IF(T$12=0,0,T123/T$12)</f>
        <v>-0.28933873598712889</v>
      </c>
      <c r="W123" s="15"/>
      <c r="X123" s="34">
        <f>+P123-T123</f>
        <v>38275.329999999667</v>
      </c>
      <c r="Y123" s="15"/>
      <c r="Z123" s="31">
        <f>IF(T123=0,0,X123/T123)</f>
        <v>-0.106692459956246</v>
      </c>
    </row>
    <row r="124" spans="1:26" ht="15.75" thickTop="1" x14ac:dyDescent="0.25">
      <c r="A124" s="9"/>
      <c r="C124" s="9"/>
      <c r="D124" s="18"/>
      <c r="E124" s="18"/>
      <c r="G124" s="18"/>
      <c r="H124" s="18"/>
      <c r="I124" s="18"/>
      <c r="J124" s="42"/>
      <c r="K124" s="18"/>
      <c r="L124" s="18"/>
      <c r="M124" s="18"/>
      <c r="P124" s="18"/>
      <c r="Q124" s="18"/>
      <c r="R124" s="42"/>
      <c r="S124" s="18"/>
      <c r="T124" s="18"/>
      <c r="U124" s="18"/>
      <c r="V124" s="42"/>
      <c r="W124" s="18"/>
      <c r="X124" s="18"/>
    </row>
    <row r="125" spans="1:26" x14ac:dyDescent="0.25">
      <c r="A125" s="9"/>
      <c r="B125" s="54">
        <v>44123.564868831018</v>
      </c>
      <c r="D125" s="18"/>
      <c r="E125" s="18"/>
      <c r="G125" s="18"/>
      <c r="H125" s="18"/>
      <c r="I125" s="18"/>
      <c r="J125" s="42"/>
      <c r="K125" s="18"/>
      <c r="L125" s="18"/>
      <c r="M125" s="18"/>
      <c r="P125" s="18"/>
      <c r="Q125" s="18"/>
      <c r="R125" s="42"/>
      <c r="S125" s="18"/>
      <c r="T125" s="18"/>
      <c r="U125" s="18"/>
      <c r="V125" s="42"/>
      <c r="W125" s="18"/>
      <c r="X125" s="18"/>
    </row>
    <row r="126" spans="1:26" x14ac:dyDescent="0.25">
      <c r="A126" s="9"/>
      <c r="B126" s="59" t="s">
        <v>313</v>
      </c>
      <c r="D126" s="18"/>
      <c r="E126" s="18"/>
      <c r="G126" s="18"/>
      <c r="H126" s="18"/>
      <c r="I126" s="18"/>
      <c r="J126" s="42"/>
      <c r="K126" s="18"/>
      <c r="L126" s="18"/>
      <c r="M126" s="18"/>
      <c r="P126" s="18"/>
      <c r="Q126" s="18"/>
      <c r="R126" s="42"/>
      <c r="S126" s="18"/>
      <c r="T126" s="18"/>
      <c r="U126" s="18"/>
      <c r="V126" s="42"/>
      <c r="W126" s="18"/>
      <c r="X126" s="18"/>
    </row>
    <row r="127" spans="1:26" x14ac:dyDescent="0.25">
      <c r="A127" s="9"/>
      <c r="B127" s="58"/>
      <c r="D127" s="18"/>
      <c r="E127" s="18"/>
      <c r="G127" s="18"/>
      <c r="H127" s="18"/>
      <c r="I127" s="18"/>
      <c r="J127" s="42"/>
      <c r="K127" s="18"/>
      <c r="L127" s="18"/>
      <c r="M127" s="18"/>
      <c r="P127" s="18"/>
      <c r="Q127" s="18"/>
      <c r="R127" s="42"/>
      <c r="S127" s="18"/>
      <c r="T127" s="18"/>
      <c r="U127" s="18"/>
      <c r="V127" s="42"/>
      <c r="W127" s="18"/>
      <c r="X127" s="18"/>
    </row>
    <row r="128" spans="1:26" x14ac:dyDescent="0.25">
      <c r="D128" s="18"/>
      <c r="E128" s="18"/>
      <c r="G128" s="18"/>
      <c r="H128" s="18"/>
      <c r="I128" s="18"/>
      <c r="J128" s="42"/>
      <c r="K128" s="18"/>
      <c r="L128" s="18"/>
      <c r="M128" s="18"/>
      <c r="P128" s="18"/>
      <c r="Q128" s="18"/>
      <c r="R128" s="42"/>
      <c r="S128" s="18"/>
      <c r="T128" s="18"/>
      <c r="U128" s="18"/>
      <c r="V128" s="42"/>
      <c r="W128" s="18"/>
      <c r="X128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","405", " - ", "Library Starbucks")</f>
        <v>Department 405 - Library Starbucks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118599.85</v>
      </c>
      <c r="I12" s="4"/>
      <c r="J12" s="12"/>
      <c r="K12" s="4"/>
      <c r="L12" s="4">
        <f t="shared" ref="L12:L14" si="0">+D12-H12</f>
        <v>-118599.85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171121.77</v>
      </c>
      <c r="U12" s="4"/>
      <c r="V12" s="12"/>
      <c r="W12" s="4"/>
      <c r="X12" s="4">
        <f t="shared" ref="X12:X14" si="2">+P12-T12</f>
        <v>-171121.77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--29470.66</f>
        <v>29470.66</v>
      </c>
      <c r="I13" s="2"/>
      <c r="J13" s="19"/>
      <c r="K13" s="2"/>
      <c r="L13" s="2">
        <f t="shared" si="0"/>
        <v>-29470.66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--43328.4</f>
        <v>43328.4</v>
      </c>
      <c r="U13" s="2"/>
      <c r="V13" s="19"/>
      <c r="W13" s="2"/>
      <c r="X13" s="2">
        <f t="shared" si="2"/>
        <v>-43328.4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--89129.19</f>
        <v>89129.19</v>
      </c>
      <c r="I14" s="2"/>
      <c r="J14" s="19"/>
      <c r="K14" s="2"/>
      <c r="L14" s="2">
        <f t="shared" si="0"/>
        <v>-89129.19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--127793.37</f>
        <v>127793.37</v>
      </c>
      <c r="U14" s="2"/>
      <c r="V14" s="19"/>
      <c r="W14" s="2"/>
      <c r="X14" s="2">
        <f t="shared" si="2"/>
        <v>-127793.37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59749.149999999994</v>
      </c>
      <c r="I16" s="4"/>
      <c r="J16" s="12">
        <f t="shared" ref="J16:J18" si="7">IF(H$12=0,0,H16/H$12)</f>
        <v>0.50378773666239873</v>
      </c>
      <c r="K16" s="4"/>
      <c r="L16" s="4">
        <f t="shared" ref="L16:L18" si="8">+D16-H16</f>
        <v>-59749.149999999994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80997.67</v>
      </c>
      <c r="U16" s="4"/>
      <c r="V16" s="12">
        <f t="shared" ref="V16:V18" si="11">IF(T$12=0,0,T16/T$12)</f>
        <v>0.47333352150343</v>
      </c>
      <c r="W16" s="4"/>
      <c r="X16" s="4">
        <f t="shared" ref="X16:X18" si="12">+P16-T16</f>
        <v>-80997.67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60901.149999999994</v>
      </c>
      <c r="I17" s="2"/>
      <c r="J17" s="19">
        <f t="shared" si="7"/>
        <v>0.51350107103845399</v>
      </c>
      <c r="K17" s="2"/>
      <c r="L17" s="2">
        <f t="shared" si="8"/>
        <v>-60901.149999999994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84681.67</v>
      </c>
      <c r="U17" s="2"/>
      <c r="V17" s="19">
        <f t="shared" si="11"/>
        <v>0.49486205057369381</v>
      </c>
      <c r="W17" s="2"/>
      <c r="X17" s="2">
        <f t="shared" si="12"/>
        <v>-84681.67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-1152</v>
      </c>
      <c r="I18" s="2"/>
      <c r="J18" s="19">
        <f t="shared" si="7"/>
        <v>-9.7133343760552812E-3</v>
      </c>
      <c r="K18" s="2"/>
      <c r="L18" s="2">
        <f t="shared" si="8"/>
        <v>1152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-3684</v>
      </c>
      <c r="U18" s="2"/>
      <c r="V18" s="19">
        <f t="shared" si="11"/>
        <v>-2.1528529070263827E-2</v>
      </c>
      <c r="W18" s="2"/>
      <c r="X18" s="2">
        <f t="shared" si="12"/>
        <v>3684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58850.700000000012</v>
      </c>
      <c r="I20" s="13"/>
      <c r="J20" s="21">
        <f>IF(H$12=0,0,H20/H$12)</f>
        <v>0.49621226333760127</v>
      </c>
      <c r="K20" s="15"/>
      <c r="L20" s="22">
        <f>+D20-H20</f>
        <v>-58850.700000000012</v>
      </c>
      <c r="M20" s="15"/>
      <c r="N20" s="21">
        <f>IF(H20=0,0,L20/H20)</f>
        <v>-1</v>
      </c>
      <c r="O20" s="26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90124.099999999991</v>
      </c>
      <c r="U20" s="13"/>
      <c r="V20" s="21">
        <f>IF(T$12=0,0,T20/T$12)</f>
        <v>0.52666647849657</v>
      </c>
      <c r="W20" s="15"/>
      <c r="X20" s="22">
        <f>+P20-T20</f>
        <v>-90124.099999999991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11248.7</v>
      </c>
      <c r="E22" s="20"/>
      <c r="F22" s="36">
        <f t="shared" ref="F22:F31" si="14">IF(D$12=0,0,D22/D$12)</f>
        <v>0</v>
      </c>
      <c r="G22" s="20"/>
      <c r="H22" s="20">
        <f>SUM(OSRRefH22x_0)</f>
        <v>63563.870000000017</v>
      </c>
      <c r="I22" s="20"/>
      <c r="J22" s="36">
        <f t="shared" ref="J22:J31" si="15">IF(H$12=0,0,H22/H$12)</f>
        <v>0.5359523641893309</v>
      </c>
      <c r="K22" s="4"/>
      <c r="L22" s="20">
        <f t="shared" ref="L22:L31" si="16">+D22-H22</f>
        <v>-52315.170000000013</v>
      </c>
      <c r="M22" s="4"/>
      <c r="N22" s="36">
        <f t="shared" ref="N22:N31" si="17">IF(H22=0,0,L22/H22)</f>
        <v>-0.82303311613971897</v>
      </c>
      <c r="O22" s="10"/>
      <c r="P22" s="20">
        <f>SUM(OSRRefP22x_0)</f>
        <v>22398.399999999998</v>
      </c>
      <c r="Q22" s="20"/>
      <c r="R22" s="36">
        <f t="shared" ref="R22:R31" si="18">IF(P$12=0,0,P22/P$12)</f>
        <v>0</v>
      </c>
      <c r="S22" s="20"/>
      <c r="T22" s="20">
        <f>SUM(OSRRefT22x_0)</f>
        <v>149187.78000000003</v>
      </c>
      <c r="U22" s="20"/>
      <c r="V22" s="36">
        <f t="shared" ref="V22:V31" si="19">IF(T$12=0,0,T22/T$12)</f>
        <v>0.87182232862598397</v>
      </c>
      <c r="W22" s="4"/>
      <c r="X22" s="20">
        <f t="shared" ref="X22:X31" si="20">+P22-T22</f>
        <v>-126789.38000000003</v>
      </c>
      <c r="Y22" s="4"/>
      <c r="Z22" s="36">
        <f t="shared" ref="Z22:Z31" si="21">IF(T22=0,0,X22/T22)</f>
        <v>-0.84986437897259415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5245.57</v>
      </c>
      <c r="I23" s="1"/>
      <c r="J23" s="5">
        <f t="shared" si="15"/>
        <v>4.4229145315107896E-2</v>
      </c>
      <c r="K23" s="1"/>
      <c r="L23" s="1">
        <f t="shared" si="16"/>
        <v>-5245.57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15272.449999999997</v>
      </c>
      <c r="U23" s="1"/>
      <c r="V23" s="5">
        <f t="shared" si="19"/>
        <v>8.9249018403678257E-2</v>
      </c>
      <c r="W23" s="1"/>
      <c r="X23" s="1">
        <f t="shared" si="20"/>
        <v>-15272.449999999997</v>
      </c>
      <c r="Y23" s="1"/>
      <c r="Z23" s="5">
        <f t="shared" si="21"/>
        <v>-1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761.34</v>
      </c>
      <c r="I24" s="2"/>
      <c r="J24" s="6">
        <f t="shared" si="15"/>
        <v>6.4194010363419511E-3</v>
      </c>
      <c r="K24" s="2"/>
      <c r="L24" s="7">
        <f t="shared" si="16"/>
        <v>-761.34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3138.5</v>
      </c>
      <c r="U24" s="2"/>
      <c r="V24" s="6">
        <f t="shared" si="19"/>
        <v>1.8340740631656628E-2</v>
      </c>
      <c r="W24" s="2"/>
      <c r="X24" s="7">
        <f t="shared" si="20"/>
        <v>-3138.5</v>
      </c>
      <c r="Y24" s="2"/>
      <c r="Z24" s="6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1161.49</v>
      </c>
      <c r="I25" s="2"/>
      <c r="J25" s="6">
        <f t="shared" si="15"/>
        <v>9.7933513406635846E-3</v>
      </c>
      <c r="K25" s="2"/>
      <c r="L25" s="7">
        <f t="shared" si="16"/>
        <v>-1161.49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2345.79</v>
      </c>
      <c r="U25" s="2"/>
      <c r="V25" s="6">
        <f t="shared" si="19"/>
        <v>1.3708308416865956E-2</v>
      </c>
      <c r="W25" s="2"/>
      <c r="X25" s="7">
        <f t="shared" si="20"/>
        <v>-2345.79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1376.23</v>
      </c>
      <c r="I26" s="2"/>
      <c r="J26" s="6">
        <f t="shared" si="15"/>
        <v>1.1603977576700139E-2</v>
      </c>
      <c r="K26" s="2"/>
      <c r="L26" s="7">
        <f t="shared" si="16"/>
        <v>-1376.23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4128.6899999999996</v>
      </c>
      <c r="U26" s="2"/>
      <c r="V26" s="6">
        <f t="shared" si="19"/>
        <v>2.4127204855349495E-2</v>
      </c>
      <c r="W26" s="2"/>
      <c r="X26" s="7">
        <f t="shared" si="20"/>
        <v>-4128.6899999999996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77.83</v>
      </c>
      <c r="I27" s="2"/>
      <c r="J27" s="6">
        <f t="shared" si="15"/>
        <v>6.5624029035449868E-4</v>
      </c>
      <c r="K27" s="2"/>
      <c r="L27" s="7">
        <f t="shared" si="16"/>
        <v>-77.83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159.13</v>
      </c>
      <c r="U27" s="2"/>
      <c r="V27" s="6">
        <f t="shared" si="19"/>
        <v>9.2992259254915375E-4</v>
      </c>
      <c r="W27" s="2"/>
      <c r="X27" s="7">
        <f t="shared" si="20"/>
        <v>-159.13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696.67</v>
      </c>
      <c r="I28" s="2"/>
      <c r="J28" s="6">
        <f t="shared" si="15"/>
        <v>5.8741221004916947E-3</v>
      </c>
      <c r="K28" s="2"/>
      <c r="L28" s="7">
        <f t="shared" si="16"/>
        <v>-696.67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2090.0100000000002</v>
      </c>
      <c r="U28" s="2"/>
      <c r="V28" s="6">
        <f t="shared" si="19"/>
        <v>1.2213583344772558E-2</v>
      </c>
      <c r="W28" s="2"/>
      <c r="X28" s="7">
        <f t="shared" si="20"/>
        <v>-2090.0100000000002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384</v>
      </c>
      <c r="I29" s="2"/>
      <c r="J29" s="6">
        <f t="shared" si="15"/>
        <v>3.2377781253517604E-3</v>
      </c>
      <c r="K29" s="2"/>
      <c r="L29" s="7">
        <f t="shared" si="16"/>
        <v>-384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1152</v>
      </c>
      <c r="U29" s="2"/>
      <c r="V29" s="6">
        <f t="shared" si="19"/>
        <v>6.7320481783235417E-3</v>
      </c>
      <c r="W29" s="2"/>
      <c r="X29" s="7">
        <f t="shared" si="20"/>
        <v>-1152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460.04</v>
      </c>
      <c r="I30" s="2"/>
      <c r="J30" s="6">
        <f t="shared" si="15"/>
        <v>3.8789256478823537E-3</v>
      </c>
      <c r="K30" s="2"/>
      <c r="L30" s="7">
        <f t="shared" si="16"/>
        <v>-460.04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1380.12</v>
      </c>
      <c r="U30" s="2"/>
      <c r="V30" s="6">
        <f t="shared" si="19"/>
        <v>8.0651339686353164E-3</v>
      </c>
      <c r="W30" s="2"/>
      <c r="X30" s="7">
        <f t="shared" si="20"/>
        <v>-1380.12</v>
      </c>
      <c r="Y30" s="2"/>
      <c r="Z30" s="6">
        <f t="shared" si="21"/>
        <v>-1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327.97</v>
      </c>
      <c r="I31" s="2"/>
      <c r="J31" s="6">
        <f t="shared" si="15"/>
        <v>2.7653491973219191E-3</v>
      </c>
      <c r="K31" s="2"/>
      <c r="L31" s="7">
        <f t="shared" si="16"/>
        <v>-327.97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878.21</v>
      </c>
      <c r="U31" s="2"/>
      <c r="V31" s="6">
        <f t="shared" si="19"/>
        <v>5.1320764155256228E-3</v>
      </c>
      <c r="W31" s="2"/>
      <c r="X31" s="7">
        <f t="shared" si="20"/>
        <v>-878.21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29581.030000000002</v>
      </c>
      <c r="I32" s="1"/>
      <c r="J32" s="5">
        <f t="shared" ref="J32:J36" si="23">IF(H$12=0,0,H32/H$12)</f>
        <v>0.24941878088378697</v>
      </c>
      <c r="K32" s="1"/>
      <c r="L32" s="1">
        <f t="shared" ref="L32:L36" si="24">+D32-H32</f>
        <v>-29581.030000000002</v>
      </c>
      <c r="M32" s="1"/>
      <c r="N32" s="5">
        <f t="shared" ref="N32:N36" si="25">IF(H32=0,0,L32/H32)</f>
        <v>-1</v>
      </c>
      <c r="O32" s="14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66734.650000000009</v>
      </c>
      <c r="U32" s="1"/>
      <c r="V32" s="5">
        <f t="shared" ref="V32:V36" si="27">IF(T$12=0,0,T32/T$12)</f>
        <v>0.38998340187808955</v>
      </c>
      <c r="W32" s="1"/>
      <c r="X32" s="1">
        <f t="shared" ref="X32:X36" si="28">+P32-T32</f>
        <v>-66734.650000000009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9973.84</v>
      </c>
      <c r="I33" s="2"/>
      <c r="J33" s="6">
        <f t="shared" si="23"/>
        <v>8.4096565046245839E-2</v>
      </c>
      <c r="K33" s="2"/>
      <c r="L33" s="7">
        <f t="shared" si="24"/>
        <v>-9973.84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31999.52</v>
      </c>
      <c r="U33" s="2"/>
      <c r="V33" s="6">
        <f t="shared" si="27"/>
        <v>0.18699853326669075</v>
      </c>
      <c r="W33" s="2"/>
      <c r="X33" s="7">
        <f t="shared" si="28"/>
        <v>-31999.52</v>
      </c>
      <c r="Y33" s="2"/>
      <c r="Z33" s="6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/>
      <c r="I34" s="2"/>
      <c r="J34" s="6">
        <f t="shared" si="23"/>
        <v>0</v>
      </c>
      <c r="K34" s="2"/>
      <c r="L34" s="7">
        <f t="shared" si="24"/>
        <v>0</v>
      </c>
      <c r="M34" s="2"/>
      <c r="N34" s="6">
        <f t="shared" si="25"/>
        <v>0</v>
      </c>
      <c r="O34" s="11"/>
      <c r="P34" s="7"/>
      <c r="Q34" s="2"/>
      <c r="R34" s="6">
        <f t="shared" si="26"/>
        <v>0</v>
      </c>
      <c r="S34" s="2"/>
      <c r="T34" s="7">
        <v>45.5</v>
      </c>
      <c r="U34" s="2"/>
      <c r="V34" s="6">
        <f t="shared" si="27"/>
        <v>2.6589252787649403E-4</v>
      </c>
      <c r="W34" s="2"/>
      <c r="X34" s="7">
        <f t="shared" si="28"/>
        <v>-45.5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19481.190000000002</v>
      </c>
      <c r="I35" s="2"/>
      <c r="J35" s="6">
        <f t="shared" si="23"/>
        <v>0.16425981989016009</v>
      </c>
      <c r="K35" s="2"/>
      <c r="L35" s="7">
        <f t="shared" si="24"/>
        <v>-19481.190000000002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34563.630000000005</v>
      </c>
      <c r="U35" s="2"/>
      <c r="V35" s="6">
        <f t="shared" si="27"/>
        <v>0.20198265831401818</v>
      </c>
      <c r="W35" s="2"/>
      <c r="X35" s="7">
        <f t="shared" si="28"/>
        <v>-34563.630000000005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>
        <v>126</v>
      </c>
      <c r="I36" s="2"/>
      <c r="J36" s="6">
        <f t="shared" si="23"/>
        <v>1.0623959473810463E-3</v>
      </c>
      <c r="K36" s="2"/>
      <c r="L36" s="7">
        <f t="shared" si="24"/>
        <v>-126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126</v>
      </c>
      <c r="U36" s="2"/>
      <c r="V36" s="6">
        <f t="shared" si="27"/>
        <v>7.3631776950413739E-4</v>
      </c>
      <c r="W36" s="2"/>
      <c r="X36" s="7">
        <f t="shared" si="28"/>
        <v>-126</v>
      </c>
      <c r="Y36" s="2"/>
      <c r="Z36" s="6">
        <f t="shared" si="29"/>
        <v>-1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30">IF(D$12=0,0,D37/D$12)</f>
        <v>0</v>
      </c>
      <c r="G37" s="1"/>
      <c r="H37" s="1">
        <f>SUM(OSRRefH22_2x_0)</f>
        <v>362.87</v>
      </c>
      <c r="I37" s="1"/>
      <c r="J37" s="5">
        <f t="shared" ref="J37:J45" si="31">IF(H$12=0,0,H37/H$12)</f>
        <v>3.0596160113187327E-3</v>
      </c>
      <c r="K37" s="1"/>
      <c r="L37" s="1">
        <f t="shared" ref="L37:L45" si="32">+D37-H37</f>
        <v>-362.87</v>
      </c>
      <c r="M37" s="1"/>
      <c r="N37" s="5">
        <f t="shared" ref="N37:N45" si="33">IF(H37=0,0,L37/H37)</f>
        <v>-1</v>
      </c>
      <c r="O37" s="14"/>
      <c r="P37" s="1">
        <f>SUM(OSRRefP22_2x_0)</f>
        <v>0</v>
      </c>
      <c r="Q37" s="1"/>
      <c r="R37" s="5">
        <f t="shared" ref="R37:R45" si="34">IF(P$12=0,0,P37/P$12)</f>
        <v>0</v>
      </c>
      <c r="S37" s="1"/>
      <c r="T37" s="1">
        <f>SUM(OSRRefT22_2x_0)</f>
        <v>428.26</v>
      </c>
      <c r="U37" s="1"/>
      <c r="V37" s="5">
        <f t="shared" ref="V37:V45" si="35">IF(T$12=0,0,T37/T$12)</f>
        <v>2.5026622854590623E-3</v>
      </c>
      <c r="W37" s="1"/>
      <c r="X37" s="1">
        <f t="shared" ref="X37:X45" si="36">+P37-T37</f>
        <v>-428.26</v>
      </c>
      <c r="Y37" s="1"/>
      <c r="Z37" s="5">
        <f t="shared" ref="Z37:Z45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>
        <v>362.87</v>
      </c>
      <c r="I38" s="2"/>
      <c r="J38" s="6">
        <f t="shared" si="31"/>
        <v>3.0596160113187327E-3</v>
      </c>
      <c r="K38" s="2"/>
      <c r="L38" s="7">
        <f t="shared" si="32"/>
        <v>-362.87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428.26</v>
      </c>
      <c r="U38" s="2"/>
      <c r="V38" s="6">
        <f t="shared" si="35"/>
        <v>2.5026622854590623E-3</v>
      </c>
      <c r="W38" s="2"/>
      <c r="X38" s="7">
        <f t="shared" si="36"/>
        <v>-428.26</v>
      </c>
      <c r="Y38" s="2"/>
      <c r="Z38" s="6">
        <f t="shared" si="37"/>
        <v>-1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-13.8</v>
      </c>
      <c r="I39" s="1"/>
      <c r="J39" s="5">
        <f t="shared" si="31"/>
        <v>-1.163576513798289E-4</v>
      </c>
      <c r="K39" s="1"/>
      <c r="L39" s="1">
        <f t="shared" si="32"/>
        <v>13.8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-7.64</v>
      </c>
      <c r="U39" s="1"/>
      <c r="V39" s="5">
        <f t="shared" si="35"/>
        <v>-4.4646569515965155E-5</v>
      </c>
      <c r="W39" s="1"/>
      <c r="X39" s="1">
        <f t="shared" si="36"/>
        <v>7.64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-13.8</v>
      </c>
      <c r="I40" s="2"/>
      <c r="J40" s="6">
        <f t="shared" si="31"/>
        <v>-1.163576513798289E-4</v>
      </c>
      <c r="K40" s="2"/>
      <c r="L40" s="7">
        <f t="shared" si="32"/>
        <v>13.8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-7.64</v>
      </c>
      <c r="U40" s="2"/>
      <c r="V40" s="6">
        <f t="shared" si="35"/>
        <v>-4.4646569515965155E-5</v>
      </c>
      <c r="W40" s="2"/>
      <c r="X40" s="7">
        <f t="shared" si="36"/>
        <v>7.64</v>
      </c>
      <c r="Y40" s="2"/>
      <c r="Z40" s="6">
        <f t="shared" si="37"/>
        <v>-1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3009.5</v>
      </c>
      <c r="I41" s="1"/>
      <c r="J41" s="5">
        <f t="shared" si="31"/>
        <v>2.5375242886057612E-2</v>
      </c>
      <c r="K41" s="1"/>
      <c r="L41" s="1">
        <f t="shared" si="32"/>
        <v>-3009.5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4403.8599999999997</v>
      </c>
      <c r="U41" s="1"/>
      <c r="V41" s="5">
        <f t="shared" si="35"/>
        <v>2.5735241050861033E-2</v>
      </c>
      <c r="W41" s="1"/>
      <c r="X41" s="1">
        <f t="shared" si="36"/>
        <v>-4403.8599999999997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3009.5</v>
      </c>
      <c r="I42" s="2"/>
      <c r="J42" s="6">
        <f t="shared" si="31"/>
        <v>2.5375242886057612E-2</v>
      </c>
      <c r="K42" s="2"/>
      <c r="L42" s="7">
        <f t="shared" si="32"/>
        <v>-3009.5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4403.8599999999997</v>
      </c>
      <c r="U42" s="2"/>
      <c r="V42" s="6">
        <f t="shared" si="35"/>
        <v>2.5735241050861033E-2</v>
      </c>
      <c r="W42" s="2"/>
      <c r="X42" s="7">
        <f t="shared" si="36"/>
        <v>-4403.8599999999997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5330.05</v>
      </c>
      <c r="E43" s="1"/>
      <c r="F43" s="5">
        <f t="shared" si="30"/>
        <v>0</v>
      </c>
      <c r="G43" s="1"/>
      <c r="H43" s="1">
        <f>SUM(OSRRefH22_5x_0)</f>
        <v>5612.57</v>
      </c>
      <c r="I43" s="1"/>
      <c r="J43" s="5">
        <f t="shared" si="31"/>
        <v>4.7323584304701898E-2</v>
      </c>
      <c r="K43" s="1"/>
      <c r="L43" s="1">
        <f t="shared" si="32"/>
        <v>-282.51999999999953</v>
      </c>
      <c r="M43" s="1"/>
      <c r="N43" s="5">
        <f t="shared" si="33"/>
        <v>-5.0337011386940307E-2</v>
      </c>
      <c r="O43" s="14"/>
      <c r="P43" s="1">
        <f>SUM(OSRRefP22_5x_0)</f>
        <v>15990.15</v>
      </c>
      <c r="Q43" s="1"/>
      <c r="R43" s="5">
        <f t="shared" si="34"/>
        <v>0</v>
      </c>
      <c r="S43" s="1"/>
      <c r="T43" s="1">
        <f>SUM(OSRRefT22_5x_0)</f>
        <v>16837.71</v>
      </c>
      <c r="U43" s="1"/>
      <c r="V43" s="5">
        <f t="shared" si="35"/>
        <v>9.8396071990138959E-2</v>
      </c>
      <c r="W43" s="1"/>
      <c r="X43" s="1">
        <f t="shared" si="36"/>
        <v>-847.55999999999949</v>
      </c>
      <c r="Y43" s="1"/>
      <c r="Z43" s="5">
        <f t="shared" si="37"/>
        <v>-5.0337011386940356E-2</v>
      </c>
    </row>
    <row r="44" spans="1:26" s="24" customFormat="1" hidden="1" outlineLevel="2" x14ac:dyDescent="0.25">
      <c r="A44" s="28"/>
      <c r="B44" s="11" t="str">
        <f>CONCATENATE("          ", "6321", " - ", "BUILDING DEPRECIATION")</f>
        <v xml:space="preserve">          6321 - BUILDING DEPRECIATION</v>
      </c>
      <c r="C44" s="11"/>
      <c r="D44" s="7">
        <v>4626.5</v>
      </c>
      <c r="E44" s="2"/>
      <c r="F44" s="6">
        <f t="shared" si="30"/>
        <v>0</v>
      </c>
      <c r="G44" s="2"/>
      <c r="H44" s="7">
        <v>4626.5</v>
      </c>
      <c r="I44" s="2"/>
      <c r="J44" s="6">
        <f t="shared" si="31"/>
        <v>3.9009324210781043E-2</v>
      </c>
      <c r="K44" s="2"/>
      <c r="L44" s="7">
        <f t="shared" si="32"/>
        <v>0</v>
      </c>
      <c r="M44" s="2"/>
      <c r="N44" s="6">
        <f t="shared" si="33"/>
        <v>0</v>
      </c>
      <c r="O44" s="11"/>
      <c r="P44" s="7">
        <v>13879.5</v>
      </c>
      <c r="Q44" s="2"/>
      <c r="R44" s="6">
        <f t="shared" si="34"/>
        <v>0</v>
      </c>
      <c r="S44" s="2"/>
      <c r="T44" s="7">
        <v>13879.5</v>
      </c>
      <c r="U44" s="2"/>
      <c r="V44" s="6">
        <f t="shared" si="35"/>
        <v>8.110890858597361E-2</v>
      </c>
      <c r="W44" s="2"/>
      <c r="X44" s="7">
        <f t="shared" si="36"/>
        <v>0</v>
      </c>
      <c r="Y44" s="2"/>
      <c r="Z44" s="6">
        <f t="shared" si="37"/>
        <v>0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703.55</v>
      </c>
      <c r="E45" s="2"/>
      <c r="F45" s="6">
        <f t="shared" si="30"/>
        <v>0</v>
      </c>
      <c r="G45" s="2"/>
      <c r="H45" s="7">
        <v>986.07</v>
      </c>
      <c r="I45" s="2"/>
      <c r="J45" s="6">
        <f t="shared" si="31"/>
        <v>8.3142600939208611E-3</v>
      </c>
      <c r="K45" s="2"/>
      <c r="L45" s="7">
        <f t="shared" si="32"/>
        <v>-282.5200000000001</v>
      </c>
      <c r="M45" s="2"/>
      <c r="N45" s="6">
        <f t="shared" si="33"/>
        <v>-0.28651109961767429</v>
      </c>
      <c r="O45" s="11"/>
      <c r="P45" s="7">
        <v>2110.65</v>
      </c>
      <c r="Q45" s="2"/>
      <c r="R45" s="6">
        <f t="shared" si="34"/>
        <v>0</v>
      </c>
      <c r="S45" s="2"/>
      <c r="T45" s="7">
        <v>2958.21</v>
      </c>
      <c r="U45" s="2"/>
      <c r="V45" s="6">
        <f t="shared" si="35"/>
        <v>1.7287163404165352E-2</v>
      </c>
      <c r="W45" s="2"/>
      <c r="X45" s="7">
        <f t="shared" si="36"/>
        <v>-847.56</v>
      </c>
      <c r="Y45" s="2"/>
      <c r="Z45" s="6">
        <f t="shared" si="37"/>
        <v>-0.28651109961767418</v>
      </c>
    </row>
    <row r="46" spans="1:26" s="27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96.3</v>
      </c>
      <c r="E46" s="1"/>
      <c r="F46" s="5">
        <f t="shared" ref="F46:F54" si="38">IF(D$12=0,0,D46/D$12)</f>
        <v>0</v>
      </c>
      <c r="G46" s="1"/>
      <c r="H46" s="1">
        <f>SUM(OSRRefH22_6x_0)</f>
        <v>327.23</v>
      </c>
      <c r="I46" s="1"/>
      <c r="J46" s="5">
        <f t="shared" ref="J46:J54" si="39">IF(H$12=0,0,H46/H$12)</f>
        <v>2.7591097290595224E-3</v>
      </c>
      <c r="K46" s="1"/>
      <c r="L46" s="1">
        <f t="shared" ref="L46:L54" si="40">+D46-H46</f>
        <v>-230.93</v>
      </c>
      <c r="M46" s="1"/>
      <c r="N46" s="5">
        <f t="shared" ref="N46:N54" si="41">IF(H46=0,0,L46/H46)</f>
        <v>-0.70571157901170434</v>
      </c>
      <c r="O46" s="14"/>
      <c r="P46" s="1">
        <f>SUM(OSRRefP22_6x_0)</f>
        <v>96.3</v>
      </c>
      <c r="Q46" s="1"/>
      <c r="R46" s="5">
        <f t="shared" ref="R46:R54" si="42">IF(P$12=0,0,P46/P$12)</f>
        <v>0</v>
      </c>
      <c r="S46" s="1"/>
      <c r="T46" s="1">
        <f>SUM(OSRRefT22_6x_0)</f>
        <v>1159.94</v>
      </c>
      <c r="U46" s="1"/>
      <c r="V46" s="5">
        <f t="shared" ref="V46:V54" si="43">IF(T$12=0,0,T46/T$12)</f>
        <v>6.7784478853859451E-3</v>
      </c>
      <c r="W46" s="1"/>
      <c r="X46" s="1">
        <f t="shared" ref="X46:X54" si="44">+P46-T46</f>
        <v>-1063.6400000000001</v>
      </c>
      <c r="Y46" s="1"/>
      <c r="Z46" s="5">
        <f t="shared" ref="Z46:Z54" si="45">IF(T46=0,0,X46/T46)</f>
        <v>-0.91697846440333119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7">
        <v>96.3</v>
      </c>
      <c r="E47" s="2"/>
      <c r="F47" s="6">
        <f t="shared" si="38"/>
        <v>0</v>
      </c>
      <c r="G47" s="2"/>
      <c r="H47" s="7">
        <v>327.23</v>
      </c>
      <c r="I47" s="2"/>
      <c r="J47" s="6">
        <f t="shared" si="39"/>
        <v>2.7591097290595224E-3</v>
      </c>
      <c r="K47" s="2"/>
      <c r="L47" s="7">
        <f t="shared" si="40"/>
        <v>-230.93</v>
      </c>
      <c r="M47" s="2"/>
      <c r="N47" s="6">
        <f t="shared" si="41"/>
        <v>-0.70571157901170434</v>
      </c>
      <c r="O47" s="11"/>
      <c r="P47" s="7">
        <v>96.3</v>
      </c>
      <c r="Q47" s="2"/>
      <c r="R47" s="6">
        <f t="shared" si="42"/>
        <v>0</v>
      </c>
      <c r="S47" s="2"/>
      <c r="T47" s="7">
        <v>1159.94</v>
      </c>
      <c r="U47" s="2"/>
      <c r="V47" s="6">
        <f t="shared" si="43"/>
        <v>6.7784478853859451E-3</v>
      </c>
      <c r="W47" s="2"/>
      <c r="X47" s="7">
        <f t="shared" si="44"/>
        <v>-1063.6400000000001</v>
      </c>
      <c r="Y47" s="2"/>
      <c r="Z47" s="6">
        <f t="shared" si="45"/>
        <v>-0.91697846440333119</v>
      </c>
    </row>
    <row r="48" spans="1:26" s="27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791.37</v>
      </c>
      <c r="I48" s="1"/>
      <c r="J48" s="5">
        <f t="shared" si="39"/>
        <v>6.6726054038011009E-3</v>
      </c>
      <c r="K48" s="1"/>
      <c r="L48" s="1">
        <f t="shared" si="40"/>
        <v>-791.37</v>
      </c>
      <c r="M48" s="1"/>
      <c r="N48" s="5">
        <f t="shared" si="41"/>
        <v>-1</v>
      </c>
      <c r="O48" s="14"/>
      <c r="P48" s="1">
        <f>SUM(OSRRefP22_7x_0)</f>
        <v>0</v>
      </c>
      <c r="Q48" s="1"/>
      <c r="R48" s="5">
        <f t="shared" si="42"/>
        <v>0</v>
      </c>
      <c r="S48" s="1"/>
      <c r="T48" s="1">
        <f>SUM(OSRRefT22_7x_0)</f>
        <v>3184.87</v>
      </c>
      <c r="U48" s="1"/>
      <c r="V48" s="5">
        <f t="shared" si="43"/>
        <v>1.8611717258417794E-2</v>
      </c>
      <c r="W48" s="1"/>
      <c r="X48" s="1">
        <f t="shared" si="44"/>
        <v>-3184.87</v>
      </c>
      <c r="Y48" s="1"/>
      <c r="Z48" s="5">
        <f t="shared" si="45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8"/>
        <v>0</v>
      </c>
      <c r="G49" s="2"/>
      <c r="H49" s="7">
        <v>791.37</v>
      </c>
      <c r="I49" s="2"/>
      <c r="J49" s="6">
        <f t="shared" si="39"/>
        <v>6.6726054038011009E-3</v>
      </c>
      <c r="K49" s="2"/>
      <c r="L49" s="7">
        <f t="shared" si="40"/>
        <v>-791.37</v>
      </c>
      <c r="M49" s="2"/>
      <c r="N49" s="6">
        <f t="shared" si="41"/>
        <v>-1</v>
      </c>
      <c r="O49" s="11"/>
      <c r="P49" s="7">
        <v>0</v>
      </c>
      <c r="Q49" s="2"/>
      <c r="R49" s="6">
        <f t="shared" si="42"/>
        <v>0</v>
      </c>
      <c r="S49" s="2"/>
      <c r="T49" s="7">
        <v>3184.87</v>
      </c>
      <c r="U49" s="2"/>
      <c r="V49" s="6">
        <f t="shared" si="43"/>
        <v>1.8611717258417794E-2</v>
      </c>
      <c r="W49" s="2"/>
      <c r="X49" s="7">
        <f t="shared" si="44"/>
        <v>-3184.87</v>
      </c>
      <c r="Y49" s="2"/>
      <c r="Z49" s="6">
        <f t="shared" si="45"/>
        <v>-1</v>
      </c>
    </row>
    <row r="50" spans="1:26" s="27" customFormat="1" outlineLevel="1" collapsed="1" x14ac:dyDescent="0.25">
      <c r="A50" s="29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SUM(OSRRefD22_8x_0)</f>
        <v>5550</v>
      </c>
      <c r="E50" s="1"/>
      <c r="F50" s="5">
        <f t="shared" si="38"/>
        <v>0</v>
      </c>
      <c r="G50" s="1"/>
      <c r="H50" s="1">
        <f>SUM(OSRRefH22_8x_0)</f>
        <v>1850</v>
      </c>
      <c r="I50" s="1"/>
      <c r="J50" s="5">
        <f t="shared" si="39"/>
        <v>1.5598670655991555E-2</v>
      </c>
      <c r="K50" s="1"/>
      <c r="L50" s="1">
        <f t="shared" si="40"/>
        <v>3700</v>
      </c>
      <c r="M50" s="1"/>
      <c r="N50" s="5">
        <f t="shared" si="41"/>
        <v>2</v>
      </c>
      <c r="O50" s="14"/>
      <c r="P50" s="1">
        <f>SUM(OSRRefP22_8x_0)</f>
        <v>5550</v>
      </c>
      <c r="Q50" s="1"/>
      <c r="R50" s="5">
        <f t="shared" si="42"/>
        <v>0</v>
      </c>
      <c r="S50" s="1"/>
      <c r="T50" s="1">
        <f>SUM(OSRRefT22_8x_0)</f>
        <v>5550</v>
      </c>
      <c r="U50" s="1"/>
      <c r="V50" s="5">
        <f t="shared" si="43"/>
        <v>3.2433044609110812E-2</v>
      </c>
      <c r="W50" s="1"/>
      <c r="X50" s="1">
        <f t="shared" si="44"/>
        <v>0</v>
      </c>
      <c r="Y50" s="1"/>
      <c r="Z50" s="5">
        <f t="shared" si="45"/>
        <v>0</v>
      </c>
    </row>
    <row r="51" spans="1:26" s="24" customFormat="1" hidden="1" outlineLevel="2" x14ac:dyDescent="0.25">
      <c r="A51" s="28"/>
      <c r="B51" s="11" t="str">
        <f>CONCATENATE("          ", "6273", " - ", "RENT")</f>
        <v xml:space="preserve">          6273 - RENT</v>
      </c>
      <c r="C51" s="11"/>
      <c r="D51" s="7">
        <v>5550</v>
      </c>
      <c r="E51" s="2"/>
      <c r="F51" s="6">
        <f t="shared" si="38"/>
        <v>0</v>
      </c>
      <c r="G51" s="2"/>
      <c r="H51" s="7">
        <v>1850</v>
      </c>
      <c r="I51" s="2"/>
      <c r="J51" s="6">
        <f t="shared" si="39"/>
        <v>1.5598670655991555E-2</v>
      </c>
      <c r="K51" s="2"/>
      <c r="L51" s="7">
        <f t="shared" si="40"/>
        <v>3700</v>
      </c>
      <c r="M51" s="2"/>
      <c r="N51" s="6">
        <f t="shared" si="41"/>
        <v>2</v>
      </c>
      <c r="O51" s="11"/>
      <c r="P51" s="7">
        <v>5550</v>
      </c>
      <c r="Q51" s="2"/>
      <c r="R51" s="6">
        <f t="shared" si="42"/>
        <v>0</v>
      </c>
      <c r="S51" s="2"/>
      <c r="T51" s="7">
        <v>5550</v>
      </c>
      <c r="U51" s="2"/>
      <c r="V51" s="6">
        <f t="shared" si="43"/>
        <v>3.2433044609110812E-2</v>
      </c>
      <c r="W51" s="2"/>
      <c r="X51" s="7">
        <f t="shared" si="44"/>
        <v>0</v>
      </c>
      <c r="Y51" s="2"/>
      <c r="Z51" s="6">
        <f t="shared" si="45"/>
        <v>0</v>
      </c>
    </row>
    <row r="52" spans="1:26" s="27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272.35000000000002</v>
      </c>
      <c r="E52" s="1"/>
      <c r="F52" s="5">
        <f t="shared" si="38"/>
        <v>0</v>
      </c>
      <c r="G52" s="1"/>
      <c r="H52" s="1">
        <f>SUM(OSRRefH22_9x_0)</f>
        <v>4447.72</v>
      </c>
      <c r="I52" s="1"/>
      <c r="J52" s="5">
        <f t="shared" si="39"/>
        <v>3.750190240544149E-2</v>
      </c>
      <c r="K52" s="1"/>
      <c r="L52" s="1">
        <f t="shared" si="40"/>
        <v>-4175.37</v>
      </c>
      <c r="M52" s="1"/>
      <c r="N52" s="5">
        <f t="shared" si="41"/>
        <v>-0.93876637917854533</v>
      </c>
      <c r="O52" s="14"/>
      <c r="P52" s="1">
        <f>SUM(OSRRefP22_9x_0)</f>
        <v>692.95</v>
      </c>
      <c r="Q52" s="1"/>
      <c r="R52" s="5">
        <f t="shared" si="42"/>
        <v>0</v>
      </c>
      <c r="S52" s="1"/>
      <c r="T52" s="1">
        <f>SUM(OSRRefT22_9x_0)</f>
        <v>10606.720000000001</v>
      </c>
      <c r="U52" s="1"/>
      <c r="V52" s="5">
        <f t="shared" si="43"/>
        <v>6.198346358853115E-2</v>
      </c>
      <c r="W52" s="1"/>
      <c r="X52" s="1">
        <f t="shared" si="44"/>
        <v>-9913.77</v>
      </c>
      <c r="Y52" s="1"/>
      <c r="Z52" s="5">
        <f t="shared" si="45"/>
        <v>-0.93466877602123932</v>
      </c>
    </row>
    <row r="53" spans="1:26" s="24" customFormat="1" hidden="1" outlineLevel="2" x14ac:dyDescent="0.25">
      <c r="A53" s="28"/>
      <c r="B53" s="11" t="str">
        <f>CONCATENATE("          ", "6373", " - ", "MAINTENANCE CONTRACTS")</f>
        <v xml:space="preserve">          6373 - MAINTENANCE CONTRACTS</v>
      </c>
      <c r="C53" s="11"/>
      <c r="D53" s="7">
        <v>72.349999999999994</v>
      </c>
      <c r="E53" s="2"/>
      <c r="F53" s="6">
        <f t="shared" si="38"/>
        <v>0</v>
      </c>
      <c r="G53" s="2"/>
      <c r="H53" s="7">
        <v>3396</v>
      </c>
      <c r="I53" s="2"/>
      <c r="J53" s="6">
        <f t="shared" si="39"/>
        <v>2.8634100296079632E-2</v>
      </c>
      <c r="K53" s="2"/>
      <c r="L53" s="7">
        <f t="shared" si="40"/>
        <v>-3323.65</v>
      </c>
      <c r="M53" s="2"/>
      <c r="N53" s="6">
        <f t="shared" si="41"/>
        <v>-0.97869552414605421</v>
      </c>
      <c r="O53" s="11"/>
      <c r="P53" s="7">
        <v>150.94999999999999</v>
      </c>
      <c r="Q53" s="2"/>
      <c r="R53" s="6">
        <f t="shared" si="42"/>
        <v>0</v>
      </c>
      <c r="S53" s="2"/>
      <c r="T53" s="7">
        <v>5396</v>
      </c>
      <c r="U53" s="2"/>
      <c r="V53" s="6">
        <f t="shared" si="43"/>
        <v>3.1533100668605756E-2</v>
      </c>
      <c r="W53" s="2"/>
      <c r="X53" s="7">
        <f t="shared" si="44"/>
        <v>-5245.05</v>
      </c>
      <c r="Y53" s="2"/>
      <c r="Z53" s="6">
        <f t="shared" si="45"/>
        <v>-0.97202557449962934</v>
      </c>
    </row>
    <row r="54" spans="1:26" s="24" customFormat="1" hidden="1" outlineLevel="2" x14ac:dyDescent="0.25">
      <c r="A54" s="28"/>
      <c r="B54" s="11" t="str">
        <f>CONCATENATE("          ", "6375", " - ", "OUTSIDE REPAIRS &amp; MAINTENANCE")</f>
        <v xml:space="preserve">          6375 - OUTSIDE REPAIRS &amp; MAINTENANCE</v>
      </c>
      <c r="C54" s="11"/>
      <c r="D54" s="7">
        <v>200</v>
      </c>
      <c r="E54" s="2"/>
      <c r="F54" s="6">
        <f t="shared" si="38"/>
        <v>0</v>
      </c>
      <c r="G54" s="2"/>
      <c r="H54" s="7">
        <v>1051.72</v>
      </c>
      <c r="I54" s="2"/>
      <c r="J54" s="6">
        <f t="shared" si="39"/>
        <v>8.8678021093618574E-3</v>
      </c>
      <c r="K54" s="2"/>
      <c r="L54" s="7">
        <f t="shared" si="40"/>
        <v>-851.72</v>
      </c>
      <c r="M54" s="2"/>
      <c r="N54" s="6">
        <f t="shared" si="41"/>
        <v>-0.80983531738485526</v>
      </c>
      <c r="O54" s="11"/>
      <c r="P54" s="7">
        <v>542</v>
      </c>
      <c r="Q54" s="2"/>
      <c r="R54" s="6">
        <f t="shared" si="42"/>
        <v>0</v>
      </c>
      <c r="S54" s="2"/>
      <c r="T54" s="7">
        <v>5210.72</v>
      </c>
      <c r="U54" s="2"/>
      <c r="V54" s="6">
        <f t="shared" si="43"/>
        <v>3.0450362919925388E-2</v>
      </c>
      <c r="W54" s="2"/>
      <c r="X54" s="7">
        <f t="shared" si="44"/>
        <v>-4668.72</v>
      </c>
      <c r="Y54" s="2"/>
      <c r="Z54" s="6">
        <f t="shared" si="45"/>
        <v>-0.8959836644456044</v>
      </c>
    </row>
    <row r="55" spans="1:26" s="27" customFormat="1" outlineLevel="1" collapsed="1" x14ac:dyDescent="0.25">
      <c r="A55" s="29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SUM(OSRRefD22_10x_0)</f>
        <v>0</v>
      </c>
      <c r="E55" s="1"/>
      <c r="F55" s="5">
        <f t="shared" ref="F55:F60" si="46">IF(D$12=0,0,D55/D$12)</f>
        <v>0</v>
      </c>
      <c r="G55" s="1"/>
      <c r="H55" s="1">
        <f>SUM(OSRRefH22_10x_0)</f>
        <v>9041.44</v>
      </c>
      <c r="I55" s="1"/>
      <c r="J55" s="5">
        <f t="shared" ref="J55:J60" si="47">IF(H$12=0,0,H55/H$12)</f>
        <v>7.62348350356261E-2</v>
      </c>
      <c r="K55" s="1"/>
      <c r="L55" s="1">
        <f t="shared" ref="L55:L60" si="48">+D55-H55</f>
        <v>-9041.44</v>
      </c>
      <c r="M55" s="1"/>
      <c r="N55" s="5">
        <f t="shared" ref="N55:N60" si="49">IF(H55=0,0,L55/H55)</f>
        <v>-1</v>
      </c>
      <c r="O55" s="14"/>
      <c r="P55" s="1">
        <f>SUM(OSRRefP22_10x_0)</f>
        <v>0</v>
      </c>
      <c r="Q55" s="1"/>
      <c r="R55" s="5">
        <f t="shared" ref="R55:R60" si="50">IF(P$12=0,0,P55/P$12)</f>
        <v>0</v>
      </c>
      <c r="S55" s="1"/>
      <c r="T55" s="1">
        <f>SUM(OSRRefT22_10x_0)</f>
        <v>16462.96</v>
      </c>
      <c r="U55" s="1"/>
      <c r="V55" s="5">
        <f t="shared" ref="V55:V60" si="51">IF(T$12=0,0,T55/T$12)</f>
        <v>9.6206111005046294E-2</v>
      </c>
      <c r="W55" s="1"/>
      <c r="X55" s="1">
        <f t="shared" ref="X55:X60" si="52">+P55-T55</f>
        <v>-16462.96</v>
      </c>
      <c r="Y55" s="1"/>
      <c r="Z55" s="5">
        <f t="shared" ref="Z55:Z60" si="53">IF(T55=0,0,X55/T55)</f>
        <v>-1</v>
      </c>
    </row>
    <row r="56" spans="1:26" s="24" customFormat="1" hidden="1" outlineLevel="2" x14ac:dyDescent="0.25">
      <c r="A56" s="28"/>
      <c r="B56" s="11" t="str">
        <f>CONCATENATE("          ", "6259", " - ", "ROYALTY &amp; COMMISSIONS")</f>
        <v xml:space="preserve">          6259 - ROYALTY &amp; COMMISSIONS</v>
      </c>
      <c r="C56" s="11"/>
      <c r="D56" s="7"/>
      <c r="E56" s="2"/>
      <c r="F56" s="6">
        <f t="shared" si="46"/>
        <v>0</v>
      </c>
      <c r="G56" s="2"/>
      <c r="H56" s="7">
        <v>9041.44</v>
      </c>
      <c r="I56" s="2"/>
      <c r="J56" s="6">
        <f t="shared" si="47"/>
        <v>7.62348350356261E-2</v>
      </c>
      <c r="K56" s="2"/>
      <c r="L56" s="7">
        <f t="shared" si="48"/>
        <v>-9041.44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16462.96</v>
      </c>
      <c r="U56" s="2"/>
      <c r="V56" s="6">
        <f t="shared" si="51"/>
        <v>9.6206111005046294E-2</v>
      </c>
      <c r="W56" s="2"/>
      <c r="X56" s="7">
        <f t="shared" si="52"/>
        <v>-16462.96</v>
      </c>
      <c r="Y56" s="2"/>
      <c r="Z56" s="6">
        <f t="shared" si="53"/>
        <v>-1</v>
      </c>
    </row>
    <row r="57" spans="1:26" s="27" customFormat="1" outlineLevel="1" collapsed="1" x14ac:dyDescent="0.25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0</v>
      </c>
      <c r="E57" s="1"/>
      <c r="F57" s="5">
        <f t="shared" si="46"/>
        <v>0</v>
      </c>
      <c r="G57" s="1"/>
      <c r="H57" s="1">
        <f>SUM(OSRRefH22_11x_0)</f>
        <v>379.64</v>
      </c>
      <c r="I57" s="1"/>
      <c r="J57" s="5">
        <f t="shared" si="47"/>
        <v>3.2010158528868286E-3</v>
      </c>
      <c r="K57" s="1"/>
      <c r="L57" s="1">
        <f t="shared" si="48"/>
        <v>-379.64</v>
      </c>
      <c r="M57" s="1"/>
      <c r="N57" s="5">
        <f t="shared" si="49"/>
        <v>-1</v>
      </c>
      <c r="O57" s="14"/>
      <c r="P57" s="1">
        <f>SUM(OSRRefP22_11x_0)</f>
        <v>0</v>
      </c>
      <c r="Q57" s="1"/>
      <c r="R57" s="5">
        <f t="shared" si="50"/>
        <v>0</v>
      </c>
      <c r="S57" s="1"/>
      <c r="T57" s="1">
        <f>SUM(OSRRefT22_11x_0)</f>
        <v>1091.58</v>
      </c>
      <c r="U57" s="1"/>
      <c r="V57" s="5">
        <f t="shared" si="51"/>
        <v>6.3789662764708426E-3</v>
      </c>
      <c r="W57" s="1"/>
      <c r="X57" s="1">
        <f t="shared" si="52"/>
        <v>-1091.58</v>
      </c>
      <c r="Y57" s="1"/>
      <c r="Z57" s="5">
        <f t="shared" si="53"/>
        <v>-1</v>
      </c>
    </row>
    <row r="58" spans="1:26" s="24" customFormat="1" hidden="1" outlineLevel="2" x14ac:dyDescent="0.25">
      <c r="A58" s="28"/>
      <c r="B58" s="11" t="str">
        <f>CONCATENATE("          ", "6282", " - ", "JANITORIAL/EXTERMINATOR EXPENS")</f>
        <v xml:space="preserve">          6282 - JANITORIAL/EXTERMINATOR EXPENS</v>
      </c>
      <c r="C58" s="11"/>
      <c r="D58" s="7"/>
      <c r="E58" s="2"/>
      <c r="F58" s="6">
        <f t="shared" si="46"/>
        <v>0</v>
      </c>
      <c r="G58" s="2"/>
      <c r="H58" s="7">
        <v>96.96</v>
      </c>
      <c r="I58" s="2"/>
      <c r="J58" s="6">
        <f t="shared" si="47"/>
        <v>8.1753897665131942E-4</v>
      </c>
      <c r="K58" s="2"/>
      <c r="L58" s="7">
        <f t="shared" si="48"/>
        <v>-96.96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290.88</v>
      </c>
      <c r="U58" s="2"/>
      <c r="V58" s="6">
        <f t="shared" si="51"/>
        <v>1.6998421650266942E-3</v>
      </c>
      <c r="W58" s="2"/>
      <c r="X58" s="7">
        <f t="shared" si="52"/>
        <v>-290.88</v>
      </c>
      <c r="Y58" s="2"/>
      <c r="Z58" s="6">
        <f t="shared" si="53"/>
        <v>-1</v>
      </c>
    </row>
    <row r="59" spans="1:26" s="24" customFormat="1" hidden="1" outlineLevel="2" x14ac:dyDescent="0.25">
      <c r="A59" s="28"/>
      <c r="B59" s="11" t="str">
        <f>CONCATENATE("          ", "6284", " - ", "TRASH REMOVAL EXPENSE")</f>
        <v xml:space="preserve">          6284 - TRASH REMOVAL EXPENSE</v>
      </c>
      <c r="C59" s="11"/>
      <c r="D59" s="7"/>
      <c r="E59" s="2"/>
      <c r="F59" s="6">
        <f t="shared" si="46"/>
        <v>0</v>
      </c>
      <c r="G59" s="2"/>
      <c r="H59" s="7"/>
      <c r="I59" s="2"/>
      <c r="J59" s="6">
        <f t="shared" si="47"/>
        <v>0</v>
      </c>
      <c r="K59" s="2"/>
      <c r="L59" s="7">
        <f t="shared" si="48"/>
        <v>0</v>
      </c>
      <c r="M59" s="2"/>
      <c r="N59" s="6">
        <f t="shared" si="49"/>
        <v>0</v>
      </c>
      <c r="O59" s="11"/>
      <c r="P59" s="7"/>
      <c r="Q59" s="2"/>
      <c r="R59" s="6">
        <f t="shared" si="50"/>
        <v>0</v>
      </c>
      <c r="S59" s="2"/>
      <c r="T59" s="7">
        <v>94</v>
      </c>
      <c r="U59" s="2"/>
      <c r="V59" s="6">
        <f t="shared" si="51"/>
        <v>5.4931643121737235E-4</v>
      </c>
      <c r="W59" s="2"/>
      <c r="X59" s="7">
        <f t="shared" si="52"/>
        <v>-94</v>
      </c>
      <c r="Y59" s="2"/>
      <c r="Z59" s="6">
        <f t="shared" si="53"/>
        <v>-1</v>
      </c>
    </row>
    <row r="60" spans="1:26" s="24" customFormat="1" hidden="1" outlineLevel="2" x14ac:dyDescent="0.25">
      <c r="A60" s="28"/>
      <c r="B60" s="11" t="str">
        <f>CONCATENATE("          ", "6286", " - ", "LAUNDRY EXPENSE")</f>
        <v xml:space="preserve">          6286 - LAUNDRY EXPENSE</v>
      </c>
      <c r="C60" s="11"/>
      <c r="D60" s="7"/>
      <c r="E60" s="2"/>
      <c r="F60" s="6">
        <f t="shared" si="46"/>
        <v>0</v>
      </c>
      <c r="G60" s="2"/>
      <c r="H60" s="7">
        <v>282.68</v>
      </c>
      <c r="I60" s="2"/>
      <c r="J60" s="6">
        <f t="shared" si="47"/>
        <v>2.3834768762355093E-3</v>
      </c>
      <c r="K60" s="2"/>
      <c r="L60" s="7">
        <f t="shared" si="48"/>
        <v>-282.68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706.7</v>
      </c>
      <c r="U60" s="2"/>
      <c r="V60" s="6">
        <f t="shared" si="51"/>
        <v>4.1298076802267769E-3</v>
      </c>
      <c r="W60" s="2"/>
      <c r="X60" s="7">
        <f t="shared" si="52"/>
        <v>-706.7</v>
      </c>
      <c r="Y60" s="2"/>
      <c r="Z60" s="6">
        <f t="shared" si="53"/>
        <v>-1</v>
      </c>
    </row>
    <row r="61" spans="1:26" s="27" customFormat="1" outlineLevel="1" collapsed="1" x14ac:dyDescent="0.25">
      <c r="A61" s="29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SUM(OSRRefD22_12x_0)</f>
        <v>0</v>
      </c>
      <c r="E61" s="1"/>
      <c r="F61" s="5">
        <f t="shared" ref="F61:F70" si="54">IF(D$12=0,0,D61/D$12)</f>
        <v>0</v>
      </c>
      <c r="G61" s="1"/>
      <c r="H61" s="1">
        <f>SUM(OSRRefH22_12x_0)</f>
        <v>30.68</v>
      </c>
      <c r="I61" s="1"/>
      <c r="J61" s="5">
        <f t="shared" ref="J61:J70" si="55">IF(H$12=0,0,H61/H$12)</f>
        <v>2.5868498147341666E-4</v>
      </c>
      <c r="K61" s="1"/>
      <c r="L61" s="1">
        <f t="shared" ref="L61:L70" si="56">+D61-H61</f>
        <v>-30.68</v>
      </c>
      <c r="M61" s="1"/>
      <c r="N61" s="5">
        <f t="shared" ref="N61:N70" si="57">IF(H61=0,0,L61/H61)</f>
        <v>-1</v>
      </c>
      <c r="O61" s="14"/>
      <c r="P61" s="1">
        <f>SUM(OSRRefP22_12x_0)</f>
        <v>0</v>
      </c>
      <c r="Q61" s="1"/>
      <c r="R61" s="5">
        <f t="shared" ref="R61:R70" si="58">IF(P$12=0,0,P61/P$12)</f>
        <v>0</v>
      </c>
      <c r="S61" s="1"/>
      <c r="T61" s="1">
        <f>SUM(OSRRefT22_12x_0)</f>
        <v>61.36</v>
      </c>
      <c r="U61" s="1"/>
      <c r="V61" s="5">
        <f t="shared" ref="V61:V70" si="59">IF(T$12=0,0,T61/T$12)</f>
        <v>3.5857506616487195E-4</v>
      </c>
      <c r="W61" s="1"/>
      <c r="X61" s="1">
        <f t="shared" ref="X61:X70" si="60">+P61-T61</f>
        <v>-61.36</v>
      </c>
      <c r="Y61" s="1"/>
      <c r="Z61" s="5">
        <f t="shared" ref="Z61:Z70" si="61">IF(T61=0,0,X61/T61)</f>
        <v>-1</v>
      </c>
    </row>
    <row r="62" spans="1:26" s="24" customFormat="1" hidden="1" outlineLevel="2" x14ac:dyDescent="0.25">
      <c r="A62" s="28"/>
      <c r="B62" s="11" t="str">
        <f>CONCATENATE("          ", "6275", " - ", "SUBSCRIPTIONS")</f>
        <v xml:space="preserve">          6275 - SUBSCRIPTIONS</v>
      </c>
      <c r="C62" s="11"/>
      <c r="D62" s="7"/>
      <c r="E62" s="2"/>
      <c r="F62" s="6">
        <f t="shared" si="54"/>
        <v>0</v>
      </c>
      <c r="G62" s="2"/>
      <c r="H62" s="7">
        <v>30.68</v>
      </c>
      <c r="I62" s="2"/>
      <c r="J62" s="6">
        <f t="shared" si="55"/>
        <v>2.5868498147341666E-4</v>
      </c>
      <c r="K62" s="2"/>
      <c r="L62" s="7">
        <f t="shared" si="56"/>
        <v>-30.68</v>
      </c>
      <c r="M62" s="2"/>
      <c r="N62" s="6">
        <f t="shared" si="57"/>
        <v>-1</v>
      </c>
      <c r="O62" s="11"/>
      <c r="P62" s="7"/>
      <c r="Q62" s="2"/>
      <c r="R62" s="6">
        <f t="shared" si="58"/>
        <v>0</v>
      </c>
      <c r="S62" s="2"/>
      <c r="T62" s="7">
        <v>61.36</v>
      </c>
      <c r="U62" s="2"/>
      <c r="V62" s="6">
        <f t="shared" si="59"/>
        <v>3.5857506616487195E-4</v>
      </c>
      <c r="W62" s="2"/>
      <c r="X62" s="7">
        <f t="shared" si="60"/>
        <v>-61.36</v>
      </c>
      <c r="Y62" s="2"/>
      <c r="Z62" s="6">
        <f t="shared" si="61"/>
        <v>-1</v>
      </c>
    </row>
    <row r="63" spans="1:26" s="27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SUM(OSRRefD22_13x_0)</f>
        <v>0</v>
      </c>
      <c r="E63" s="1"/>
      <c r="F63" s="5">
        <f t="shared" si="54"/>
        <v>0</v>
      </c>
      <c r="G63" s="1"/>
      <c r="H63" s="1">
        <f>SUM(OSRRefH22_13x_0)</f>
        <v>2255.35</v>
      </c>
      <c r="I63" s="1"/>
      <c r="J63" s="5">
        <f t="shared" si="55"/>
        <v>1.9016465872427325E-2</v>
      </c>
      <c r="K63" s="1"/>
      <c r="L63" s="1">
        <f t="shared" si="56"/>
        <v>-2255.35</v>
      </c>
      <c r="M63" s="1"/>
      <c r="N63" s="5">
        <f t="shared" si="57"/>
        <v>-1</v>
      </c>
      <c r="O63" s="14"/>
      <c r="P63" s="1">
        <f>SUM(OSRRefP22_13x_0)</f>
        <v>0</v>
      </c>
      <c r="Q63" s="1"/>
      <c r="R63" s="5">
        <f t="shared" si="58"/>
        <v>0</v>
      </c>
      <c r="S63" s="1"/>
      <c r="T63" s="1">
        <f>SUM(OSRRefT22_13x_0)</f>
        <v>6046.4600000000009</v>
      </c>
      <c r="U63" s="1"/>
      <c r="V63" s="5">
        <f t="shared" si="59"/>
        <v>3.5334253496793547E-2</v>
      </c>
      <c r="W63" s="1"/>
      <c r="X63" s="1">
        <f t="shared" si="60"/>
        <v>-6046.4600000000009</v>
      </c>
      <c r="Y63" s="1"/>
      <c r="Z63" s="5">
        <f t="shared" si="61"/>
        <v>-1</v>
      </c>
    </row>
    <row r="64" spans="1:26" s="24" customFormat="1" hidden="1" outlineLevel="2" x14ac:dyDescent="0.25">
      <c r="A64" s="28"/>
      <c r="B64" s="11" t="str">
        <f>CONCATENATE("          ", "6237", " - ", "JANITORIAL SUPPLIES")</f>
        <v xml:space="preserve">          6237 - JANITORIAL SUPPLIES</v>
      </c>
      <c r="C64" s="11"/>
      <c r="D64" s="7"/>
      <c r="E64" s="2"/>
      <c r="F64" s="6">
        <f t="shared" si="54"/>
        <v>0</v>
      </c>
      <c r="G64" s="2"/>
      <c r="H64" s="7">
        <v>274.91000000000003</v>
      </c>
      <c r="I64" s="2"/>
      <c r="J64" s="6">
        <f t="shared" si="55"/>
        <v>2.3179624594803451E-3</v>
      </c>
      <c r="K64" s="2"/>
      <c r="L64" s="7">
        <f t="shared" si="56"/>
        <v>-274.91000000000003</v>
      </c>
      <c r="M64" s="2"/>
      <c r="N64" s="6">
        <f t="shared" si="57"/>
        <v>-1</v>
      </c>
      <c r="O64" s="11"/>
      <c r="P64" s="7"/>
      <c r="Q64" s="2"/>
      <c r="R64" s="6">
        <f t="shared" si="58"/>
        <v>0</v>
      </c>
      <c r="S64" s="2"/>
      <c r="T64" s="7">
        <v>598.88</v>
      </c>
      <c r="U64" s="2"/>
      <c r="V64" s="6">
        <f t="shared" si="59"/>
        <v>3.499730046036808E-3</v>
      </c>
      <c r="W64" s="2"/>
      <c r="X64" s="7">
        <f t="shared" si="60"/>
        <v>-598.88</v>
      </c>
      <c r="Y64" s="2"/>
      <c r="Z64" s="6">
        <f t="shared" si="61"/>
        <v>-1</v>
      </c>
    </row>
    <row r="65" spans="1:26" s="24" customFormat="1" hidden="1" outlineLevel="2" x14ac:dyDescent="0.25">
      <c r="A65" s="28"/>
      <c r="B65" s="11" t="str">
        <f>CONCATENATE("          ", "6239", " - ", "KITCHEN SUPPLIES")</f>
        <v xml:space="preserve">          6239 - KITCHEN SUPPLIES</v>
      </c>
      <c r="C65" s="11"/>
      <c r="D65" s="7"/>
      <c r="E65" s="2"/>
      <c r="F65" s="6">
        <f t="shared" si="54"/>
        <v>0</v>
      </c>
      <c r="G65" s="2"/>
      <c r="H65" s="7">
        <v>950.73</v>
      </c>
      <c r="I65" s="2"/>
      <c r="J65" s="6">
        <f t="shared" si="55"/>
        <v>8.0162833258220819E-3</v>
      </c>
      <c r="K65" s="2"/>
      <c r="L65" s="7">
        <f t="shared" si="56"/>
        <v>-950.73</v>
      </c>
      <c r="M65" s="2"/>
      <c r="N65" s="6">
        <f t="shared" si="57"/>
        <v>-1</v>
      </c>
      <c r="O65" s="11"/>
      <c r="P65" s="7"/>
      <c r="Q65" s="2"/>
      <c r="R65" s="6">
        <f t="shared" si="58"/>
        <v>0</v>
      </c>
      <c r="S65" s="2"/>
      <c r="T65" s="7">
        <v>3118.7</v>
      </c>
      <c r="U65" s="2"/>
      <c r="V65" s="6">
        <f t="shared" si="59"/>
        <v>1.8225033553591691E-2</v>
      </c>
      <c r="W65" s="2"/>
      <c r="X65" s="7">
        <f t="shared" si="60"/>
        <v>-3118.7</v>
      </c>
      <c r="Y65" s="2"/>
      <c r="Z65" s="6">
        <f t="shared" si="61"/>
        <v>-1</v>
      </c>
    </row>
    <row r="66" spans="1:26" s="24" customFormat="1" hidden="1" outlineLevel="2" x14ac:dyDescent="0.25">
      <c r="A66" s="28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4"/>
        <v>0</v>
      </c>
      <c r="G66" s="2"/>
      <c r="H66" s="7">
        <v>482.31</v>
      </c>
      <c r="I66" s="2"/>
      <c r="J66" s="6">
        <f t="shared" si="55"/>
        <v>4.0666999157250201E-3</v>
      </c>
      <c r="K66" s="2"/>
      <c r="L66" s="7">
        <f t="shared" si="56"/>
        <v>-482.31</v>
      </c>
      <c r="M66" s="2"/>
      <c r="N66" s="6">
        <f t="shared" si="57"/>
        <v>-1</v>
      </c>
      <c r="O66" s="11"/>
      <c r="P66" s="7"/>
      <c r="Q66" s="2"/>
      <c r="R66" s="6">
        <f t="shared" si="58"/>
        <v>0</v>
      </c>
      <c r="S66" s="2"/>
      <c r="T66" s="7">
        <v>668.18</v>
      </c>
      <c r="U66" s="2"/>
      <c r="V66" s="6">
        <f t="shared" si="59"/>
        <v>3.904704819264083E-3</v>
      </c>
      <c r="W66" s="2"/>
      <c r="X66" s="7">
        <f t="shared" si="60"/>
        <v>-668.18</v>
      </c>
      <c r="Y66" s="2"/>
      <c r="Z66" s="6">
        <f t="shared" si="61"/>
        <v>-1</v>
      </c>
    </row>
    <row r="67" spans="1:26" s="24" customFormat="1" hidden="1" outlineLevel="2" x14ac:dyDescent="0.25">
      <c r="A67" s="28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4"/>
        <v>0</v>
      </c>
      <c r="G67" s="2"/>
      <c r="H67" s="7">
        <v>255.85</v>
      </c>
      <c r="I67" s="2"/>
      <c r="J67" s="6">
        <f t="shared" si="55"/>
        <v>2.1572539931542915E-3</v>
      </c>
      <c r="K67" s="2"/>
      <c r="L67" s="7">
        <f t="shared" si="56"/>
        <v>-255.85</v>
      </c>
      <c r="M67" s="2"/>
      <c r="N67" s="6">
        <f t="shared" si="57"/>
        <v>-1</v>
      </c>
      <c r="O67" s="11"/>
      <c r="P67" s="7"/>
      <c r="Q67" s="2"/>
      <c r="R67" s="6">
        <f t="shared" si="58"/>
        <v>0</v>
      </c>
      <c r="S67" s="2"/>
      <c r="T67" s="7">
        <v>2299.34</v>
      </c>
      <c r="U67" s="2"/>
      <c r="V67" s="6">
        <f t="shared" si="59"/>
        <v>1.3436864286759075E-2</v>
      </c>
      <c r="W67" s="2"/>
      <c r="X67" s="7">
        <f t="shared" si="60"/>
        <v>-2299.34</v>
      </c>
      <c r="Y67" s="2"/>
      <c r="Z67" s="6">
        <f t="shared" si="61"/>
        <v>-1</v>
      </c>
    </row>
    <row r="68" spans="1:26" s="24" customFormat="1" hidden="1" outlineLevel="2" x14ac:dyDescent="0.25">
      <c r="A68" s="28"/>
      <c r="B68" s="11" t="str">
        <f>CONCATENATE("          ", "6245", " - ", "PRINTING")</f>
        <v xml:space="preserve">          6245 - PRINTING</v>
      </c>
      <c r="C68" s="11"/>
      <c r="D68" s="7"/>
      <c r="E68" s="2"/>
      <c r="F68" s="6">
        <f t="shared" si="54"/>
        <v>0</v>
      </c>
      <c r="G68" s="2"/>
      <c r="H68" s="7"/>
      <c r="I68" s="2"/>
      <c r="J68" s="6">
        <f t="shared" si="55"/>
        <v>0</v>
      </c>
      <c r="K68" s="2"/>
      <c r="L68" s="7">
        <f t="shared" si="56"/>
        <v>0</v>
      </c>
      <c r="M68" s="2"/>
      <c r="N68" s="6">
        <f t="shared" si="57"/>
        <v>0</v>
      </c>
      <c r="O68" s="11"/>
      <c r="P68" s="7"/>
      <c r="Q68" s="2"/>
      <c r="R68" s="6">
        <f t="shared" si="58"/>
        <v>0</v>
      </c>
      <c r="S68" s="2"/>
      <c r="T68" s="7">
        <v>23.01</v>
      </c>
      <c r="U68" s="2"/>
      <c r="V68" s="6">
        <f t="shared" si="59"/>
        <v>1.3446564981182699E-4</v>
      </c>
      <c r="W68" s="2"/>
      <c r="X68" s="7">
        <f t="shared" si="60"/>
        <v>-23.01</v>
      </c>
      <c r="Y68" s="2"/>
      <c r="Z68" s="6">
        <f t="shared" si="61"/>
        <v>-1</v>
      </c>
    </row>
    <row r="69" spans="1:26" s="24" customFormat="1" hidden="1" outlineLevel="2" x14ac:dyDescent="0.25">
      <c r="A69" s="28"/>
      <c r="B69" s="11" t="str">
        <f>CONCATENATE("          ", "6247", " - ", "STORE SUPPLIES")</f>
        <v xml:space="preserve">          6247 - STORE SUPPLIES</v>
      </c>
      <c r="C69" s="11"/>
      <c r="D69" s="7"/>
      <c r="E69" s="2"/>
      <c r="F69" s="6">
        <f t="shared" si="54"/>
        <v>0</v>
      </c>
      <c r="G69" s="2"/>
      <c r="H69" s="7">
        <v>291.55</v>
      </c>
      <c r="I69" s="2"/>
      <c r="J69" s="6">
        <f t="shared" si="55"/>
        <v>2.4582661782455882E-3</v>
      </c>
      <c r="K69" s="2"/>
      <c r="L69" s="7">
        <f t="shared" si="56"/>
        <v>-291.55</v>
      </c>
      <c r="M69" s="2"/>
      <c r="N69" s="6">
        <f t="shared" si="57"/>
        <v>-1</v>
      </c>
      <c r="O69" s="11"/>
      <c r="P69" s="7"/>
      <c r="Q69" s="2"/>
      <c r="R69" s="6">
        <f t="shared" si="58"/>
        <v>0</v>
      </c>
      <c r="S69" s="2"/>
      <c r="T69" s="7">
        <v>-679.25</v>
      </c>
      <c r="U69" s="2"/>
      <c r="V69" s="6">
        <f t="shared" si="59"/>
        <v>-3.9693955947276609E-3</v>
      </c>
      <c r="W69" s="2"/>
      <c r="X69" s="7">
        <f t="shared" si="60"/>
        <v>679.25</v>
      </c>
      <c r="Y69" s="2"/>
      <c r="Z69" s="6">
        <f t="shared" si="61"/>
        <v>-1</v>
      </c>
    </row>
    <row r="70" spans="1:26" s="24" customFormat="1" hidden="1" outlineLevel="2" x14ac:dyDescent="0.25">
      <c r="A70" s="28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17.600000000000001</v>
      </c>
      <c r="U70" s="2"/>
      <c r="V70" s="6">
        <f t="shared" si="59"/>
        <v>1.0285073605772079E-4</v>
      </c>
      <c r="W70" s="2"/>
      <c r="X70" s="7">
        <f t="shared" si="60"/>
        <v>-17.600000000000001</v>
      </c>
      <c r="Y70" s="2"/>
      <c r="Z70" s="6">
        <f t="shared" si="61"/>
        <v>-1</v>
      </c>
    </row>
    <row r="71" spans="1:26" s="27" customFormat="1" outlineLevel="1" collapsed="1" x14ac:dyDescent="0.25">
      <c r="A71" s="29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0</v>
      </c>
      <c r="E71" s="1"/>
      <c r="F71" s="5">
        <f t="shared" ref="F71:F76" si="62">IF(D$12=0,0,D71/D$12)</f>
        <v>0</v>
      </c>
      <c r="G71" s="1"/>
      <c r="H71" s="1">
        <f>SUM(OSRRefH22_14x_0)</f>
        <v>100</v>
      </c>
      <c r="I71" s="1"/>
      <c r="J71" s="5">
        <f t="shared" ref="J71:J76" si="63">IF(H$12=0,0,H71/H$12)</f>
        <v>8.4317138681035424E-4</v>
      </c>
      <c r="K71" s="1"/>
      <c r="L71" s="1">
        <f t="shared" ref="L71:L76" si="64">+D71-H71</f>
        <v>-100</v>
      </c>
      <c r="M71" s="1"/>
      <c r="N71" s="5">
        <f t="shared" ref="N71:N76" si="65">IF(H71=0,0,L71/H71)</f>
        <v>-1</v>
      </c>
      <c r="O71" s="14"/>
      <c r="P71" s="1">
        <f>SUM(OSRRefP22_14x_0)</f>
        <v>69</v>
      </c>
      <c r="Q71" s="1"/>
      <c r="R71" s="5">
        <f t="shared" ref="R71:R76" si="66">IF(P$12=0,0,P71/P$12)</f>
        <v>0</v>
      </c>
      <c r="S71" s="1"/>
      <c r="T71" s="1">
        <f>SUM(OSRRefT22_14x_0)</f>
        <v>267.95</v>
      </c>
      <c r="U71" s="1"/>
      <c r="V71" s="5">
        <f t="shared" ref="V71:V76" si="67">IF(T$12=0,0,T71/T$12)</f>
        <v>1.5658440185605841E-3</v>
      </c>
      <c r="W71" s="1"/>
      <c r="X71" s="1">
        <f t="shared" ref="X71:X76" si="68">+P71-T71</f>
        <v>-198.95</v>
      </c>
      <c r="Y71" s="1"/>
      <c r="Z71" s="5">
        <f t="shared" ref="Z71:Z76" si="69">IF(T71=0,0,X71/T71)</f>
        <v>-0.74248927038626611</v>
      </c>
    </row>
    <row r="72" spans="1:26" s="24" customFormat="1" hidden="1" outlineLevel="2" x14ac:dyDescent="0.25">
      <c r="A72" s="28"/>
      <c r="B72" s="11" t="str">
        <f>CONCATENATE("          ", "6309", " - ", "TELEPHONE")</f>
        <v xml:space="preserve">          6309 - TELEPHONE</v>
      </c>
      <c r="C72" s="11"/>
      <c r="D72" s="7"/>
      <c r="E72" s="2"/>
      <c r="F72" s="6">
        <f t="shared" si="62"/>
        <v>0</v>
      </c>
      <c r="G72" s="2"/>
      <c r="H72" s="7">
        <v>100</v>
      </c>
      <c r="I72" s="2"/>
      <c r="J72" s="6">
        <f t="shared" si="63"/>
        <v>8.4317138681035424E-4</v>
      </c>
      <c r="K72" s="2"/>
      <c r="L72" s="7">
        <f t="shared" si="64"/>
        <v>-100</v>
      </c>
      <c r="M72" s="2"/>
      <c r="N72" s="6">
        <f t="shared" si="65"/>
        <v>-1</v>
      </c>
      <c r="O72" s="11"/>
      <c r="P72" s="7">
        <v>69</v>
      </c>
      <c r="Q72" s="2"/>
      <c r="R72" s="6">
        <f t="shared" si="66"/>
        <v>0</v>
      </c>
      <c r="S72" s="2"/>
      <c r="T72" s="7">
        <v>267.95</v>
      </c>
      <c r="U72" s="2"/>
      <c r="V72" s="6">
        <f t="shared" si="67"/>
        <v>1.5658440185605841E-3</v>
      </c>
      <c r="W72" s="2"/>
      <c r="X72" s="7">
        <f t="shared" si="68"/>
        <v>-198.95</v>
      </c>
      <c r="Y72" s="2"/>
      <c r="Z72" s="6">
        <f t="shared" si="69"/>
        <v>-0.74248927038626611</v>
      </c>
    </row>
    <row r="73" spans="1:26" s="27" customFormat="1" outlineLevel="1" collapsed="1" x14ac:dyDescent="0.25">
      <c r="A73" s="29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SUM(OSRRefD22_15x_0)</f>
        <v>0</v>
      </c>
      <c r="E73" s="1"/>
      <c r="F73" s="5">
        <f t="shared" si="62"/>
        <v>0</v>
      </c>
      <c r="G73" s="1"/>
      <c r="H73" s="1">
        <f>SUM(OSRRefH22_15x_0)</f>
        <v>142.69999999999999</v>
      </c>
      <c r="I73" s="1"/>
      <c r="J73" s="5">
        <f t="shared" si="63"/>
        <v>1.2032055689783754E-3</v>
      </c>
      <c r="K73" s="1"/>
      <c r="L73" s="1">
        <f t="shared" si="64"/>
        <v>-142.69999999999999</v>
      </c>
      <c r="M73" s="1"/>
      <c r="N73" s="5">
        <f t="shared" si="65"/>
        <v>-1</v>
      </c>
      <c r="O73" s="14"/>
      <c r="P73" s="1">
        <f>SUM(OSRRefP22_15x_0)</f>
        <v>0</v>
      </c>
      <c r="Q73" s="1"/>
      <c r="R73" s="5">
        <f t="shared" si="66"/>
        <v>0</v>
      </c>
      <c r="S73" s="1"/>
      <c r="T73" s="1">
        <f>SUM(OSRRefT22_15x_0)</f>
        <v>380.65</v>
      </c>
      <c r="U73" s="1"/>
      <c r="V73" s="5">
        <f t="shared" si="67"/>
        <v>2.2244393568392846E-3</v>
      </c>
      <c r="W73" s="1"/>
      <c r="X73" s="1">
        <f t="shared" si="68"/>
        <v>-380.65</v>
      </c>
      <c r="Y73" s="1"/>
      <c r="Z73" s="5">
        <f t="shared" si="69"/>
        <v>-1</v>
      </c>
    </row>
    <row r="74" spans="1:26" s="24" customFormat="1" hidden="1" outlineLevel="2" x14ac:dyDescent="0.25">
      <c r="A74" s="28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62"/>
        <v>0</v>
      </c>
      <c r="G74" s="2"/>
      <c r="H74" s="7">
        <v>142.69999999999999</v>
      </c>
      <c r="I74" s="2"/>
      <c r="J74" s="6">
        <f t="shared" si="63"/>
        <v>1.2032055689783754E-3</v>
      </c>
      <c r="K74" s="2"/>
      <c r="L74" s="7">
        <f t="shared" si="64"/>
        <v>-142.69999999999999</v>
      </c>
      <c r="M74" s="2"/>
      <c r="N74" s="6">
        <f t="shared" si="65"/>
        <v>-1</v>
      </c>
      <c r="O74" s="11"/>
      <c r="P74" s="7"/>
      <c r="Q74" s="2"/>
      <c r="R74" s="6">
        <f t="shared" si="66"/>
        <v>0</v>
      </c>
      <c r="S74" s="2"/>
      <c r="T74" s="7">
        <v>380.65</v>
      </c>
      <c r="U74" s="2"/>
      <c r="V74" s="6">
        <f t="shared" si="67"/>
        <v>2.2244393568392846E-3</v>
      </c>
      <c r="W74" s="2"/>
      <c r="X74" s="7">
        <f t="shared" si="68"/>
        <v>-380.65</v>
      </c>
      <c r="Y74" s="2"/>
      <c r="Z74" s="6">
        <f t="shared" si="69"/>
        <v>-1</v>
      </c>
    </row>
    <row r="75" spans="1:26" s="27" customFormat="1" outlineLevel="1" collapsed="1" x14ac:dyDescent="0.25">
      <c r="A75" s="29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SUM(OSRRefD22_16x_0)</f>
        <v>0</v>
      </c>
      <c r="E75" s="1"/>
      <c r="F75" s="5">
        <f t="shared" si="62"/>
        <v>0</v>
      </c>
      <c r="G75" s="1"/>
      <c r="H75" s="1">
        <f>SUM(OSRRefH22_16x_0)</f>
        <v>400</v>
      </c>
      <c r="I75" s="1"/>
      <c r="J75" s="5">
        <f t="shared" si="63"/>
        <v>3.3726855472414169E-3</v>
      </c>
      <c r="K75" s="1"/>
      <c r="L75" s="1">
        <f t="shared" si="64"/>
        <v>-400</v>
      </c>
      <c r="M75" s="1"/>
      <c r="N75" s="5">
        <f t="shared" si="65"/>
        <v>-1</v>
      </c>
      <c r="O75" s="14"/>
      <c r="P75" s="1">
        <f>SUM(OSRRefP22_16x_0)</f>
        <v>0</v>
      </c>
      <c r="Q75" s="1"/>
      <c r="R75" s="5">
        <f t="shared" si="66"/>
        <v>0</v>
      </c>
      <c r="S75" s="1"/>
      <c r="T75" s="1">
        <f>SUM(OSRRefT22_16x_0)</f>
        <v>706</v>
      </c>
      <c r="U75" s="1"/>
      <c r="V75" s="5">
        <f t="shared" si="67"/>
        <v>4.1257170259517539E-3</v>
      </c>
      <c r="W75" s="1"/>
      <c r="X75" s="1">
        <f t="shared" si="68"/>
        <v>-706</v>
      </c>
      <c r="Y75" s="1"/>
      <c r="Z75" s="5">
        <f t="shared" si="69"/>
        <v>-1</v>
      </c>
    </row>
    <row r="76" spans="1:26" s="24" customFormat="1" hidden="1" outlineLevel="2" x14ac:dyDescent="0.25">
      <c r="A76" s="28"/>
      <c r="B76" s="11" t="str">
        <f>CONCATENATE("          ", "6274", " - ", "UTILITIES")</f>
        <v xml:space="preserve">          6274 - UTILITIES</v>
      </c>
      <c r="C76" s="11"/>
      <c r="D76" s="7"/>
      <c r="E76" s="2"/>
      <c r="F76" s="6">
        <f t="shared" si="62"/>
        <v>0</v>
      </c>
      <c r="G76" s="2"/>
      <c r="H76" s="7">
        <v>400</v>
      </c>
      <c r="I76" s="2"/>
      <c r="J76" s="6">
        <f t="shared" si="63"/>
        <v>3.3726855472414169E-3</v>
      </c>
      <c r="K76" s="2"/>
      <c r="L76" s="7">
        <f t="shared" si="64"/>
        <v>-400</v>
      </c>
      <c r="M76" s="2"/>
      <c r="N76" s="6">
        <f t="shared" si="65"/>
        <v>-1</v>
      </c>
      <c r="O76" s="11"/>
      <c r="P76" s="7"/>
      <c r="Q76" s="2"/>
      <c r="R76" s="6">
        <f t="shared" si="66"/>
        <v>0</v>
      </c>
      <c r="S76" s="2"/>
      <c r="T76" s="7">
        <v>706</v>
      </c>
      <c r="U76" s="2"/>
      <c r="V76" s="6">
        <f t="shared" si="67"/>
        <v>4.1257170259517539E-3</v>
      </c>
      <c r="W76" s="2"/>
      <c r="X76" s="7">
        <f t="shared" si="68"/>
        <v>-706</v>
      </c>
      <c r="Y76" s="2"/>
      <c r="Z76" s="6">
        <f t="shared" si="69"/>
        <v>-1</v>
      </c>
    </row>
    <row r="77" spans="1:26" s="60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6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2">
        <f>+D20-D22+D78</f>
        <v>-11248.7</v>
      </c>
      <c r="E80" s="13"/>
      <c r="F80" s="21">
        <f>IF(D$12=0,0,D80/D$12)</f>
        <v>0</v>
      </c>
      <c r="G80" s="13"/>
      <c r="H80" s="22">
        <f>+H20-H22+H78</f>
        <v>-4713.1700000000055</v>
      </c>
      <c r="I80" s="13"/>
      <c r="J80" s="21">
        <f>IF(H$12=0,0,H80/H$12)</f>
        <v>-3.9740100851729618E-2</v>
      </c>
      <c r="K80" s="15"/>
      <c r="L80" s="22">
        <f>+D80-H80</f>
        <v>-6535.5299999999952</v>
      </c>
      <c r="M80" s="15"/>
      <c r="N80" s="21">
        <f>IF(H80=0,0,L80/H80)</f>
        <v>1.3866527199315932</v>
      </c>
      <c r="O80" s="26"/>
      <c r="P80" s="22">
        <f>+P20-P22+P78</f>
        <v>-22398.399999999998</v>
      </c>
      <c r="Q80" s="13"/>
      <c r="R80" s="21">
        <f>IF(P$12=0,0,P80/P$12)</f>
        <v>0</v>
      </c>
      <c r="S80" s="13"/>
      <c r="T80" s="22">
        <f>+T20-T22+T78</f>
        <v>-59063.680000000037</v>
      </c>
      <c r="U80" s="13"/>
      <c r="V80" s="21">
        <f>IF(T$12=0,0,T80/T$12)</f>
        <v>-0.34515585012941391</v>
      </c>
      <c r="W80" s="15"/>
      <c r="X80" s="22">
        <f>+P80-T80</f>
        <v>36665.280000000042</v>
      </c>
      <c r="Y80" s="15"/>
      <c r="Z80" s="21">
        <f>IF(T80=0,0,X80/T80)</f>
        <v>-0.62077540715377066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11832.22</v>
      </c>
      <c r="I82" s="4"/>
      <c r="J82" s="12">
        <f>IF(H$12=0,0,H82/H$12)</f>
        <v>9.9765893464452096E-2</v>
      </c>
      <c r="K82" s="4"/>
      <c r="L82" s="4">
        <f>+D82-H82</f>
        <v>-11832.22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18380.75</v>
      </c>
      <c r="U82" s="4"/>
      <c r="V82" s="12">
        <f>IF(T$12=0,0,T82/T$12)</f>
        <v>0.10741327652232677</v>
      </c>
      <c r="W82" s="4"/>
      <c r="X82" s="4">
        <f>+P82-T82</f>
        <v>-18380.75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3">
        <f>+D80-D82</f>
        <v>-11248.7</v>
      </c>
      <c r="E84" s="13"/>
      <c r="F84" s="32">
        <f>IF(D$12=0,0,D84/D$12)</f>
        <v>0</v>
      </c>
      <c r="G84" s="13"/>
      <c r="H84" s="33">
        <f>+H80-H82</f>
        <v>-16545.390000000007</v>
      </c>
      <c r="I84" s="13"/>
      <c r="J84" s="32">
        <f>IF(H$12=0,0,H84/H$12)</f>
        <v>-0.13950599431618174</v>
      </c>
      <c r="K84" s="15"/>
      <c r="L84" s="33">
        <f>D84-H84</f>
        <v>5296.690000000006</v>
      </c>
      <c r="M84" s="15"/>
      <c r="N84" s="32">
        <f>IF(H84=0,0,L84/H84)</f>
        <v>-0.32013086424677833</v>
      </c>
      <c r="O84" s="26"/>
      <c r="P84" s="33">
        <f>+P80-P82</f>
        <v>-22398.399999999998</v>
      </c>
      <c r="Q84" s="13"/>
      <c r="R84" s="32">
        <f>IF(P$12=0,0,P84/P$12)</f>
        <v>0</v>
      </c>
      <c r="S84" s="13"/>
      <c r="T84" s="33">
        <f>+T80-T82</f>
        <v>-77444.430000000037</v>
      </c>
      <c r="U84" s="13"/>
      <c r="V84" s="32">
        <f>IF(T$12=0,0,T84/T$12)</f>
        <v>-0.45256912665174071</v>
      </c>
      <c r="W84" s="15"/>
      <c r="X84" s="33">
        <f>P84-T84</f>
        <v>55046.030000000042</v>
      </c>
      <c r="Y84" s="15"/>
      <c r="Z84" s="32">
        <f>IF(T84=0,0,X84/T84)</f>
        <v>-0.710781007749686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4">
        <f>SUM(D84:D86)</f>
        <v>-11248.7</v>
      </c>
      <c r="E87" s="13"/>
      <c r="F87" s="31">
        <f>IF(D$12=0,0,D87/D$12)</f>
        <v>0</v>
      </c>
      <c r="G87" s="13"/>
      <c r="H87" s="34">
        <f>SUM(H84:H86)</f>
        <v>-16545.390000000007</v>
      </c>
      <c r="I87" s="13"/>
      <c r="J87" s="31">
        <f>IF(H$12=0,0,H87/H$12)</f>
        <v>-0.13950599431618174</v>
      </c>
      <c r="K87" s="15"/>
      <c r="L87" s="34">
        <f>+D87-H87</f>
        <v>5296.690000000006</v>
      </c>
      <c r="M87" s="15"/>
      <c r="N87" s="31">
        <f>IF(H87=0,0,L87/H87)</f>
        <v>-0.32013086424677833</v>
      </c>
      <c r="O87" s="26"/>
      <c r="P87" s="34">
        <f>SUM(P84:P86)</f>
        <v>-22398.399999999998</v>
      </c>
      <c r="Q87" s="13"/>
      <c r="R87" s="31">
        <f>IF(P$12=0,0,P87/P$12)</f>
        <v>0</v>
      </c>
      <c r="S87" s="13"/>
      <c r="T87" s="34">
        <f>SUM(T84:T86)</f>
        <v>-77444.430000000037</v>
      </c>
      <c r="U87" s="13"/>
      <c r="V87" s="31">
        <f>IF(T$12=0,0,T87/T$12)</f>
        <v>-0.45256912665174071</v>
      </c>
      <c r="W87" s="15"/>
      <c r="X87" s="34">
        <f>+P87-T87</f>
        <v>55046.030000000042</v>
      </c>
      <c r="Y87" s="15"/>
      <c r="Z87" s="31">
        <f>IF(T87=0,0,X87/T87)</f>
        <v>-0.710781007749686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4">
        <v>44123.565516863426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9" t="s">
        <v>313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8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297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40021.279999999999</v>
      </c>
      <c r="I12" s="4"/>
      <c r="J12" s="12"/>
      <c r="K12" s="4"/>
      <c r="L12" s="4">
        <f t="shared" ref="L12:L14" si="0">+D12-H12</f>
        <v>-40021.279999999999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55741.31</v>
      </c>
      <c r="U12" s="4"/>
      <c r="V12" s="12"/>
      <c r="W12" s="4"/>
      <c r="X12" s="4">
        <f t="shared" ref="X12:X14" si="2">+P12-T12</f>
        <v>-55741.31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--10594.32</f>
        <v>10594.32</v>
      </c>
      <c r="I13" s="2"/>
      <c r="J13" s="19"/>
      <c r="K13" s="2"/>
      <c r="L13" s="2">
        <f t="shared" si="0"/>
        <v>-10594.32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--14489.25</f>
        <v>14489.25</v>
      </c>
      <c r="U13" s="2"/>
      <c r="V13" s="19"/>
      <c r="W13" s="2"/>
      <c r="X13" s="2">
        <f t="shared" si="2"/>
        <v>-14489.25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--29426.96</f>
        <v>29426.959999999999</v>
      </c>
      <c r="I14" s="2"/>
      <c r="J14" s="19"/>
      <c r="K14" s="2"/>
      <c r="L14" s="2">
        <f t="shared" si="0"/>
        <v>-29426.959999999999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--41252.06</f>
        <v>41252.06</v>
      </c>
      <c r="U14" s="2"/>
      <c r="V14" s="19"/>
      <c r="W14" s="2"/>
      <c r="X14" s="2">
        <f t="shared" si="2"/>
        <v>-41252.06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13715.14</v>
      </c>
      <c r="I16" s="4"/>
      <c r="J16" s="12">
        <f t="shared" ref="J16:J18" si="7">IF(H$12=0,0,H16/H$12)</f>
        <v>0.34269618562924525</v>
      </c>
      <c r="K16" s="4"/>
      <c r="L16" s="4">
        <f t="shared" ref="L16:L18" si="8">+D16-H16</f>
        <v>-13715.14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18745.830000000002</v>
      </c>
      <c r="U16" s="4"/>
      <c r="V16" s="12">
        <f t="shared" ref="V16:V18" si="11">IF(T$12=0,0,T16/T$12)</f>
        <v>0.33630049239962251</v>
      </c>
      <c r="W16" s="4"/>
      <c r="X16" s="4">
        <f t="shared" ref="X16:X18" si="12">+P16-T16</f>
        <v>-18745.830000000002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12440.14</v>
      </c>
      <c r="I17" s="2"/>
      <c r="J17" s="19">
        <f t="shared" si="7"/>
        <v>0.31083813411265204</v>
      </c>
      <c r="K17" s="2"/>
      <c r="L17" s="2">
        <f t="shared" si="8"/>
        <v>-12440.14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22830.83</v>
      </c>
      <c r="U17" s="2"/>
      <c r="V17" s="19">
        <f t="shared" si="11"/>
        <v>0.40958545825349285</v>
      </c>
      <c r="W17" s="2"/>
      <c r="X17" s="2">
        <f t="shared" si="12"/>
        <v>-22830.83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1275</v>
      </c>
      <c r="I18" s="2"/>
      <c r="J18" s="19">
        <f t="shared" si="7"/>
        <v>3.1858051516593176E-2</v>
      </c>
      <c r="K18" s="2"/>
      <c r="L18" s="2">
        <f t="shared" si="8"/>
        <v>-1275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-4085</v>
      </c>
      <c r="U18" s="2"/>
      <c r="V18" s="19">
        <f t="shared" si="11"/>
        <v>-7.3284965853870315E-2</v>
      </c>
      <c r="W18" s="2"/>
      <c r="X18" s="2">
        <f t="shared" si="12"/>
        <v>4085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26306.14</v>
      </c>
      <c r="I20" s="13"/>
      <c r="J20" s="21">
        <f>IF(H$12=0,0,H20/H$12)</f>
        <v>0.6573038143707548</v>
      </c>
      <c r="K20" s="15"/>
      <c r="L20" s="22">
        <f>+D20-H20</f>
        <v>-26306.14</v>
      </c>
      <c r="M20" s="15"/>
      <c r="N20" s="21">
        <f>IF(H20=0,0,L20/H20)</f>
        <v>-1</v>
      </c>
      <c r="O20" s="26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36995.479999999996</v>
      </c>
      <c r="U20" s="13"/>
      <c r="V20" s="21">
        <f>IF(T$12=0,0,T20/T$12)</f>
        <v>0.66369950760037744</v>
      </c>
      <c r="W20" s="15"/>
      <c r="X20" s="22">
        <f>+P20-T20</f>
        <v>-36995.479999999996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188.84</v>
      </c>
      <c r="E22" s="20"/>
      <c r="F22" s="36">
        <f t="shared" ref="F22:F31" si="14">IF(D$12=0,0,D22/D$12)</f>
        <v>0</v>
      </c>
      <c r="G22" s="20"/>
      <c r="H22" s="20">
        <f>SUM(OSRRefH22x_0)</f>
        <v>27255.25</v>
      </c>
      <c r="I22" s="20"/>
      <c r="J22" s="36">
        <f t="shared" ref="J22:J31" si="15">IF(H$12=0,0,H22/H$12)</f>
        <v>0.68101894791970674</v>
      </c>
      <c r="K22" s="4"/>
      <c r="L22" s="20">
        <f t="shared" ref="L22:L31" si="16">+D22-H22</f>
        <v>-27066.41</v>
      </c>
      <c r="M22" s="4"/>
      <c r="N22" s="36">
        <f t="shared" ref="N22:N31" si="17">IF(H22=0,0,L22/H22)</f>
        <v>-0.99307142660588321</v>
      </c>
      <c r="O22" s="10"/>
      <c r="P22" s="20">
        <f>SUM(OSRRefP22x_0)</f>
        <v>1303.3600000000001</v>
      </c>
      <c r="Q22" s="20"/>
      <c r="R22" s="36">
        <f t="shared" ref="R22:R31" si="18">IF(P$12=0,0,P22/P$12)</f>
        <v>0</v>
      </c>
      <c r="S22" s="20"/>
      <c r="T22" s="20">
        <f>SUM(OSRRefT22x_0)</f>
        <v>59081.5</v>
      </c>
      <c r="U22" s="20"/>
      <c r="V22" s="36">
        <f t="shared" ref="V22:V31" si="19">IF(T$12=0,0,T22/T$12)</f>
        <v>1.0599230624468639</v>
      </c>
      <c r="W22" s="4"/>
      <c r="X22" s="20">
        <f t="shared" ref="X22:X31" si="20">+P22-T22</f>
        <v>-57778.14</v>
      </c>
      <c r="Y22" s="4"/>
      <c r="Z22" s="36">
        <f t="shared" ref="Z22:Z31" si="21">IF(T22=0,0,X22/T22)</f>
        <v>-0.97793962577118043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2224.2400000000002</v>
      </c>
      <c r="I23" s="1"/>
      <c r="J23" s="5">
        <f t="shared" si="15"/>
        <v>5.5576433337464475E-2</v>
      </c>
      <c r="K23" s="1"/>
      <c r="L23" s="1">
        <f t="shared" si="16"/>
        <v>-2224.2400000000002</v>
      </c>
      <c r="M23" s="1"/>
      <c r="N23" s="5">
        <f t="shared" si="17"/>
        <v>-1</v>
      </c>
      <c r="O23" s="14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6003.0300000000007</v>
      </c>
      <c r="U23" s="1"/>
      <c r="V23" s="5">
        <f t="shared" si="19"/>
        <v>0.10769445497423726</v>
      </c>
      <c r="W23" s="1"/>
      <c r="X23" s="1">
        <f t="shared" si="20"/>
        <v>-5342.2300000000005</v>
      </c>
      <c r="Y23" s="1"/>
      <c r="Z23" s="5">
        <f t="shared" si="21"/>
        <v>-0.88992225592742324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673.62</v>
      </c>
      <c r="I24" s="2"/>
      <c r="J24" s="6">
        <f t="shared" si="15"/>
        <v>1.6831545617731366E-2</v>
      </c>
      <c r="K24" s="2"/>
      <c r="L24" s="7">
        <f t="shared" si="16"/>
        <v>-673.62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1720.96</v>
      </c>
      <c r="U24" s="2"/>
      <c r="V24" s="6">
        <f t="shared" si="19"/>
        <v>3.0874050143421462E-2</v>
      </c>
      <c r="W24" s="2"/>
      <c r="X24" s="7">
        <f t="shared" si="20"/>
        <v>-1720.96</v>
      </c>
      <c r="Y24" s="2"/>
      <c r="Z24" s="6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603.39</v>
      </c>
      <c r="I25" s="2"/>
      <c r="J25" s="6">
        <f t="shared" si="15"/>
        <v>1.5076729180076199E-2</v>
      </c>
      <c r="K25" s="2"/>
      <c r="L25" s="7">
        <f t="shared" si="16"/>
        <v>-603.39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1244.82</v>
      </c>
      <c r="U25" s="2"/>
      <c r="V25" s="6">
        <f t="shared" si="19"/>
        <v>2.2332090867616852E-2</v>
      </c>
      <c r="W25" s="2"/>
      <c r="X25" s="7">
        <f t="shared" si="20"/>
        <v>-1244.82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34.97</v>
      </c>
      <c r="I26" s="2"/>
      <c r="J26" s="6">
        <f t="shared" si="15"/>
        <v>8.7378514630216729E-4</v>
      </c>
      <c r="K26" s="2"/>
      <c r="L26" s="7">
        <f t="shared" si="16"/>
        <v>-34.97</v>
      </c>
      <c r="M26" s="2"/>
      <c r="N26" s="6">
        <f t="shared" si="17"/>
        <v>-1</v>
      </c>
      <c r="O26" s="11"/>
      <c r="P26" s="7">
        <v>660.8</v>
      </c>
      <c r="Q26" s="2"/>
      <c r="R26" s="6">
        <f t="shared" si="18"/>
        <v>0</v>
      </c>
      <c r="S26" s="2"/>
      <c r="T26" s="7">
        <v>104.91</v>
      </c>
      <c r="U26" s="2"/>
      <c r="V26" s="6">
        <f t="shared" si="19"/>
        <v>1.8820870912434602E-3</v>
      </c>
      <c r="W26" s="2"/>
      <c r="X26" s="7">
        <f t="shared" si="20"/>
        <v>555.89</v>
      </c>
      <c r="Y26" s="2"/>
      <c r="Z26" s="6">
        <f t="shared" si="21"/>
        <v>5.2987322466876368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40.43</v>
      </c>
      <c r="I27" s="2"/>
      <c r="J27" s="6">
        <f t="shared" si="15"/>
        <v>1.0102125669144016E-3</v>
      </c>
      <c r="K27" s="2"/>
      <c r="L27" s="7">
        <f t="shared" si="16"/>
        <v>-40.43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83.41</v>
      </c>
      <c r="U27" s="2"/>
      <c r="V27" s="6">
        <f t="shared" si="19"/>
        <v>1.4963767446441428E-3</v>
      </c>
      <c r="W27" s="2"/>
      <c r="X27" s="7">
        <f t="shared" si="20"/>
        <v>-83.41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315.45</v>
      </c>
      <c r="I28" s="2"/>
      <c r="J28" s="6">
        <f t="shared" si="15"/>
        <v>7.8820567458112289E-3</v>
      </c>
      <c r="K28" s="2"/>
      <c r="L28" s="7">
        <f t="shared" si="16"/>
        <v>-315.45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946.35</v>
      </c>
      <c r="U28" s="2"/>
      <c r="V28" s="6">
        <f t="shared" si="19"/>
        <v>1.6977534256012283E-2</v>
      </c>
      <c r="W28" s="2"/>
      <c r="X28" s="7">
        <f t="shared" si="20"/>
        <v>-946.35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173.88</v>
      </c>
      <c r="I29" s="2"/>
      <c r="J29" s="6">
        <f t="shared" si="15"/>
        <v>4.3446886256511535E-3</v>
      </c>
      <c r="K29" s="2"/>
      <c r="L29" s="7">
        <f t="shared" si="16"/>
        <v>-173.88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591.59</v>
      </c>
      <c r="U29" s="2"/>
      <c r="V29" s="6">
        <f t="shared" si="19"/>
        <v>1.0613134136962337E-2</v>
      </c>
      <c r="W29" s="2"/>
      <c r="X29" s="7">
        <f t="shared" si="20"/>
        <v>-591.59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208.3</v>
      </c>
      <c r="I30" s="2"/>
      <c r="J30" s="6">
        <f t="shared" si="15"/>
        <v>5.2047310830638108E-3</v>
      </c>
      <c r="K30" s="2"/>
      <c r="L30" s="7">
        <f t="shared" si="16"/>
        <v>-208.3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746.73</v>
      </c>
      <c r="U30" s="2"/>
      <c r="V30" s="6">
        <f t="shared" si="19"/>
        <v>1.3396348237958527E-2</v>
      </c>
      <c r="W30" s="2"/>
      <c r="X30" s="7">
        <f t="shared" si="20"/>
        <v>-746.73</v>
      </c>
      <c r="Y30" s="2"/>
      <c r="Z30" s="6">
        <f t="shared" si="21"/>
        <v>-1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174.2</v>
      </c>
      <c r="I31" s="2"/>
      <c r="J31" s="6">
        <f t="shared" si="15"/>
        <v>4.3526843719141417E-3</v>
      </c>
      <c r="K31" s="2"/>
      <c r="L31" s="7">
        <f t="shared" si="16"/>
        <v>-174.2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564.26</v>
      </c>
      <c r="U31" s="2"/>
      <c r="V31" s="6">
        <f t="shared" si="19"/>
        <v>1.0122833496378179E-2</v>
      </c>
      <c r="W31" s="2"/>
      <c r="X31" s="7">
        <f t="shared" si="20"/>
        <v>-564.26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16711.68</v>
      </c>
      <c r="I32" s="1"/>
      <c r="J32" s="5">
        <f t="shared" ref="J32:J37" si="23">IF(H$12=0,0,H32/H$12)</f>
        <v>0.41756985283829007</v>
      </c>
      <c r="K32" s="1"/>
      <c r="L32" s="1">
        <f t="shared" ref="L32:L37" si="24">+D32-H32</f>
        <v>-16711.68</v>
      </c>
      <c r="M32" s="1"/>
      <c r="N32" s="5">
        <f t="shared" ref="N32:N37" si="25">IF(H32=0,0,L32/H32)</f>
        <v>-1</v>
      </c>
      <c r="O32" s="14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33977.120000000003</v>
      </c>
      <c r="U32" s="1"/>
      <c r="V32" s="5">
        <f t="shared" ref="V32:V37" si="27">IF(T$12=0,0,T32/T$12)</f>
        <v>0.60955008054170245</v>
      </c>
      <c r="W32" s="1"/>
      <c r="X32" s="1">
        <f t="shared" ref="X32:X37" si="28">+P32-T32</f>
        <v>-33977.120000000003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4461.93</v>
      </c>
      <c r="I33" s="2"/>
      <c r="J33" s="6">
        <f t="shared" si="23"/>
        <v>0.11148893788504517</v>
      </c>
      <c r="K33" s="2"/>
      <c r="L33" s="7">
        <f t="shared" si="24"/>
        <v>-4461.93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13526.87</v>
      </c>
      <c r="U33" s="2"/>
      <c r="V33" s="6">
        <f t="shared" si="27"/>
        <v>0.24267226586529814</v>
      </c>
      <c r="W33" s="2"/>
      <c r="X33" s="7">
        <f t="shared" si="28"/>
        <v>-13526.87</v>
      </c>
      <c r="Y33" s="2"/>
      <c r="Z33" s="6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5245.75</v>
      </c>
      <c r="I34" s="2"/>
      <c r="J34" s="6">
        <f t="shared" si="23"/>
        <v>0.13107401862209306</v>
      </c>
      <c r="K34" s="2"/>
      <c r="L34" s="7">
        <f t="shared" si="24"/>
        <v>-5245.75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8974.75</v>
      </c>
      <c r="U34" s="2"/>
      <c r="V34" s="6">
        <f t="shared" si="27"/>
        <v>0.16100715968103368</v>
      </c>
      <c r="W34" s="2"/>
      <c r="X34" s="7">
        <f t="shared" si="28"/>
        <v>-8974.75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110.5</v>
      </c>
      <c r="U35" s="2"/>
      <c r="V35" s="6">
        <f t="shared" si="27"/>
        <v>1.982371781359283E-3</v>
      </c>
      <c r="W35" s="2"/>
      <c r="X35" s="7">
        <f t="shared" si="28"/>
        <v>-110.5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6482</v>
      </c>
      <c r="I36" s="2"/>
      <c r="J36" s="6">
        <f t="shared" si="23"/>
        <v>0.16196383523965252</v>
      </c>
      <c r="K36" s="2"/>
      <c r="L36" s="7">
        <f t="shared" si="24"/>
        <v>-6482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10711</v>
      </c>
      <c r="U36" s="2"/>
      <c r="V36" s="6">
        <f t="shared" si="27"/>
        <v>0.19215551267094369</v>
      </c>
      <c r="W36" s="2"/>
      <c r="X36" s="7">
        <f t="shared" si="28"/>
        <v>-10711</v>
      </c>
      <c r="Y36" s="2"/>
      <c r="Z36" s="6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522</v>
      </c>
      <c r="I37" s="2"/>
      <c r="J37" s="6">
        <f t="shared" si="23"/>
        <v>1.3043061091499322E-2</v>
      </c>
      <c r="K37" s="2"/>
      <c r="L37" s="7">
        <f t="shared" si="24"/>
        <v>-522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654</v>
      </c>
      <c r="U37" s="2"/>
      <c r="V37" s="6">
        <f t="shared" si="27"/>
        <v>1.173277054306761E-2</v>
      </c>
      <c r="W37" s="2"/>
      <c r="X37" s="7">
        <f t="shared" si="28"/>
        <v>-654</v>
      </c>
      <c r="Y37" s="2"/>
      <c r="Z37" s="6">
        <f t="shared" si="29"/>
        <v>-1</v>
      </c>
    </row>
    <row r="38" spans="1:26" s="27" customFormat="1" outlineLevel="1" collapsed="1" x14ac:dyDescent="0.25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3" si="30">IF(D$12=0,0,D38/D$12)</f>
        <v>0</v>
      </c>
      <c r="G38" s="1"/>
      <c r="H38" s="1">
        <f>SUM(OSRRefH22_2x_0)</f>
        <v>249</v>
      </c>
      <c r="I38" s="1"/>
      <c r="J38" s="5">
        <f t="shared" ref="J38:J53" si="31">IF(H$12=0,0,H38/H$12)</f>
        <v>6.2216900608876077E-3</v>
      </c>
      <c r="K38" s="1"/>
      <c r="L38" s="1">
        <f t="shared" ref="L38:L53" si="32">+D38-H38</f>
        <v>-249</v>
      </c>
      <c r="M38" s="1"/>
      <c r="N38" s="5">
        <f t="shared" ref="N38:N53" si="33">IF(H38=0,0,L38/H38)</f>
        <v>-1</v>
      </c>
      <c r="O38" s="14"/>
      <c r="P38" s="1">
        <f>SUM(OSRRefP22_2x_0)</f>
        <v>0</v>
      </c>
      <c r="Q38" s="1"/>
      <c r="R38" s="5">
        <f t="shared" ref="R38:R53" si="34">IF(P$12=0,0,P38/P$12)</f>
        <v>0</v>
      </c>
      <c r="S38" s="1"/>
      <c r="T38" s="1">
        <f>SUM(OSRRefT22_2x_0)</f>
        <v>559.32000000000005</v>
      </c>
      <c r="U38" s="1"/>
      <c r="V38" s="5">
        <f t="shared" ref="V38:V53" si="35">IF(T$12=0,0,T38/T$12)</f>
        <v>1.0034209816740943E-2</v>
      </c>
      <c r="W38" s="1"/>
      <c r="X38" s="1">
        <f t="shared" ref="X38:X53" si="36">+P38-T38</f>
        <v>-559.32000000000005</v>
      </c>
      <c r="Y38" s="1"/>
      <c r="Z38" s="5">
        <f t="shared" ref="Z38:Z53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249</v>
      </c>
      <c r="I39" s="2"/>
      <c r="J39" s="6">
        <f t="shared" si="31"/>
        <v>6.2216900608876077E-3</v>
      </c>
      <c r="K39" s="2"/>
      <c r="L39" s="7">
        <f t="shared" si="32"/>
        <v>-249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559.32000000000005</v>
      </c>
      <c r="U39" s="2"/>
      <c r="V39" s="6">
        <f t="shared" si="35"/>
        <v>1.0034209816740943E-2</v>
      </c>
      <c r="W39" s="2"/>
      <c r="X39" s="7">
        <f t="shared" si="36"/>
        <v>-559.32000000000005</v>
      </c>
      <c r="Y39" s="2"/>
      <c r="Z39" s="6">
        <f t="shared" si="37"/>
        <v>-1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-2.91</v>
      </c>
      <c r="I40" s="1"/>
      <c r="J40" s="5">
        <f t="shared" si="31"/>
        <v>-7.2711317579047955E-5</v>
      </c>
      <c r="K40" s="1"/>
      <c r="L40" s="1">
        <f t="shared" si="32"/>
        <v>2.91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-20.43</v>
      </c>
      <c r="U40" s="1"/>
      <c r="V40" s="5">
        <f t="shared" si="35"/>
        <v>-3.6651452934995609E-4</v>
      </c>
      <c r="W40" s="1"/>
      <c r="X40" s="1">
        <f t="shared" si="36"/>
        <v>20.43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-2.91</v>
      </c>
      <c r="I41" s="2"/>
      <c r="J41" s="6">
        <f t="shared" si="31"/>
        <v>-7.2711317579047955E-5</v>
      </c>
      <c r="K41" s="2"/>
      <c r="L41" s="7">
        <f t="shared" si="32"/>
        <v>2.91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-20.43</v>
      </c>
      <c r="U41" s="2"/>
      <c r="V41" s="6">
        <f t="shared" si="35"/>
        <v>-3.6651452934995609E-4</v>
      </c>
      <c r="W41" s="2"/>
      <c r="X41" s="7">
        <f t="shared" si="36"/>
        <v>20.43</v>
      </c>
      <c r="Y41" s="2"/>
      <c r="Z41" s="6">
        <f t="shared" si="37"/>
        <v>-1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1400.07</v>
      </c>
      <c r="I42" s="1"/>
      <c r="J42" s="5">
        <f t="shared" si="31"/>
        <v>3.4983138970067926E-2</v>
      </c>
      <c r="K42" s="1"/>
      <c r="L42" s="1">
        <f t="shared" si="32"/>
        <v>-1400.07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1902.18</v>
      </c>
      <c r="U42" s="1"/>
      <c r="V42" s="5">
        <f t="shared" si="35"/>
        <v>3.4125139864850683E-2</v>
      </c>
      <c r="W42" s="1"/>
      <c r="X42" s="1">
        <f t="shared" si="36"/>
        <v>-1902.18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1400.07</v>
      </c>
      <c r="I43" s="2"/>
      <c r="J43" s="6">
        <f t="shared" si="31"/>
        <v>3.4983138970067926E-2</v>
      </c>
      <c r="K43" s="2"/>
      <c r="L43" s="7">
        <f t="shared" si="32"/>
        <v>-1400.07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1902.18</v>
      </c>
      <c r="U43" s="2"/>
      <c r="V43" s="6">
        <f t="shared" si="35"/>
        <v>3.4125139864850683E-2</v>
      </c>
      <c r="W43" s="2"/>
      <c r="X43" s="7">
        <f t="shared" si="36"/>
        <v>-1902.18</v>
      </c>
      <c r="Y43" s="2"/>
      <c r="Z43" s="6">
        <f t="shared" si="37"/>
        <v>-1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119.55</v>
      </c>
      <c r="E44" s="1"/>
      <c r="F44" s="5">
        <f t="shared" si="30"/>
        <v>0</v>
      </c>
      <c r="G44" s="1"/>
      <c r="H44" s="1">
        <f>SUM(OSRRefH22_5x_0)</f>
        <v>2775.32</v>
      </c>
      <c r="I44" s="1"/>
      <c r="J44" s="5">
        <f t="shared" si="31"/>
        <v>6.9346107870612836E-2</v>
      </c>
      <c r="K44" s="1"/>
      <c r="L44" s="1">
        <f t="shared" si="32"/>
        <v>-2655.77</v>
      </c>
      <c r="M44" s="1"/>
      <c r="N44" s="5">
        <f t="shared" si="33"/>
        <v>-0.95692388625455793</v>
      </c>
      <c r="O44" s="14"/>
      <c r="P44" s="1">
        <f>SUM(OSRRefP22_5x_0)</f>
        <v>358.65</v>
      </c>
      <c r="Q44" s="1"/>
      <c r="R44" s="5">
        <f t="shared" si="34"/>
        <v>0</v>
      </c>
      <c r="S44" s="1"/>
      <c r="T44" s="1">
        <f>SUM(OSRRefT22_5x_0)</f>
        <v>8325.9599999999991</v>
      </c>
      <c r="U44" s="1"/>
      <c r="V44" s="5">
        <f t="shared" si="35"/>
        <v>0.14936785662195595</v>
      </c>
      <c r="W44" s="1"/>
      <c r="X44" s="1">
        <f t="shared" si="36"/>
        <v>-7967.3099999999995</v>
      </c>
      <c r="Y44" s="1"/>
      <c r="Z44" s="5">
        <f t="shared" si="37"/>
        <v>-0.95692388625455804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119.55</v>
      </c>
      <c r="E45" s="2"/>
      <c r="F45" s="6">
        <f t="shared" si="30"/>
        <v>0</v>
      </c>
      <c r="G45" s="2"/>
      <c r="H45" s="7">
        <v>2775.32</v>
      </c>
      <c r="I45" s="2"/>
      <c r="J45" s="6">
        <f t="shared" si="31"/>
        <v>6.9346107870612836E-2</v>
      </c>
      <c r="K45" s="2"/>
      <c r="L45" s="7">
        <f t="shared" si="32"/>
        <v>-2655.77</v>
      </c>
      <c r="M45" s="2"/>
      <c r="N45" s="6">
        <f t="shared" si="33"/>
        <v>-0.95692388625455793</v>
      </c>
      <c r="O45" s="11"/>
      <c r="P45" s="7">
        <v>358.65</v>
      </c>
      <c r="Q45" s="2"/>
      <c r="R45" s="6">
        <f t="shared" si="34"/>
        <v>0</v>
      </c>
      <c r="S45" s="2"/>
      <c r="T45" s="7">
        <v>8325.9599999999991</v>
      </c>
      <c r="U45" s="2"/>
      <c r="V45" s="6">
        <f t="shared" si="35"/>
        <v>0.14936785662195595</v>
      </c>
      <c r="W45" s="2"/>
      <c r="X45" s="7">
        <f t="shared" si="36"/>
        <v>-7967.3099999999995</v>
      </c>
      <c r="Y45" s="2"/>
      <c r="Z45" s="6">
        <f t="shared" si="37"/>
        <v>-0.95692388625455804</v>
      </c>
    </row>
    <row r="46" spans="1:26" s="27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113.04</v>
      </c>
      <c r="I46" s="1"/>
      <c r="J46" s="5">
        <f t="shared" si="31"/>
        <v>2.8244973674005432E-3</v>
      </c>
      <c r="K46" s="1"/>
      <c r="L46" s="1">
        <f t="shared" si="32"/>
        <v>-113.04</v>
      </c>
      <c r="M46" s="1"/>
      <c r="N46" s="5">
        <f t="shared" si="33"/>
        <v>-1</v>
      </c>
      <c r="O46" s="14"/>
      <c r="P46" s="1">
        <f>SUM(OSRRefP22_6x_0)</f>
        <v>64.02</v>
      </c>
      <c r="Q46" s="1"/>
      <c r="R46" s="5">
        <f t="shared" si="34"/>
        <v>0</v>
      </c>
      <c r="S46" s="1"/>
      <c r="T46" s="1">
        <f>SUM(OSRRefT22_6x_0)</f>
        <v>208.7</v>
      </c>
      <c r="U46" s="1"/>
      <c r="V46" s="5">
        <f t="shared" si="35"/>
        <v>3.7440813644315138E-3</v>
      </c>
      <c r="W46" s="1"/>
      <c r="X46" s="1">
        <f t="shared" si="36"/>
        <v>-144.68</v>
      </c>
      <c r="Y46" s="1"/>
      <c r="Z46" s="5">
        <f t="shared" si="37"/>
        <v>-0.6932438907522761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30"/>
        <v>0</v>
      </c>
      <c r="G47" s="2"/>
      <c r="H47" s="7">
        <v>113.04</v>
      </c>
      <c r="I47" s="2"/>
      <c r="J47" s="6">
        <f t="shared" si="31"/>
        <v>2.8244973674005432E-3</v>
      </c>
      <c r="K47" s="2"/>
      <c r="L47" s="7">
        <f t="shared" si="32"/>
        <v>-113.04</v>
      </c>
      <c r="M47" s="2"/>
      <c r="N47" s="6">
        <f t="shared" si="33"/>
        <v>-1</v>
      </c>
      <c r="O47" s="11"/>
      <c r="P47" s="7">
        <v>64.02</v>
      </c>
      <c r="Q47" s="2"/>
      <c r="R47" s="6">
        <f t="shared" si="34"/>
        <v>0</v>
      </c>
      <c r="S47" s="2"/>
      <c r="T47" s="7">
        <v>208.7</v>
      </c>
      <c r="U47" s="2"/>
      <c r="V47" s="6">
        <f t="shared" si="35"/>
        <v>3.7440813644315138E-3</v>
      </c>
      <c r="W47" s="2"/>
      <c r="X47" s="7">
        <f t="shared" si="36"/>
        <v>-144.68</v>
      </c>
      <c r="Y47" s="2"/>
      <c r="Z47" s="6">
        <f t="shared" si="37"/>
        <v>-0.6932438907522761</v>
      </c>
    </row>
    <row r="48" spans="1:26" s="27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749.55</v>
      </c>
      <c r="U48" s="1"/>
      <c r="V48" s="5">
        <f t="shared" si="35"/>
        <v>1.344693908341946E-2</v>
      </c>
      <c r="W48" s="1"/>
      <c r="X48" s="1">
        <f t="shared" si="36"/>
        <v>-749.55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0</v>
      </c>
      <c r="M49" s="2"/>
      <c r="N49" s="6">
        <f t="shared" si="33"/>
        <v>0</v>
      </c>
      <c r="O49" s="11"/>
      <c r="P49" s="7"/>
      <c r="Q49" s="2"/>
      <c r="R49" s="6">
        <f t="shared" si="34"/>
        <v>0</v>
      </c>
      <c r="S49" s="2"/>
      <c r="T49" s="7">
        <v>749.55</v>
      </c>
      <c r="U49" s="2"/>
      <c r="V49" s="6">
        <f t="shared" si="35"/>
        <v>1.344693908341946E-2</v>
      </c>
      <c r="W49" s="2"/>
      <c r="X49" s="7">
        <f t="shared" si="36"/>
        <v>-749.55</v>
      </c>
      <c r="Y49" s="2"/>
      <c r="Z49" s="6">
        <f t="shared" si="37"/>
        <v>-1</v>
      </c>
    </row>
    <row r="50" spans="1:26" s="27" customFormat="1" outlineLevel="1" collapsed="1" x14ac:dyDescent="0.25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69.290000000000006</v>
      </c>
      <c r="E50" s="1"/>
      <c r="F50" s="5">
        <f t="shared" si="30"/>
        <v>0</v>
      </c>
      <c r="G50" s="1"/>
      <c r="H50" s="1">
        <f>SUM(OSRRefH22_8x_0)</f>
        <v>3279.49</v>
      </c>
      <c r="I50" s="1"/>
      <c r="J50" s="5">
        <f t="shared" si="31"/>
        <v>8.194365597502129E-2</v>
      </c>
      <c r="K50" s="1"/>
      <c r="L50" s="1">
        <f t="shared" si="32"/>
        <v>-3210.2</v>
      </c>
      <c r="M50" s="1"/>
      <c r="N50" s="5">
        <f t="shared" si="33"/>
        <v>-0.9788717148093149</v>
      </c>
      <c r="O50" s="14"/>
      <c r="P50" s="1">
        <f>SUM(OSRRefP22_8x_0)</f>
        <v>147.88999999999999</v>
      </c>
      <c r="Q50" s="1"/>
      <c r="R50" s="5">
        <f t="shared" si="34"/>
        <v>0</v>
      </c>
      <c r="S50" s="1"/>
      <c r="T50" s="1">
        <f>SUM(OSRRefT22_8x_0)</f>
        <v>4295.7700000000004</v>
      </c>
      <c r="U50" s="1"/>
      <c r="V50" s="5">
        <f t="shared" si="35"/>
        <v>7.7066183051672107E-2</v>
      </c>
      <c r="W50" s="1"/>
      <c r="X50" s="1">
        <f t="shared" si="36"/>
        <v>-4147.88</v>
      </c>
      <c r="Y50" s="1"/>
      <c r="Z50" s="5">
        <f t="shared" si="37"/>
        <v>-0.9655731102922176</v>
      </c>
    </row>
    <row r="51" spans="1:26" s="24" customFormat="1" hidden="1" outlineLevel="2" x14ac:dyDescent="0.25">
      <c r="A51" s="28"/>
      <c r="B51" s="11" t="str">
        <f>CONCATENATE("          ", "6371", " - ", "COMPUTER SOFTWARE MAINTENANCE")</f>
        <v xml:space="preserve">          6371 - COMPUTER SOFTWARE MAINTENANCE</v>
      </c>
      <c r="C51" s="11"/>
      <c r="D51" s="7"/>
      <c r="E51" s="2"/>
      <c r="F51" s="6">
        <f t="shared" si="30"/>
        <v>0</v>
      </c>
      <c r="G51" s="2"/>
      <c r="H51" s="7">
        <v>2186.54</v>
      </c>
      <c r="I51" s="2"/>
      <c r="J51" s="6">
        <f t="shared" si="31"/>
        <v>5.4634434480856184E-2</v>
      </c>
      <c r="K51" s="2"/>
      <c r="L51" s="7">
        <f t="shared" si="32"/>
        <v>-2186.54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2186.54</v>
      </c>
      <c r="U51" s="2"/>
      <c r="V51" s="6">
        <f t="shared" si="35"/>
        <v>3.9226562848989378E-2</v>
      </c>
      <c r="W51" s="2"/>
      <c r="X51" s="7">
        <f t="shared" si="36"/>
        <v>-2186.54</v>
      </c>
      <c r="Y51" s="2"/>
      <c r="Z51" s="6">
        <f t="shared" si="37"/>
        <v>-1</v>
      </c>
    </row>
    <row r="52" spans="1:26" s="24" customFormat="1" hidden="1" outlineLevel="2" x14ac:dyDescent="0.25">
      <c r="A52" s="28"/>
      <c r="B52" s="11" t="str">
        <f>CONCATENATE("          ", "6373", " - ", "MAINTENANCE CONTRACTS")</f>
        <v xml:space="preserve">          6373 - MAINTENANCE CONTRACTS</v>
      </c>
      <c r="C52" s="11"/>
      <c r="D52" s="7">
        <v>69.290000000000006</v>
      </c>
      <c r="E52" s="2"/>
      <c r="F52" s="6">
        <f t="shared" si="30"/>
        <v>0</v>
      </c>
      <c r="G52" s="2"/>
      <c r="H52" s="7"/>
      <c r="I52" s="2"/>
      <c r="J52" s="6">
        <f t="shared" si="31"/>
        <v>0</v>
      </c>
      <c r="K52" s="2"/>
      <c r="L52" s="7">
        <f t="shared" si="32"/>
        <v>69.290000000000006</v>
      </c>
      <c r="M52" s="2"/>
      <c r="N52" s="6">
        <f t="shared" si="33"/>
        <v>0</v>
      </c>
      <c r="O52" s="11"/>
      <c r="P52" s="7">
        <v>147.88999999999999</v>
      </c>
      <c r="Q52" s="2"/>
      <c r="R52" s="6">
        <f t="shared" si="34"/>
        <v>0</v>
      </c>
      <c r="S52" s="2"/>
      <c r="T52" s="7"/>
      <c r="U52" s="2"/>
      <c r="V52" s="6">
        <f t="shared" si="35"/>
        <v>0</v>
      </c>
      <c r="W52" s="2"/>
      <c r="X52" s="7">
        <f t="shared" si="36"/>
        <v>147.88999999999999</v>
      </c>
      <c r="Y52" s="2"/>
      <c r="Z52" s="6">
        <f t="shared" si="37"/>
        <v>0</v>
      </c>
    </row>
    <row r="53" spans="1:26" s="24" customFormat="1" hidden="1" outlineLevel="2" x14ac:dyDescent="0.25">
      <c r="A53" s="28"/>
      <c r="B53" s="11" t="str">
        <f>CONCATENATE("          ", "6375", " - ", "OUTSIDE REPAIRS &amp; MAINTENANCE")</f>
        <v xml:space="preserve">          6375 - OUTSIDE REPAIRS &amp; MAINTENANCE</v>
      </c>
      <c r="C53" s="11"/>
      <c r="D53" s="7"/>
      <c r="E53" s="2"/>
      <c r="F53" s="6">
        <f t="shared" si="30"/>
        <v>0</v>
      </c>
      <c r="G53" s="2"/>
      <c r="H53" s="7">
        <v>1092.95</v>
      </c>
      <c r="I53" s="2"/>
      <c r="J53" s="6">
        <f t="shared" si="31"/>
        <v>2.7309221494165106E-2</v>
      </c>
      <c r="K53" s="2"/>
      <c r="L53" s="7">
        <f t="shared" si="32"/>
        <v>-1092.95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2109.23</v>
      </c>
      <c r="U53" s="2"/>
      <c r="V53" s="6">
        <f t="shared" si="35"/>
        <v>3.7839620202682715E-2</v>
      </c>
      <c r="W53" s="2"/>
      <c r="X53" s="7">
        <f t="shared" si="36"/>
        <v>-2109.23</v>
      </c>
      <c r="Y53" s="2"/>
      <c r="Z53" s="6">
        <f t="shared" si="37"/>
        <v>-1</v>
      </c>
    </row>
    <row r="54" spans="1:26" s="27" customFormat="1" outlineLevel="1" collapsed="1" x14ac:dyDescent="0.25">
      <c r="A54" s="29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SUM(OSRRefD22_9x_0)</f>
        <v>0</v>
      </c>
      <c r="E54" s="1"/>
      <c r="F54" s="5">
        <f t="shared" ref="F54:F61" si="38">IF(D$12=0,0,D54/D$12)</f>
        <v>0</v>
      </c>
      <c r="G54" s="1"/>
      <c r="H54" s="1">
        <f>SUM(OSRRefH22_9x_0)</f>
        <v>0</v>
      </c>
      <c r="I54" s="1"/>
      <c r="J54" s="5">
        <f t="shared" ref="J54:J61" si="39">IF(H$12=0,0,H54/H$12)</f>
        <v>0</v>
      </c>
      <c r="K54" s="1"/>
      <c r="L54" s="1">
        <f t="shared" ref="L54:L61" si="40">+D54-H54</f>
        <v>0</v>
      </c>
      <c r="M54" s="1"/>
      <c r="N54" s="5">
        <f t="shared" ref="N54:N61" si="41">IF(H54=0,0,L54/H54)</f>
        <v>0</v>
      </c>
      <c r="O54" s="14"/>
      <c r="P54" s="1">
        <f>SUM(OSRRefP22_9x_0)</f>
        <v>0</v>
      </c>
      <c r="Q54" s="1"/>
      <c r="R54" s="5">
        <f t="shared" ref="R54:R61" si="42">IF(P$12=0,0,P54/P$12)</f>
        <v>0</v>
      </c>
      <c r="S54" s="1"/>
      <c r="T54" s="1">
        <f>SUM(OSRRefT22_9x_0)</f>
        <v>40.92</v>
      </c>
      <c r="U54" s="1"/>
      <c r="V54" s="5">
        <f t="shared" ref="V54:V61" si="43">IF(T$12=0,0,T54/T$12)</f>
        <v>7.3410545966716607E-4</v>
      </c>
      <c r="W54" s="1"/>
      <c r="X54" s="1">
        <f t="shared" ref="X54:X61" si="44">+P54-T54</f>
        <v>-40.92</v>
      </c>
      <c r="Y54" s="1"/>
      <c r="Z54" s="5">
        <f t="shared" ref="Z54:Z61" si="45">IF(T54=0,0,X54/T54)</f>
        <v>-1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8"/>
        <v>0</v>
      </c>
      <c r="G55" s="2"/>
      <c r="H55" s="7"/>
      <c r="I55" s="2"/>
      <c r="J55" s="6">
        <f t="shared" si="39"/>
        <v>0</v>
      </c>
      <c r="K55" s="2"/>
      <c r="L55" s="7">
        <f t="shared" si="40"/>
        <v>0</v>
      </c>
      <c r="M55" s="2"/>
      <c r="N55" s="6">
        <f t="shared" si="41"/>
        <v>0</v>
      </c>
      <c r="O55" s="11"/>
      <c r="P55" s="7"/>
      <c r="Q55" s="2"/>
      <c r="R55" s="6">
        <f t="shared" si="42"/>
        <v>0</v>
      </c>
      <c r="S55" s="2"/>
      <c r="T55" s="7">
        <v>40.92</v>
      </c>
      <c r="U55" s="2"/>
      <c r="V55" s="6">
        <f t="shared" si="43"/>
        <v>7.3410545966716607E-4</v>
      </c>
      <c r="W55" s="2"/>
      <c r="X55" s="7">
        <f t="shared" si="44"/>
        <v>-40.92</v>
      </c>
      <c r="Y55" s="2"/>
      <c r="Z55" s="6">
        <f t="shared" si="45"/>
        <v>-1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0</v>
      </c>
      <c r="E56" s="1"/>
      <c r="F56" s="5">
        <f t="shared" si="38"/>
        <v>0</v>
      </c>
      <c r="G56" s="1"/>
      <c r="H56" s="1">
        <f>SUM(OSRRefH22_10x_0)</f>
        <v>360.32</v>
      </c>
      <c r="I56" s="1"/>
      <c r="J56" s="5">
        <f t="shared" si="39"/>
        <v>9.0032102921245895E-3</v>
      </c>
      <c r="K56" s="1"/>
      <c r="L56" s="1">
        <f t="shared" si="40"/>
        <v>-360.32</v>
      </c>
      <c r="M56" s="1"/>
      <c r="N56" s="5">
        <f t="shared" si="41"/>
        <v>-1</v>
      </c>
      <c r="O56" s="14"/>
      <c r="P56" s="1">
        <f>SUM(OSRRefP22_10x_0)</f>
        <v>0</v>
      </c>
      <c r="Q56" s="1"/>
      <c r="R56" s="5">
        <f t="shared" si="42"/>
        <v>0</v>
      </c>
      <c r="S56" s="1"/>
      <c r="T56" s="1">
        <f>SUM(OSRRefT22_10x_0)</f>
        <v>2623.4300000000003</v>
      </c>
      <c r="U56" s="1"/>
      <c r="V56" s="5">
        <f t="shared" si="43"/>
        <v>4.7064376492048726E-2</v>
      </c>
      <c r="W56" s="1"/>
      <c r="X56" s="1">
        <f t="shared" si="44"/>
        <v>-2623.4300000000003</v>
      </c>
      <c r="Y56" s="1"/>
      <c r="Z56" s="5">
        <f t="shared" si="45"/>
        <v>-1</v>
      </c>
    </row>
    <row r="57" spans="1:26" s="24" customFormat="1" hidden="1" outlineLevel="2" x14ac:dyDescent="0.25">
      <c r="A57" s="28"/>
      <c r="B57" s="11" t="str">
        <f>CONCATENATE("          ", "6239", " - ", "KITCHEN SUPPLIES")</f>
        <v xml:space="preserve">          6239 - KITCHEN SUPPLIES</v>
      </c>
      <c r="C57" s="11"/>
      <c r="D57" s="7"/>
      <c r="E57" s="2"/>
      <c r="F57" s="6">
        <f t="shared" si="38"/>
        <v>0</v>
      </c>
      <c r="G57" s="2"/>
      <c r="H57" s="7"/>
      <c r="I57" s="2"/>
      <c r="J57" s="6">
        <f t="shared" si="39"/>
        <v>0</v>
      </c>
      <c r="K57" s="2"/>
      <c r="L57" s="7">
        <f t="shared" si="40"/>
        <v>0</v>
      </c>
      <c r="M57" s="2"/>
      <c r="N57" s="6">
        <f t="shared" si="41"/>
        <v>0</v>
      </c>
      <c r="O57" s="11"/>
      <c r="P57" s="7"/>
      <c r="Q57" s="2"/>
      <c r="R57" s="6">
        <f t="shared" si="42"/>
        <v>0</v>
      </c>
      <c r="S57" s="2"/>
      <c r="T57" s="7">
        <v>869.07</v>
      </c>
      <c r="U57" s="2"/>
      <c r="V57" s="6">
        <f t="shared" si="43"/>
        <v>1.5591129810189249E-2</v>
      </c>
      <c r="W57" s="2"/>
      <c r="X57" s="7">
        <f t="shared" si="44"/>
        <v>-869.07</v>
      </c>
      <c r="Y57" s="2"/>
      <c r="Z57" s="6">
        <f t="shared" si="45"/>
        <v>-1</v>
      </c>
    </row>
    <row r="58" spans="1:26" s="24" customFormat="1" hidden="1" outlineLevel="2" x14ac:dyDescent="0.25">
      <c r="A58" s="28"/>
      <c r="B58" s="11" t="str">
        <f>CONCATENATE("          ", "6241", " - ", "OFFICE EXPENSE")</f>
        <v xml:space="preserve">          6241 - OFFICE EXPENSE</v>
      </c>
      <c r="C58" s="11"/>
      <c r="D58" s="7"/>
      <c r="E58" s="2"/>
      <c r="F58" s="6">
        <f t="shared" si="38"/>
        <v>0</v>
      </c>
      <c r="G58" s="2"/>
      <c r="H58" s="7">
        <v>130.63999999999999</v>
      </c>
      <c r="I58" s="2"/>
      <c r="J58" s="6">
        <f t="shared" si="39"/>
        <v>3.2642634118648876E-3</v>
      </c>
      <c r="K58" s="2"/>
      <c r="L58" s="7">
        <f t="shared" si="40"/>
        <v>-130.63999999999999</v>
      </c>
      <c r="M58" s="2"/>
      <c r="N58" s="6">
        <f t="shared" si="41"/>
        <v>-1</v>
      </c>
      <c r="O58" s="11"/>
      <c r="P58" s="7"/>
      <c r="Q58" s="2"/>
      <c r="R58" s="6">
        <f t="shared" si="42"/>
        <v>0</v>
      </c>
      <c r="S58" s="2"/>
      <c r="T58" s="7">
        <v>465.89</v>
      </c>
      <c r="U58" s="2"/>
      <c r="V58" s="6">
        <f t="shared" si="43"/>
        <v>8.3580741105653954E-3</v>
      </c>
      <c r="W58" s="2"/>
      <c r="X58" s="7">
        <f t="shared" si="44"/>
        <v>-465.89</v>
      </c>
      <c r="Y58" s="2"/>
      <c r="Z58" s="6">
        <f t="shared" si="45"/>
        <v>-1</v>
      </c>
    </row>
    <row r="59" spans="1:26" s="24" customFormat="1" hidden="1" outlineLevel="2" x14ac:dyDescent="0.25">
      <c r="A59" s="28"/>
      <c r="B59" s="11" t="str">
        <f>CONCATENATE("          ", "6243", " - ", "PAPER SUPPLIES")</f>
        <v xml:space="preserve">          6243 - PAPER SUPPLIES</v>
      </c>
      <c r="C59" s="11"/>
      <c r="D59" s="7"/>
      <c r="E59" s="2"/>
      <c r="F59" s="6">
        <f t="shared" si="38"/>
        <v>0</v>
      </c>
      <c r="G59" s="2"/>
      <c r="H59" s="7">
        <v>229.68</v>
      </c>
      <c r="I59" s="2"/>
      <c r="J59" s="6">
        <f t="shared" si="39"/>
        <v>5.7389468802597019E-3</v>
      </c>
      <c r="K59" s="2"/>
      <c r="L59" s="7">
        <f t="shared" si="40"/>
        <v>-229.68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548.79999999999995</v>
      </c>
      <c r="U59" s="2"/>
      <c r="V59" s="6">
        <f t="shared" si="43"/>
        <v>9.8454808471490889E-3</v>
      </c>
      <c r="W59" s="2"/>
      <c r="X59" s="7">
        <f t="shared" si="44"/>
        <v>-548.79999999999995</v>
      </c>
      <c r="Y59" s="2"/>
      <c r="Z59" s="6">
        <f t="shared" si="45"/>
        <v>-1</v>
      </c>
    </row>
    <row r="60" spans="1:26" s="24" customFormat="1" hidden="1" outlineLevel="2" x14ac:dyDescent="0.25">
      <c r="A60" s="28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/>
      <c r="Q60" s="2"/>
      <c r="R60" s="6">
        <f t="shared" si="42"/>
        <v>0</v>
      </c>
      <c r="S60" s="2"/>
      <c r="T60" s="7">
        <v>102.64</v>
      </c>
      <c r="U60" s="2"/>
      <c r="V60" s="6">
        <f t="shared" si="43"/>
        <v>1.8413632546490208E-3</v>
      </c>
      <c r="W60" s="2"/>
      <c r="X60" s="7">
        <f t="shared" si="44"/>
        <v>-102.64</v>
      </c>
      <c r="Y60" s="2"/>
      <c r="Z60" s="6">
        <f t="shared" si="45"/>
        <v>-1</v>
      </c>
    </row>
    <row r="61" spans="1:26" s="24" customFormat="1" hidden="1" outlineLevel="2" x14ac:dyDescent="0.25">
      <c r="A61" s="28"/>
      <c r="B61" s="11" t="str">
        <f>CONCATENATE("          ", "6248", " - ", "UNIFORMS")</f>
        <v xml:space="preserve">          6248 - UNIFORMS</v>
      </c>
      <c r="C61" s="11"/>
      <c r="D61" s="7"/>
      <c r="E61" s="2"/>
      <c r="F61" s="6">
        <f t="shared" si="38"/>
        <v>0</v>
      </c>
      <c r="G61" s="2"/>
      <c r="H61" s="7"/>
      <c r="I61" s="2"/>
      <c r="J61" s="6">
        <f t="shared" si="39"/>
        <v>0</v>
      </c>
      <c r="K61" s="2"/>
      <c r="L61" s="7">
        <f t="shared" si="40"/>
        <v>0</v>
      </c>
      <c r="M61" s="2"/>
      <c r="N61" s="6">
        <f t="shared" si="41"/>
        <v>0</v>
      </c>
      <c r="O61" s="11"/>
      <c r="P61" s="7"/>
      <c r="Q61" s="2"/>
      <c r="R61" s="6">
        <f t="shared" si="42"/>
        <v>0</v>
      </c>
      <c r="S61" s="2"/>
      <c r="T61" s="7">
        <v>637.03</v>
      </c>
      <c r="U61" s="2"/>
      <c r="V61" s="6">
        <f t="shared" si="43"/>
        <v>1.1428328469495963E-2</v>
      </c>
      <c r="W61" s="2"/>
      <c r="X61" s="7">
        <f t="shared" si="44"/>
        <v>-637.03</v>
      </c>
      <c r="Y61" s="2"/>
      <c r="Z61" s="6">
        <f t="shared" si="45"/>
        <v>-1</v>
      </c>
    </row>
    <row r="62" spans="1:26" s="27" customFormat="1" outlineLevel="1" collapsed="1" x14ac:dyDescent="0.25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0</v>
      </c>
      <c r="E62" s="1"/>
      <c r="F62" s="5">
        <f t="shared" ref="F62:F65" si="46">IF(D$12=0,0,D62/D$12)</f>
        <v>0</v>
      </c>
      <c r="G62" s="1"/>
      <c r="H62" s="1">
        <f>SUM(OSRRefH22_11x_0)</f>
        <v>145</v>
      </c>
      <c r="I62" s="1"/>
      <c r="J62" s="5">
        <f t="shared" ref="J62:J65" si="47">IF(H$12=0,0,H62/H$12)</f>
        <v>3.6230725254164787E-3</v>
      </c>
      <c r="K62" s="1"/>
      <c r="L62" s="1">
        <f t="shared" ref="L62:L65" si="48">+D62-H62</f>
        <v>-145</v>
      </c>
      <c r="M62" s="1"/>
      <c r="N62" s="5">
        <f t="shared" ref="N62:N65" si="49">IF(H62=0,0,L62/H62)</f>
        <v>-1</v>
      </c>
      <c r="O62" s="14"/>
      <c r="P62" s="1">
        <f>SUM(OSRRefP22_11x_0)</f>
        <v>72</v>
      </c>
      <c r="Q62" s="1"/>
      <c r="R62" s="5">
        <f t="shared" ref="R62:R65" si="50">IF(P$12=0,0,P62/P$12)</f>
        <v>0</v>
      </c>
      <c r="S62" s="1"/>
      <c r="T62" s="1">
        <f>SUM(OSRRefT22_11x_0)</f>
        <v>263</v>
      </c>
      <c r="U62" s="1"/>
      <c r="V62" s="5">
        <f t="shared" ref="V62:V65" si="51">IF(T$12=0,0,T62/T$12)</f>
        <v>4.7182242397963018E-3</v>
      </c>
      <c r="W62" s="1"/>
      <c r="X62" s="1">
        <f t="shared" ref="X62:X65" si="52">+P62-T62</f>
        <v>-191</v>
      </c>
      <c r="Y62" s="1"/>
      <c r="Z62" s="5">
        <f t="shared" ref="Z62:Z65" si="53">IF(T62=0,0,X62/T62)</f>
        <v>-0.72623574144486691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7"/>
      <c r="E63" s="2"/>
      <c r="F63" s="6">
        <f t="shared" si="46"/>
        <v>0</v>
      </c>
      <c r="G63" s="2"/>
      <c r="H63" s="7">
        <v>145</v>
      </c>
      <c r="I63" s="2"/>
      <c r="J63" s="6">
        <f t="shared" si="47"/>
        <v>3.6230725254164787E-3</v>
      </c>
      <c r="K63" s="2"/>
      <c r="L63" s="7">
        <f t="shared" si="48"/>
        <v>-145</v>
      </c>
      <c r="M63" s="2"/>
      <c r="N63" s="6">
        <f t="shared" si="49"/>
        <v>-1</v>
      </c>
      <c r="O63" s="11"/>
      <c r="P63" s="7">
        <v>72</v>
      </c>
      <c r="Q63" s="2"/>
      <c r="R63" s="6">
        <f t="shared" si="50"/>
        <v>0</v>
      </c>
      <c r="S63" s="2"/>
      <c r="T63" s="7">
        <v>263</v>
      </c>
      <c r="U63" s="2"/>
      <c r="V63" s="6">
        <f t="shared" si="51"/>
        <v>4.7182242397963018E-3</v>
      </c>
      <c r="W63" s="2"/>
      <c r="X63" s="7">
        <f t="shared" si="52"/>
        <v>-191</v>
      </c>
      <c r="Y63" s="2"/>
      <c r="Z63" s="6">
        <f t="shared" si="53"/>
        <v>-0.72623574144486691</v>
      </c>
    </row>
    <row r="64" spans="1:26" s="27" customFormat="1" outlineLevel="1" collapsed="1" x14ac:dyDescent="0.25">
      <c r="A64" s="29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SUM(OSRRefD22_12x_0)</f>
        <v>0</v>
      </c>
      <c r="E64" s="1"/>
      <c r="F64" s="5">
        <f t="shared" si="46"/>
        <v>0</v>
      </c>
      <c r="G64" s="1"/>
      <c r="H64" s="1">
        <f>SUM(OSRRefH22_12x_0)</f>
        <v>0</v>
      </c>
      <c r="I64" s="1"/>
      <c r="J64" s="5">
        <f t="shared" si="47"/>
        <v>0</v>
      </c>
      <c r="K64" s="1"/>
      <c r="L64" s="1">
        <f t="shared" si="48"/>
        <v>0</v>
      </c>
      <c r="M64" s="1"/>
      <c r="N64" s="5">
        <f t="shared" si="49"/>
        <v>0</v>
      </c>
      <c r="O64" s="14"/>
      <c r="P64" s="1">
        <f>SUM(OSRRefP22_12x_0)</f>
        <v>0</v>
      </c>
      <c r="Q64" s="1"/>
      <c r="R64" s="5">
        <f t="shared" si="50"/>
        <v>0</v>
      </c>
      <c r="S64" s="1"/>
      <c r="T64" s="1">
        <f>SUM(OSRRefT22_12x_0)</f>
        <v>152.94999999999999</v>
      </c>
      <c r="U64" s="1"/>
      <c r="V64" s="5">
        <f t="shared" si="51"/>
        <v>2.7439254656914233E-3</v>
      </c>
      <c r="W64" s="1"/>
      <c r="X64" s="1">
        <f t="shared" si="52"/>
        <v>-152.94999999999999</v>
      </c>
      <c r="Y64" s="1"/>
      <c r="Z64" s="5">
        <f t="shared" si="53"/>
        <v>-1</v>
      </c>
    </row>
    <row r="65" spans="1:26" s="24" customFormat="1" hidden="1" outlineLevel="2" x14ac:dyDescent="0.25">
      <c r="A65" s="28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46"/>
        <v>0</v>
      </c>
      <c r="G65" s="2"/>
      <c r="H65" s="7"/>
      <c r="I65" s="2"/>
      <c r="J65" s="6">
        <f t="shared" si="47"/>
        <v>0</v>
      </c>
      <c r="K65" s="2"/>
      <c r="L65" s="7">
        <f t="shared" si="48"/>
        <v>0</v>
      </c>
      <c r="M65" s="2"/>
      <c r="N65" s="6">
        <f t="shared" si="49"/>
        <v>0</v>
      </c>
      <c r="O65" s="11"/>
      <c r="P65" s="7"/>
      <c r="Q65" s="2"/>
      <c r="R65" s="6">
        <f t="shared" si="50"/>
        <v>0</v>
      </c>
      <c r="S65" s="2"/>
      <c r="T65" s="7">
        <v>152.94999999999999</v>
      </c>
      <c r="U65" s="2"/>
      <c r="V65" s="6">
        <f t="shared" si="51"/>
        <v>2.7439254656914233E-3</v>
      </c>
      <c r="W65" s="2"/>
      <c r="X65" s="7">
        <f t="shared" si="52"/>
        <v>-152.94999999999999</v>
      </c>
      <c r="Y65" s="2"/>
      <c r="Z65" s="6">
        <f t="shared" si="53"/>
        <v>-1</v>
      </c>
    </row>
    <row r="66" spans="1:26" s="60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2">
        <f>+D20-D22+D67</f>
        <v>-188.84</v>
      </c>
      <c r="E69" s="13"/>
      <c r="F69" s="21">
        <f>IF(D$12=0,0,D69/D$12)</f>
        <v>0</v>
      </c>
      <c r="G69" s="13"/>
      <c r="H69" s="22">
        <f>+H20-H22+H67</f>
        <v>-949.11000000000058</v>
      </c>
      <c r="I69" s="13"/>
      <c r="J69" s="21">
        <f>IF(H$12=0,0,H69/H$12)</f>
        <v>-2.3715133548951974E-2</v>
      </c>
      <c r="K69" s="15"/>
      <c r="L69" s="22">
        <f>+D69-H69</f>
        <v>760.27000000000055</v>
      </c>
      <c r="M69" s="15"/>
      <c r="N69" s="21">
        <f>IF(H69=0,0,L69/H69)</f>
        <v>-0.80103465351750591</v>
      </c>
      <c r="O69" s="26"/>
      <c r="P69" s="22">
        <f>+P20-P22+P67</f>
        <v>-1303.3600000000001</v>
      </c>
      <c r="Q69" s="13"/>
      <c r="R69" s="21">
        <f>IF(P$12=0,0,P69/P$12)</f>
        <v>0</v>
      </c>
      <c r="S69" s="13"/>
      <c r="T69" s="22">
        <f>+T20-T22+T67</f>
        <v>-22086.020000000004</v>
      </c>
      <c r="U69" s="13"/>
      <c r="V69" s="21">
        <f>IF(T$12=0,0,T69/T$12)</f>
        <v>-0.39622355484648647</v>
      </c>
      <c r="W69" s="15"/>
      <c r="X69" s="22">
        <f>+P69-T69</f>
        <v>20782.660000000003</v>
      </c>
      <c r="Y69" s="15"/>
      <c r="Z69" s="21">
        <f>IF(T69=0,0,X69/T69)</f>
        <v>-0.94098710405949104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4027.36</v>
      </c>
      <c r="I71" s="4"/>
      <c r="J71" s="12">
        <f>IF(H$12=0,0,H71/H$12)</f>
        <v>0.10063046459283662</v>
      </c>
      <c r="K71" s="4"/>
      <c r="L71" s="4">
        <f>+D71-H71</f>
        <v>-4027.36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5987.36</v>
      </c>
      <c r="U71" s="4"/>
      <c r="V71" s="12">
        <f>IF(T$12=0,0,T71/T$12)</f>
        <v>0.10741333492162276</v>
      </c>
      <c r="W71" s="4"/>
      <c r="X71" s="4">
        <f>+P71-T71</f>
        <v>-5987.36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-188.84</v>
      </c>
      <c r="E73" s="13"/>
      <c r="F73" s="32">
        <f>IF(D$12=0,0,D73/D$12)</f>
        <v>0</v>
      </c>
      <c r="G73" s="13"/>
      <c r="H73" s="33">
        <f>+H69-H71</f>
        <v>-4976.4700000000012</v>
      </c>
      <c r="I73" s="13"/>
      <c r="J73" s="32">
        <f>IF(H$12=0,0,H73/H$12)</f>
        <v>-0.1243455981417886</v>
      </c>
      <c r="K73" s="15"/>
      <c r="L73" s="33">
        <f>D73-H73</f>
        <v>4787.630000000001</v>
      </c>
      <c r="M73" s="15"/>
      <c r="N73" s="32">
        <f>IF(H73=0,0,L73/H73)</f>
        <v>-0.9620534234105701</v>
      </c>
      <c r="O73" s="26"/>
      <c r="P73" s="33">
        <f>+P69-P71</f>
        <v>-1303.3600000000001</v>
      </c>
      <c r="Q73" s="13"/>
      <c r="R73" s="32">
        <f>IF(P$12=0,0,P73/P$12)</f>
        <v>0</v>
      </c>
      <c r="S73" s="13"/>
      <c r="T73" s="33">
        <f>+T69-T71</f>
        <v>-28073.380000000005</v>
      </c>
      <c r="U73" s="13"/>
      <c r="V73" s="32">
        <f>IF(T$12=0,0,T73/T$12)</f>
        <v>-0.50363688976810927</v>
      </c>
      <c r="W73" s="15"/>
      <c r="X73" s="33">
        <f>P73-T73</f>
        <v>26770.020000000004</v>
      </c>
      <c r="Y73" s="15"/>
      <c r="Z73" s="32">
        <f>IF(T73=0,0,X73/T73)</f>
        <v>-0.9535731002109471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4">
        <f>SUM(D73:D75)</f>
        <v>-188.84</v>
      </c>
      <c r="E76" s="13"/>
      <c r="F76" s="31">
        <f>IF(D$12=0,0,D76/D$12)</f>
        <v>0</v>
      </c>
      <c r="G76" s="13"/>
      <c r="H76" s="34">
        <f>SUM(H73:H75)</f>
        <v>-4976.4700000000012</v>
      </c>
      <c r="I76" s="13"/>
      <c r="J76" s="31">
        <f>IF(H$12=0,0,H76/H$12)</f>
        <v>-0.1243455981417886</v>
      </c>
      <c r="K76" s="15"/>
      <c r="L76" s="34">
        <f>+D76-H76</f>
        <v>4787.630000000001</v>
      </c>
      <c r="M76" s="15"/>
      <c r="N76" s="31">
        <f>IF(H76=0,0,L76/H76)</f>
        <v>-0.9620534234105701</v>
      </c>
      <c r="O76" s="26"/>
      <c r="P76" s="34">
        <f>SUM(P73:P75)</f>
        <v>-1303.3600000000001</v>
      </c>
      <c r="Q76" s="13"/>
      <c r="R76" s="31">
        <f>IF(P$12=0,0,P76/P$12)</f>
        <v>0</v>
      </c>
      <c r="S76" s="13"/>
      <c r="T76" s="34">
        <f>SUM(T73:T75)</f>
        <v>-28073.380000000005</v>
      </c>
      <c r="U76" s="13"/>
      <c r="V76" s="31">
        <f>IF(T$12=0,0,T76/T$12)</f>
        <v>-0.50363688976810927</v>
      </c>
      <c r="W76" s="15"/>
      <c r="X76" s="34">
        <f>+P76-T76</f>
        <v>26770.020000000004</v>
      </c>
      <c r="Y76" s="15"/>
      <c r="Z76" s="31">
        <f>IF(T76=0,0,X76/T76)</f>
        <v>-0.9535731002109471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4">
        <v>44123.565535914349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9" t="s">
        <v>313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8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28429.94</v>
      </c>
      <c r="E18" s="20"/>
      <c r="F18" s="36">
        <f t="shared" ref="F18:F28" si="0">IF(D$12=0,0,D18/D$12)</f>
        <v>0</v>
      </c>
      <c r="G18" s="20"/>
      <c r="H18" s="20">
        <f>SUM(OSRRefH22x_0)</f>
        <v>99769.579999999987</v>
      </c>
      <c r="I18" s="20"/>
      <c r="J18" s="36">
        <f t="shared" ref="J18:J28" si="1">IF(H$12=0,0,H18/H$12)</f>
        <v>0</v>
      </c>
      <c r="K18" s="4"/>
      <c r="L18" s="20">
        <f t="shared" ref="L18:L28" si="2">+D18-H18</f>
        <v>-71339.639999999985</v>
      </c>
      <c r="M18" s="4"/>
      <c r="N18" s="36">
        <f t="shared" ref="N18:N28" si="3">IF(H18=0,0,L18/H18)</f>
        <v>-0.71504400439492677</v>
      </c>
      <c r="O18" s="10"/>
      <c r="P18" s="20">
        <f>SUM(OSRRefP22x_0)</f>
        <v>58752.150000000009</v>
      </c>
      <c r="Q18" s="20"/>
      <c r="R18" s="36">
        <f t="shared" ref="R18:R28" si="4">IF(P$12=0,0,P18/P$12)</f>
        <v>0</v>
      </c>
      <c r="S18" s="20"/>
      <c r="T18" s="20">
        <f>SUM(OSRRefT22x_0)</f>
        <v>271490.52</v>
      </c>
      <c r="U18" s="20"/>
      <c r="V18" s="36">
        <f t="shared" ref="V18:V28" si="5">IF(T$12=0,0,T18/T$12)</f>
        <v>0</v>
      </c>
      <c r="W18" s="4"/>
      <c r="X18" s="20">
        <f t="shared" ref="X18:X28" si="6">+P18-T18</f>
        <v>-212738.37</v>
      </c>
      <c r="Y18" s="4"/>
      <c r="Z18" s="36">
        <f t="shared" ref="Z18:Z28" si="7">IF(T18=0,0,X18/T18)</f>
        <v>-0.78359410118629547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5739.17</v>
      </c>
      <c r="E19" s="1"/>
      <c r="F19" s="5">
        <f t="shared" si="0"/>
        <v>0</v>
      </c>
      <c r="G19" s="1"/>
      <c r="H19" s="1">
        <f>SUM(OSRRefH22_0x_0)</f>
        <v>9852.99</v>
      </c>
      <c r="I19" s="1"/>
      <c r="J19" s="5">
        <f t="shared" si="1"/>
        <v>0</v>
      </c>
      <c r="K19" s="1"/>
      <c r="L19" s="1">
        <f t="shared" si="2"/>
        <v>-4113.82</v>
      </c>
      <c r="M19" s="1"/>
      <c r="N19" s="5">
        <f t="shared" si="3"/>
        <v>-0.41751996094586513</v>
      </c>
      <c r="O19" s="14"/>
      <c r="P19" s="1">
        <f>SUM(OSRRefP22_0x_0)</f>
        <v>16797.71</v>
      </c>
      <c r="Q19" s="1"/>
      <c r="R19" s="5">
        <f t="shared" si="4"/>
        <v>0</v>
      </c>
      <c r="S19" s="1"/>
      <c r="T19" s="1">
        <f>SUM(OSRRefT22_0x_0)</f>
        <v>32031.999999999996</v>
      </c>
      <c r="U19" s="1"/>
      <c r="V19" s="5">
        <f t="shared" si="5"/>
        <v>0</v>
      </c>
      <c r="W19" s="1"/>
      <c r="X19" s="1">
        <f t="shared" si="6"/>
        <v>-15234.289999999997</v>
      </c>
      <c r="Y19" s="1"/>
      <c r="Z19" s="5">
        <f t="shared" si="7"/>
        <v>-0.47559596653346647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846.8</v>
      </c>
      <c r="E20" s="2"/>
      <c r="F20" s="6">
        <f t="shared" si="0"/>
        <v>0</v>
      </c>
      <c r="G20" s="2"/>
      <c r="H20" s="7">
        <v>2041.68</v>
      </c>
      <c r="I20" s="2"/>
      <c r="J20" s="6">
        <f t="shared" si="1"/>
        <v>0</v>
      </c>
      <c r="K20" s="2"/>
      <c r="L20" s="7">
        <f t="shared" si="2"/>
        <v>-1194.8800000000001</v>
      </c>
      <c r="M20" s="2"/>
      <c r="N20" s="6">
        <f t="shared" si="3"/>
        <v>-0.58524352494024534</v>
      </c>
      <c r="O20" s="11"/>
      <c r="P20" s="7">
        <v>2699.52</v>
      </c>
      <c r="Q20" s="2"/>
      <c r="R20" s="6">
        <f t="shared" si="4"/>
        <v>0</v>
      </c>
      <c r="S20" s="2"/>
      <c r="T20" s="7">
        <v>6063.2</v>
      </c>
      <c r="U20" s="2"/>
      <c r="V20" s="6">
        <f t="shared" si="5"/>
        <v>0</v>
      </c>
      <c r="W20" s="2"/>
      <c r="X20" s="7">
        <f t="shared" si="6"/>
        <v>-3363.68</v>
      </c>
      <c r="Y20" s="2"/>
      <c r="Z20" s="6">
        <f t="shared" si="7"/>
        <v>-0.55476975854334343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36.53</v>
      </c>
      <c r="E21" s="2"/>
      <c r="F21" s="6">
        <f t="shared" si="0"/>
        <v>0</v>
      </c>
      <c r="G21" s="2"/>
      <c r="H21" s="7">
        <v>921.43</v>
      </c>
      <c r="I21" s="2"/>
      <c r="J21" s="6">
        <f t="shared" si="1"/>
        <v>0</v>
      </c>
      <c r="K21" s="2"/>
      <c r="L21" s="7">
        <f t="shared" si="2"/>
        <v>-884.9</v>
      </c>
      <c r="M21" s="2"/>
      <c r="N21" s="6">
        <f t="shared" si="3"/>
        <v>-0.96035510022465087</v>
      </c>
      <c r="O21" s="11"/>
      <c r="P21" s="7">
        <v>198.82</v>
      </c>
      <c r="Q21" s="2"/>
      <c r="R21" s="6">
        <f t="shared" si="4"/>
        <v>0</v>
      </c>
      <c r="S21" s="2"/>
      <c r="T21" s="7">
        <v>2391.2600000000002</v>
      </c>
      <c r="U21" s="2"/>
      <c r="V21" s="6">
        <f t="shared" si="5"/>
        <v>0</v>
      </c>
      <c r="W21" s="2"/>
      <c r="X21" s="7">
        <f t="shared" si="6"/>
        <v>-2192.44</v>
      </c>
      <c r="Y21" s="2"/>
      <c r="Z21" s="6">
        <f t="shared" si="7"/>
        <v>-0.91685554895745336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1950.75</v>
      </c>
      <c r="E22" s="2"/>
      <c r="F22" s="6">
        <f t="shared" si="0"/>
        <v>0</v>
      </c>
      <c r="G22" s="2"/>
      <c r="H22" s="7">
        <v>3654.84</v>
      </c>
      <c r="I22" s="2"/>
      <c r="J22" s="6">
        <f t="shared" si="1"/>
        <v>0</v>
      </c>
      <c r="K22" s="2"/>
      <c r="L22" s="7">
        <f t="shared" si="2"/>
        <v>-1704.0900000000001</v>
      </c>
      <c r="M22" s="2"/>
      <c r="N22" s="6">
        <f t="shared" si="3"/>
        <v>-0.46625570476409367</v>
      </c>
      <c r="O22" s="11"/>
      <c r="P22" s="7">
        <v>4718.22</v>
      </c>
      <c r="Q22" s="2"/>
      <c r="R22" s="6">
        <f t="shared" si="4"/>
        <v>0</v>
      </c>
      <c r="S22" s="2"/>
      <c r="T22" s="7">
        <v>10964.6</v>
      </c>
      <c r="U22" s="2"/>
      <c r="V22" s="6">
        <f t="shared" si="5"/>
        <v>0</v>
      </c>
      <c r="W22" s="2"/>
      <c r="X22" s="7">
        <f t="shared" si="6"/>
        <v>-6246.38</v>
      </c>
      <c r="Y22" s="2"/>
      <c r="Z22" s="6">
        <f t="shared" si="7"/>
        <v>-0.56968608065957715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28.78</v>
      </c>
      <c r="E23" s="2"/>
      <c r="F23" s="6">
        <f t="shared" si="0"/>
        <v>0</v>
      </c>
      <c r="G23" s="2"/>
      <c r="H23" s="7">
        <v>73.400000000000006</v>
      </c>
      <c r="I23" s="2"/>
      <c r="J23" s="6">
        <f t="shared" si="1"/>
        <v>0</v>
      </c>
      <c r="K23" s="2"/>
      <c r="L23" s="7">
        <f t="shared" si="2"/>
        <v>-44.620000000000005</v>
      </c>
      <c r="M23" s="2"/>
      <c r="N23" s="6">
        <f t="shared" si="3"/>
        <v>-0.60790190735694827</v>
      </c>
      <c r="O23" s="11"/>
      <c r="P23" s="7">
        <v>91.75</v>
      </c>
      <c r="Q23" s="2"/>
      <c r="R23" s="6">
        <f t="shared" si="4"/>
        <v>0</v>
      </c>
      <c r="S23" s="2"/>
      <c r="T23" s="7">
        <v>196.17</v>
      </c>
      <c r="U23" s="2"/>
      <c r="V23" s="6">
        <f t="shared" si="5"/>
        <v>0</v>
      </c>
      <c r="W23" s="2"/>
      <c r="X23" s="7">
        <f t="shared" si="6"/>
        <v>-104.41999999999999</v>
      </c>
      <c r="Y23" s="2"/>
      <c r="Z23" s="6">
        <f t="shared" si="7"/>
        <v>-0.53229341897333937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1169.0899999999999</v>
      </c>
      <c r="I24" s="2"/>
      <c r="J24" s="6">
        <f t="shared" si="1"/>
        <v>0</v>
      </c>
      <c r="K24" s="2"/>
      <c r="L24" s="7">
        <f t="shared" si="2"/>
        <v>51.960000000000036</v>
      </c>
      <c r="M24" s="2"/>
      <c r="N24" s="6">
        <f t="shared" si="3"/>
        <v>4.4444824607173132E-2</v>
      </c>
      <c r="O24" s="11"/>
      <c r="P24" s="7">
        <v>3984.72</v>
      </c>
      <c r="Q24" s="2"/>
      <c r="R24" s="6">
        <f t="shared" si="4"/>
        <v>0</v>
      </c>
      <c r="S24" s="2"/>
      <c r="T24" s="7">
        <v>3507.27</v>
      </c>
      <c r="U24" s="2"/>
      <c r="V24" s="6">
        <f t="shared" si="5"/>
        <v>0</v>
      </c>
      <c r="W24" s="2"/>
      <c r="X24" s="7">
        <f t="shared" si="6"/>
        <v>477.44999999999982</v>
      </c>
      <c r="Y24" s="2"/>
      <c r="Z24" s="6">
        <f t="shared" si="7"/>
        <v>0.13613152109760579</v>
      </c>
    </row>
    <row r="25" spans="1:26" s="24" customFormat="1" hidden="1" outlineLevel="2" x14ac:dyDescent="0.25">
      <c r="A25" s="28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84</v>
      </c>
      <c r="I25" s="2"/>
      <c r="J25" s="6">
        <f t="shared" si="1"/>
        <v>0</v>
      </c>
      <c r="K25" s="2"/>
      <c r="L25" s="7">
        <f t="shared" si="2"/>
        <v>-84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196</v>
      </c>
      <c r="U25" s="2"/>
      <c r="V25" s="6">
        <f t="shared" si="5"/>
        <v>0</v>
      </c>
      <c r="W25" s="2"/>
      <c r="X25" s="7">
        <f t="shared" si="6"/>
        <v>-196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721.4</v>
      </c>
      <c r="I26" s="2"/>
      <c r="J26" s="6">
        <f t="shared" si="1"/>
        <v>0</v>
      </c>
      <c r="K26" s="2"/>
      <c r="L26" s="7">
        <f t="shared" si="2"/>
        <v>301.12</v>
      </c>
      <c r="M26" s="2"/>
      <c r="N26" s="6">
        <f t="shared" si="3"/>
        <v>0.41741059051843638</v>
      </c>
      <c r="O26" s="11"/>
      <c r="P26" s="7">
        <v>3259.7</v>
      </c>
      <c r="Q26" s="2"/>
      <c r="R26" s="6">
        <f t="shared" si="4"/>
        <v>0</v>
      </c>
      <c r="S26" s="2"/>
      <c r="T26" s="7">
        <v>4212.84</v>
      </c>
      <c r="U26" s="2"/>
      <c r="V26" s="6">
        <f t="shared" si="5"/>
        <v>0</v>
      </c>
      <c r="W26" s="2"/>
      <c r="X26" s="7">
        <f t="shared" si="6"/>
        <v>-953.14000000000033</v>
      </c>
      <c r="Y26" s="2"/>
      <c r="Z26" s="6">
        <f t="shared" si="7"/>
        <v>-0.22624642758804045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716.34</v>
      </c>
      <c r="I27" s="2"/>
      <c r="J27" s="6">
        <f t="shared" si="1"/>
        <v>0</v>
      </c>
      <c r="K27" s="2"/>
      <c r="L27" s="7">
        <f t="shared" si="2"/>
        <v>-205.76000000000005</v>
      </c>
      <c r="M27" s="2"/>
      <c r="N27" s="6">
        <f t="shared" si="3"/>
        <v>-0.28723790378870373</v>
      </c>
      <c r="O27" s="11"/>
      <c r="P27" s="7">
        <v>1627.68</v>
      </c>
      <c r="Q27" s="2"/>
      <c r="R27" s="6">
        <f t="shared" si="4"/>
        <v>0</v>
      </c>
      <c r="S27" s="2"/>
      <c r="T27" s="7">
        <v>3395.21</v>
      </c>
      <c r="U27" s="2"/>
      <c r="V27" s="6">
        <f t="shared" si="5"/>
        <v>0</v>
      </c>
      <c r="W27" s="2"/>
      <c r="X27" s="7">
        <f t="shared" si="6"/>
        <v>-1767.53</v>
      </c>
      <c r="Y27" s="2"/>
      <c r="Z27" s="6">
        <f t="shared" si="7"/>
        <v>-0.52059519146091104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>
        <v>122.16</v>
      </c>
      <c r="E28" s="2"/>
      <c r="F28" s="6">
        <f t="shared" si="0"/>
        <v>0</v>
      </c>
      <c r="G28" s="2"/>
      <c r="H28" s="7">
        <v>470.81</v>
      </c>
      <c r="I28" s="2"/>
      <c r="J28" s="6">
        <f t="shared" si="1"/>
        <v>0</v>
      </c>
      <c r="K28" s="2"/>
      <c r="L28" s="7">
        <f t="shared" si="2"/>
        <v>-348.65</v>
      </c>
      <c r="M28" s="2"/>
      <c r="N28" s="6">
        <f t="shared" si="3"/>
        <v>-0.74053227416579936</v>
      </c>
      <c r="O28" s="11"/>
      <c r="P28" s="7">
        <v>217.3</v>
      </c>
      <c r="Q28" s="2"/>
      <c r="R28" s="6">
        <f t="shared" si="4"/>
        <v>0</v>
      </c>
      <c r="S28" s="2"/>
      <c r="T28" s="7">
        <v>1105.45</v>
      </c>
      <c r="U28" s="2"/>
      <c r="V28" s="6">
        <f t="shared" si="5"/>
        <v>0</v>
      </c>
      <c r="W28" s="2"/>
      <c r="X28" s="7">
        <f t="shared" si="6"/>
        <v>-888.15000000000009</v>
      </c>
      <c r="Y28" s="2"/>
      <c r="Z28" s="6">
        <f t="shared" si="7"/>
        <v>-0.8034284680446877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11069.28</v>
      </c>
      <c r="E29" s="1"/>
      <c r="F29" s="5">
        <f t="shared" ref="F29:F35" si="8">IF(D$12=0,0,D29/D$12)</f>
        <v>0</v>
      </c>
      <c r="G29" s="1"/>
      <c r="H29" s="1">
        <f>SUM(OSRRefH22_1x_0)</f>
        <v>27413.7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-16344.42</v>
      </c>
      <c r="M29" s="1"/>
      <c r="N29" s="5">
        <f t="shared" ref="N29:N35" si="11">IF(H29=0,0,L29/H29)</f>
        <v>-0.59621357204609371</v>
      </c>
      <c r="O29" s="14"/>
      <c r="P29" s="1">
        <f>SUM(OSRRefP22_1x_0)</f>
        <v>35425.89</v>
      </c>
      <c r="Q29" s="1"/>
      <c r="R29" s="5">
        <f t="shared" ref="R29:R35" si="12">IF(P$12=0,0,P29/P$12)</f>
        <v>0</v>
      </c>
      <c r="S29" s="1"/>
      <c r="T29" s="1">
        <f>SUM(OSRRefT22_1x_0)</f>
        <v>82512.840000000011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-47086.950000000012</v>
      </c>
      <c r="Y29" s="1"/>
      <c r="Z29" s="5">
        <f t="shared" ref="Z29:Z35" si="15">IF(T29=0,0,X29/T29)</f>
        <v>-0.57066209331784001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>
        <v>11069.28</v>
      </c>
      <c r="E30" s="2"/>
      <c r="F30" s="6">
        <f t="shared" si="8"/>
        <v>0</v>
      </c>
      <c r="G30" s="2"/>
      <c r="H30" s="7">
        <v>7932.49</v>
      </c>
      <c r="I30" s="2"/>
      <c r="J30" s="6">
        <f t="shared" si="9"/>
        <v>0</v>
      </c>
      <c r="K30" s="2"/>
      <c r="L30" s="7">
        <f t="shared" si="10"/>
        <v>3136.7900000000009</v>
      </c>
      <c r="M30" s="2"/>
      <c r="N30" s="6">
        <f t="shared" si="11"/>
        <v>0.39543573329433773</v>
      </c>
      <c r="O30" s="11"/>
      <c r="P30" s="7">
        <v>33345.89</v>
      </c>
      <c r="Q30" s="2"/>
      <c r="R30" s="6">
        <f t="shared" si="12"/>
        <v>0</v>
      </c>
      <c r="S30" s="2"/>
      <c r="T30" s="7">
        <v>25119.08</v>
      </c>
      <c r="U30" s="2"/>
      <c r="V30" s="6">
        <f t="shared" si="13"/>
        <v>0</v>
      </c>
      <c r="W30" s="2"/>
      <c r="X30" s="7">
        <f t="shared" si="14"/>
        <v>8226.8099999999977</v>
      </c>
      <c r="Y30" s="2"/>
      <c r="Z30" s="6">
        <f t="shared" si="15"/>
        <v>0.32751239296980611</v>
      </c>
    </row>
    <row r="31" spans="1:26" s="24" customFormat="1" hidden="1" outlineLevel="2" x14ac:dyDescent="0.25">
      <c r="A31" s="28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4409.24</v>
      </c>
      <c r="I31" s="2"/>
      <c r="J31" s="6">
        <f t="shared" si="9"/>
        <v>0</v>
      </c>
      <c r="K31" s="2"/>
      <c r="L31" s="7">
        <f t="shared" si="10"/>
        <v>-4409.24</v>
      </c>
      <c r="M31" s="2"/>
      <c r="N31" s="6">
        <f t="shared" si="11"/>
        <v>-1</v>
      </c>
      <c r="O31" s="11"/>
      <c r="P31" s="7">
        <v>2080</v>
      </c>
      <c r="Q31" s="2"/>
      <c r="R31" s="6">
        <f t="shared" si="12"/>
        <v>0</v>
      </c>
      <c r="S31" s="2"/>
      <c r="T31" s="7">
        <v>12985.72</v>
      </c>
      <c r="U31" s="2"/>
      <c r="V31" s="6">
        <f t="shared" si="13"/>
        <v>0</v>
      </c>
      <c r="W31" s="2"/>
      <c r="X31" s="7">
        <f t="shared" si="14"/>
        <v>-10905.72</v>
      </c>
      <c r="Y31" s="2"/>
      <c r="Z31" s="6">
        <f t="shared" si="15"/>
        <v>-0.83982405288270501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2307.1999999999998</v>
      </c>
      <c r="I32" s="2"/>
      <c r="J32" s="6">
        <f t="shared" si="9"/>
        <v>0</v>
      </c>
      <c r="K32" s="2"/>
      <c r="L32" s="7">
        <f t="shared" si="10"/>
        <v>-2307.1999999999998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6229.44</v>
      </c>
      <c r="U32" s="2"/>
      <c r="V32" s="6">
        <f t="shared" si="13"/>
        <v>0</v>
      </c>
      <c r="W32" s="2"/>
      <c r="X32" s="7">
        <f t="shared" si="14"/>
        <v>-6229.44</v>
      </c>
      <c r="Y32" s="2"/>
      <c r="Z32" s="6">
        <f t="shared" si="15"/>
        <v>-1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11280.27</v>
      </c>
      <c r="I33" s="2"/>
      <c r="J33" s="6">
        <f t="shared" si="9"/>
        <v>0</v>
      </c>
      <c r="K33" s="2"/>
      <c r="L33" s="7">
        <f t="shared" si="10"/>
        <v>-11280.27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27336.28</v>
      </c>
      <c r="U33" s="2"/>
      <c r="V33" s="6">
        <f t="shared" si="13"/>
        <v>0</v>
      </c>
      <c r="W33" s="2"/>
      <c r="X33" s="7">
        <f t="shared" si="14"/>
        <v>-27336.28</v>
      </c>
      <c r="Y33" s="2"/>
      <c r="Z33" s="6">
        <f t="shared" si="15"/>
        <v>-1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/>
      <c r="Q34" s="2"/>
      <c r="R34" s="6">
        <f t="shared" si="12"/>
        <v>0</v>
      </c>
      <c r="S34" s="2"/>
      <c r="T34" s="7">
        <v>1236.8800000000001</v>
      </c>
      <c r="U34" s="2"/>
      <c r="V34" s="6">
        <f t="shared" si="13"/>
        <v>0</v>
      </c>
      <c r="W34" s="2"/>
      <c r="X34" s="7">
        <f t="shared" si="14"/>
        <v>-1236.8800000000001</v>
      </c>
      <c r="Y34" s="2"/>
      <c r="Z34" s="6">
        <f t="shared" si="15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1484.5</v>
      </c>
      <c r="I35" s="2"/>
      <c r="J35" s="6">
        <f t="shared" si="9"/>
        <v>0</v>
      </c>
      <c r="K35" s="2"/>
      <c r="L35" s="7">
        <f t="shared" si="10"/>
        <v>-1484.5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9605.44</v>
      </c>
      <c r="U35" s="2"/>
      <c r="V35" s="6">
        <f t="shared" si="13"/>
        <v>0</v>
      </c>
      <c r="W35" s="2"/>
      <c r="X35" s="7">
        <f t="shared" si="14"/>
        <v>-9605.44</v>
      </c>
      <c r="Y35" s="2"/>
      <c r="Z35" s="6">
        <f t="shared" si="15"/>
        <v>-1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240.39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-240.39</v>
      </c>
      <c r="M36" s="1"/>
      <c r="N36" s="5">
        <f t="shared" ref="N36:N43" si="19">IF(H36=0,0,L36/H36)</f>
        <v>-1</v>
      </c>
      <c r="O36" s="14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305.81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-305.81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240.39</v>
      </c>
      <c r="I37" s="2"/>
      <c r="J37" s="6">
        <f t="shared" si="17"/>
        <v>0</v>
      </c>
      <c r="K37" s="2"/>
      <c r="L37" s="7">
        <f t="shared" si="18"/>
        <v>-240.39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305.81</v>
      </c>
      <c r="U37" s="2"/>
      <c r="V37" s="6">
        <f t="shared" si="21"/>
        <v>0</v>
      </c>
      <c r="W37" s="2"/>
      <c r="X37" s="7">
        <f t="shared" si="22"/>
        <v>-305.81</v>
      </c>
      <c r="Y37" s="2"/>
      <c r="Z37" s="6">
        <f t="shared" si="23"/>
        <v>-1</v>
      </c>
    </row>
    <row r="38" spans="1:26" s="27" customFormat="1" outlineLevel="1" collapsed="1" x14ac:dyDescent="0.25">
      <c r="A38" s="29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429.18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429.18</v>
      </c>
      <c r="M38" s="1"/>
      <c r="N38" s="5">
        <f t="shared" si="19"/>
        <v>0</v>
      </c>
      <c r="O38" s="14"/>
      <c r="P38" s="1">
        <f>SUM(OSRRefP22_3x_0)</f>
        <v>1043.81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1043.81</v>
      </c>
      <c r="Y38" s="1"/>
      <c r="Z38" s="5">
        <f t="shared" si="23"/>
        <v>0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7">
        <v>429.18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429.18</v>
      </c>
      <c r="M39" s="2"/>
      <c r="N39" s="6">
        <f t="shared" si="19"/>
        <v>0</v>
      </c>
      <c r="O39" s="11"/>
      <c r="P39" s="7">
        <v>1043.81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1043.81</v>
      </c>
      <c r="Y39" s="2"/>
      <c r="Z39" s="6">
        <f t="shared" si="23"/>
        <v>0</v>
      </c>
    </row>
    <row r="40" spans="1:26" s="27" customFormat="1" outlineLevel="1" collapsed="1" x14ac:dyDescent="0.25">
      <c r="A40" s="29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SUM(OSRRefD22_4x_0)</f>
        <v>7041.25</v>
      </c>
      <c r="E40" s="1"/>
      <c r="F40" s="5">
        <f t="shared" si="16"/>
        <v>0</v>
      </c>
      <c r="G40" s="1"/>
      <c r="H40" s="1">
        <f>SUM(OSRRefH22_4x_0)</f>
        <v>6821.6399999999994</v>
      </c>
      <c r="I40" s="1"/>
      <c r="J40" s="5">
        <f t="shared" si="17"/>
        <v>0</v>
      </c>
      <c r="K40" s="1"/>
      <c r="L40" s="1">
        <f t="shared" si="18"/>
        <v>219.61000000000058</v>
      </c>
      <c r="M40" s="1"/>
      <c r="N40" s="5">
        <f t="shared" si="19"/>
        <v>3.2193138306917488E-2</v>
      </c>
      <c r="O40" s="14"/>
      <c r="P40" s="1">
        <f>SUM(OSRRefP22_4x_0)</f>
        <v>21123.77</v>
      </c>
      <c r="Q40" s="1"/>
      <c r="R40" s="5">
        <f t="shared" si="20"/>
        <v>0</v>
      </c>
      <c r="S40" s="1"/>
      <c r="T40" s="1">
        <f>SUM(OSRRefT22_4x_0)</f>
        <v>20464.919999999998</v>
      </c>
      <c r="U40" s="1"/>
      <c r="V40" s="5">
        <f t="shared" si="21"/>
        <v>0</v>
      </c>
      <c r="W40" s="1"/>
      <c r="X40" s="1">
        <f t="shared" si="22"/>
        <v>658.85000000000218</v>
      </c>
      <c r="Y40" s="1"/>
      <c r="Z40" s="5">
        <f t="shared" si="23"/>
        <v>3.2194115589017802E-2</v>
      </c>
    </row>
    <row r="41" spans="1:26" s="24" customFormat="1" hidden="1" outlineLevel="2" x14ac:dyDescent="0.25">
      <c r="A41" s="28"/>
      <c r="B41" s="11" t="str">
        <f>CONCATENATE("          ", "6321", " - ", "BUILDING DEPRECIATION")</f>
        <v xml:space="preserve">          6321 - BUILDING DEPRECIATION</v>
      </c>
      <c r="C41" s="11"/>
      <c r="D41" s="7">
        <v>2084.0700000000002</v>
      </c>
      <c r="E41" s="2"/>
      <c r="F41" s="6">
        <f t="shared" si="16"/>
        <v>0</v>
      </c>
      <c r="G41" s="2"/>
      <c r="H41" s="7">
        <v>2266.9499999999998</v>
      </c>
      <c r="I41" s="2"/>
      <c r="J41" s="6">
        <f t="shared" si="17"/>
        <v>0</v>
      </c>
      <c r="K41" s="2"/>
      <c r="L41" s="7">
        <f t="shared" si="18"/>
        <v>-182.87999999999965</v>
      </c>
      <c r="M41" s="2"/>
      <c r="N41" s="6">
        <f t="shared" si="19"/>
        <v>-8.0672268907562877E-2</v>
      </c>
      <c r="O41" s="11"/>
      <c r="P41" s="7">
        <v>6252.23</v>
      </c>
      <c r="Q41" s="2"/>
      <c r="R41" s="6">
        <f t="shared" si="20"/>
        <v>0</v>
      </c>
      <c r="S41" s="2"/>
      <c r="T41" s="7">
        <v>6800.85</v>
      </c>
      <c r="U41" s="2"/>
      <c r="V41" s="6">
        <f t="shared" si="21"/>
        <v>0</v>
      </c>
      <c r="W41" s="2"/>
      <c r="X41" s="7">
        <f t="shared" si="22"/>
        <v>-548.6200000000008</v>
      </c>
      <c r="Y41" s="2"/>
      <c r="Z41" s="6">
        <f t="shared" si="23"/>
        <v>-8.0669328098693663E-2</v>
      </c>
    </row>
    <row r="42" spans="1:26" s="24" customFormat="1" hidden="1" outlineLevel="2" x14ac:dyDescent="0.25">
      <c r="A42" s="28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4957.18</v>
      </c>
      <c r="E42" s="2"/>
      <c r="F42" s="6">
        <f t="shared" si="16"/>
        <v>0</v>
      </c>
      <c r="G42" s="2"/>
      <c r="H42" s="7">
        <v>4130.4399999999996</v>
      </c>
      <c r="I42" s="2"/>
      <c r="J42" s="6">
        <f t="shared" si="17"/>
        <v>0</v>
      </c>
      <c r="K42" s="2"/>
      <c r="L42" s="7">
        <f t="shared" si="18"/>
        <v>826.74000000000069</v>
      </c>
      <c r="M42" s="2"/>
      <c r="N42" s="6">
        <f t="shared" si="19"/>
        <v>0.20015785243218659</v>
      </c>
      <c r="O42" s="11"/>
      <c r="P42" s="7">
        <v>14871.54</v>
      </c>
      <c r="Q42" s="2"/>
      <c r="R42" s="6">
        <f t="shared" si="20"/>
        <v>0</v>
      </c>
      <c r="S42" s="2"/>
      <c r="T42" s="7">
        <v>12391.32</v>
      </c>
      <c r="U42" s="2"/>
      <c r="V42" s="6">
        <f t="shared" si="21"/>
        <v>0</v>
      </c>
      <c r="W42" s="2"/>
      <c r="X42" s="7">
        <f t="shared" si="22"/>
        <v>2480.2200000000012</v>
      </c>
      <c r="Y42" s="2"/>
      <c r="Z42" s="6">
        <f t="shared" si="23"/>
        <v>0.20015785243218651</v>
      </c>
    </row>
    <row r="43" spans="1:26" s="24" customFormat="1" hidden="1" outlineLevel="2" x14ac:dyDescent="0.25">
      <c r="A43" s="28"/>
      <c r="B43" s="11" t="str">
        <f>CONCATENATE("          ", "6326", " - ", "VEHICLES DEPRECIATION EXPENSE")</f>
        <v xml:space="preserve">          6326 - VEHICLES DEPRECIATION EXPENSE</v>
      </c>
      <c r="C43" s="11"/>
      <c r="D43" s="7"/>
      <c r="E43" s="2"/>
      <c r="F43" s="6">
        <f t="shared" si="16"/>
        <v>0</v>
      </c>
      <c r="G43" s="2"/>
      <c r="H43" s="7">
        <v>424.25</v>
      </c>
      <c r="I43" s="2"/>
      <c r="J43" s="6">
        <f t="shared" si="17"/>
        <v>0</v>
      </c>
      <c r="K43" s="2"/>
      <c r="L43" s="7">
        <f t="shared" si="18"/>
        <v>-424.25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1272.75</v>
      </c>
      <c r="U43" s="2"/>
      <c r="V43" s="6">
        <f t="shared" si="21"/>
        <v>0</v>
      </c>
      <c r="W43" s="2"/>
      <c r="X43" s="7">
        <f t="shared" si="22"/>
        <v>-1272.75</v>
      </c>
      <c r="Y43" s="2"/>
      <c r="Z43" s="6">
        <f t="shared" si="23"/>
        <v>-1</v>
      </c>
    </row>
    <row r="44" spans="1:26" s="27" customFormat="1" outlineLevel="1" collapsed="1" x14ac:dyDescent="0.25">
      <c r="A44" s="29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SUM(OSRRefD22_5x_0)</f>
        <v>0</v>
      </c>
      <c r="E44" s="1"/>
      <c r="F44" s="5">
        <f t="shared" ref="F44:F56" si="24">IF(D$12=0,0,D44/D$12)</f>
        <v>0</v>
      </c>
      <c r="G44" s="1"/>
      <c r="H44" s="1">
        <f>SUM(OSRRefH22_5x_0)</f>
        <v>19.84</v>
      </c>
      <c r="I44" s="1"/>
      <c r="J44" s="5">
        <f t="shared" ref="J44:J56" si="25">IF(H$12=0,0,H44/H$12)</f>
        <v>0</v>
      </c>
      <c r="K44" s="1"/>
      <c r="L44" s="1">
        <f t="shared" ref="L44:L56" si="26">+D44-H44</f>
        <v>-19.84</v>
      </c>
      <c r="M44" s="1"/>
      <c r="N44" s="5">
        <f t="shared" ref="N44:N56" si="27">IF(H44=0,0,L44/H44)</f>
        <v>-1</v>
      </c>
      <c r="O44" s="14"/>
      <c r="P44" s="1">
        <f>SUM(OSRRefP22_5x_0)</f>
        <v>0</v>
      </c>
      <c r="Q44" s="1"/>
      <c r="R44" s="5">
        <f t="shared" ref="R44:R56" si="28">IF(P$12=0,0,P44/P$12)</f>
        <v>0</v>
      </c>
      <c r="S44" s="1"/>
      <c r="T44" s="1">
        <f>SUM(OSRRefT22_5x_0)</f>
        <v>192.72</v>
      </c>
      <c r="U44" s="1"/>
      <c r="V44" s="5">
        <f t="shared" ref="V44:V56" si="29">IF(T$12=0,0,T44/T$12)</f>
        <v>0</v>
      </c>
      <c r="W44" s="1"/>
      <c r="X44" s="1">
        <f t="shared" ref="X44:X56" si="30">+P44-T44</f>
        <v>-192.72</v>
      </c>
      <c r="Y44" s="1"/>
      <c r="Z44" s="5">
        <f t="shared" ref="Z44:Z56" si="31">IF(T44=0,0,X44/T44)</f>
        <v>-1</v>
      </c>
    </row>
    <row r="45" spans="1:26" s="24" customFormat="1" hidden="1" outlineLevel="2" x14ac:dyDescent="0.25">
      <c r="A45" s="28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24"/>
        <v>0</v>
      </c>
      <c r="G45" s="2"/>
      <c r="H45" s="7">
        <v>19.84</v>
      </c>
      <c r="I45" s="2"/>
      <c r="J45" s="6">
        <f t="shared" si="25"/>
        <v>0</v>
      </c>
      <c r="K45" s="2"/>
      <c r="L45" s="7">
        <f t="shared" si="26"/>
        <v>-19.84</v>
      </c>
      <c r="M45" s="2"/>
      <c r="N45" s="6">
        <f t="shared" si="27"/>
        <v>-1</v>
      </c>
      <c r="O45" s="11"/>
      <c r="P45" s="7"/>
      <c r="Q45" s="2"/>
      <c r="R45" s="6">
        <f t="shared" si="28"/>
        <v>0</v>
      </c>
      <c r="S45" s="2"/>
      <c r="T45" s="7">
        <v>192.72</v>
      </c>
      <c r="U45" s="2"/>
      <c r="V45" s="6">
        <f t="shared" si="29"/>
        <v>0</v>
      </c>
      <c r="W45" s="2"/>
      <c r="X45" s="7">
        <f t="shared" si="30"/>
        <v>-192.72</v>
      </c>
      <c r="Y45" s="2"/>
      <c r="Z45" s="6">
        <f t="shared" si="31"/>
        <v>-1</v>
      </c>
    </row>
    <row r="46" spans="1:26" s="27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91.26</v>
      </c>
      <c r="E46" s="1"/>
      <c r="F46" s="5">
        <f t="shared" si="24"/>
        <v>0</v>
      </c>
      <c r="G46" s="1"/>
      <c r="H46" s="1">
        <f>SUM(OSRRefH22_6x_0)</f>
        <v>972.8</v>
      </c>
      <c r="I46" s="1"/>
      <c r="J46" s="5">
        <f t="shared" si="25"/>
        <v>0</v>
      </c>
      <c r="K46" s="1"/>
      <c r="L46" s="1">
        <f t="shared" si="26"/>
        <v>-881.54</v>
      </c>
      <c r="M46" s="1"/>
      <c r="N46" s="5">
        <f t="shared" si="27"/>
        <v>-0.90618832236842106</v>
      </c>
      <c r="O46" s="14"/>
      <c r="P46" s="1">
        <f>SUM(OSRRefP22_6x_0)</f>
        <v>601.88</v>
      </c>
      <c r="Q46" s="1"/>
      <c r="R46" s="5">
        <f t="shared" si="28"/>
        <v>0</v>
      </c>
      <c r="S46" s="1"/>
      <c r="T46" s="1">
        <f>SUM(OSRRefT22_6x_0)</f>
        <v>2851.44</v>
      </c>
      <c r="U46" s="1"/>
      <c r="V46" s="5">
        <f t="shared" si="29"/>
        <v>0</v>
      </c>
      <c r="W46" s="1"/>
      <c r="X46" s="1">
        <f t="shared" si="30"/>
        <v>-2249.56</v>
      </c>
      <c r="Y46" s="1"/>
      <c r="Z46" s="5">
        <f t="shared" si="31"/>
        <v>-0.78892068568863449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7">
        <v>91.26</v>
      </c>
      <c r="E47" s="2"/>
      <c r="F47" s="6">
        <f t="shared" si="24"/>
        <v>0</v>
      </c>
      <c r="G47" s="2"/>
      <c r="H47" s="7">
        <v>972.8</v>
      </c>
      <c r="I47" s="2"/>
      <c r="J47" s="6">
        <f t="shared" si="25"/>
        <v>0</v>
      </c>
      <c r="K47" s="2"/>
      <c r="L47" s="7">
        <f t="shared" si="26"/>
        <v>-881.54</v>
      </c>
      <c r="M47" s="2"/>
      <c r="N47" s="6">
        <f t="shared" si="27"/>
        <v>-0.90618832236842106</v>
      </c>
      <c r="O47" s="11"/>
      <c r="P47" s="7">
        <v>601.88</v>
      </c>
      <c r="Q47" s="2"/>
      <c r="R47" s="6">
        <f t="shared" si="28"/>
        <v>0</v>
      </c>
      <c r="S47" s="2"/>
      <c r="T47" s="7">
        <v>2851.44</v>
      </c>
      <c r="U47" s="2"/>
      <c r="V47" s="6">
        <f t="shared" si="29"/>
        <v>0</v>
      </c>
      <c r="W47" s="2"/>
      <c r="X47" s="7">
        <f t="shared" si="30"/>
        <v>-2249.56</v>
      </c>
      <c r="Y47" s="2"/>
      <c r="Z47" s="6">
        <f t="shared" si="31"/>
        <v>-0.78892068568863449</v>
      </c>
    </row>
    <row r="48" spans="1:26" s="27" customFormat="1" outlineLevel="1" collapsed="1" x14ac:dyDescent="0.25">
      <c r="A48" s="29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SUM(OSRRefD22_7x_0)</f>
        <v>-5.41</v>
      </c>
      <c r="E48" s="1"/>
      <c r="F48" s="5">
        <f t="shared" si="24"/>
        <v>0</v>
      </c>
      <c r="G48" s="1"/>
      <c r="H48" s="1">
        <f>SUM(OSRRefH22_7x_0)</f>
        <v>0</v>
      </c>
      <c r="I48" s="1"/>
      <c r="J48" s="5">
        <f t="shared" si="25"/>
        <v>0</v>
      </c>
      <c r="K48" s="1"/>
      <c r="L48" s="1">
        <f t="shared" si="26"/>
        <v>-5.41</v>
      </c>
      <c r="M48" s="1"/>
      <c r="N48" s="5">
        <f t="shared" si="27"/>
        <v>0</v>
      </c>
      <c r="O48" s="14"/>
      <c r="P48" s="1">
        <f>SUM(OSRRefP22_7x_0)</f>
        <v>-5.41</v>
      </c>
      <c r="Q48" s="1"/>
      <c r="R48" s="5">
        <f t="shared" si="28"/>
        <v>0</v>
      </c>
      <c r="S48" s="1"/>
      <c r="T48" s="1">
        <f>SUM(OSRRefT22_7x_0)</f>
        <v>0</v>
      </c>
      <c r="U48" s="1"/>
      <c r="V48" s="5">
        <f t="shared" si="29"/>
        <v>0</v>
      </c>
      <c r="W48" s="1"/>
      <c r="X48" s="1">
        <f t="shared" si="30"/>
        <v>-5.41</v>
      </c>
      <c r="Y48" s="1"/>
      <c r="Z48" s="5">
        <f t="shared" si="31"/>
        <v>0</v>
      </c>
    </row>
    <row r="49" spans="1:26" s="24" customFormat="1" hidden="1" outlineLevel="2" x14ac:dyDescent="0.25">
      <c r="A49" s="28"/>
      <c r="B49" s="11" t="str">
        <f>CONCATENATE("          ", "6307", " - ", "POSTAGE")</f>
        <v xml:space="preserve">          6307 - POSTAGE</v>
      </c>
      <c r="C49" s="11"/>
      <c r="D49" s="7">
        <v>-5.41</v>
      </c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-5.41</v>
      </c>
      <c r="M49" s="2"/>
      <c r="N49" s="6">
        <f t="shared" si="27"/>
        <v>0</v>
      </c>
      <c r="O49" s="11"/>
      <c r="P49" s="7">
        <v>-5.41</v>
      </c>
      <c r="Q49" s="2"/>
      <c r="R49" s="6">
        <f t="shared" si="28"/>
        <v>0</v>
      </c>
      <c r="S49" s="2"/>
      <c r="T49" s="7"/>
      <c r="U49" s="2"/>
      <c r="V49" s="6">
        <f t="shared" si="29"/>
        <v>0</v>
      </c>
      <c r="W49" s="2"/>
      <c r="X49" s="7">
        <f t="shared" si="30"/>
        <v>-5.41</v>
      </c>
      <c r="Y49" s="2"/>
      <c r="Z49" s="6">
        <f t="shared" si="31"/>
        <v>0</v>
      </c>
    </row>
    <row r="50" spans="1:26" s="27" customFormat="1" outlineLevel="1" collapsed="1" x14ac:dyDescent="0.25">
      <c r="A50" s="29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3598.85</v>
      </c>
      <c r="E50" s="1"/>
      <c r="F50" s="5">
        <f t="shared" si="24"/>
        <v>0</v>
      </c>
      <c r="G50" s="1"/>
      <c r="H50" s="1">
        <f>SUM(OSRRefH22_8x_0)</f>
        <v>3598.85</v>
      </c>
      <c r="I50" s="1"/>
      <c r="J50" s="5">
        <f t="shared" si="25"/>
        <v>0</v>
      </c>
      <c r="K50" s="1"/>
      <c r="L50" s="1">
        <f t="shared" si="26"/>
        <v>0</v>
      </c>
      <c r="M50" s="1"/>
      <c r="N50" s="5">
        <f t="shared" si="27"/>
        <v>0</v>
      </c>
      <c r="O50" s="14"/>
      <c r="P50" s="1">
        <f>SUM(OSRRefP22_8x_0)</f>
        <v>10796.55</v>
      </c>
      <c r="Q50" s="1"/>
      <c r="R50" s="5">
        <f t="shared" si="28"/>
        <v>0</v>
      </c>
      <c r="S50" s="1"/>
      <c r="T50" s="1">
        <f>SUM(OSRRefT22_8x_0)</f>
        <v>10796.55</v>
      </c>
      <c r="U50" s="1"/>
      <c r="V50" s="5">
        <f t="shared" si="29"/>
        <v>0</v>
      </c>
      <c r="W50" s="1"/>
      <c r="X50" s="1">
        <f t="shared" si="30"/>
        <v>0</v>
      </c>
      <c r="Y50" s="1"/>
      <c r="Z50" s="5">
        <f t="shared" si="31"/>
        <v>0</v>
      </c>
    </row>
    <row r="51" spans="1:26" s="24" customFormat="1" hidden="1" outlineLevel="2" x14ac:dyDescent="0.25">
      <c r="A51" s="28"/>
      <c r="B51" s="11" t="str">
        <f>CONCATENATE("          ", "6314", " - ", "LIABILITY INSURANCE")</f>
        <v xml:space="preserve">          6314 - LIABILITY INSURANCE</v>
      </c>
      <c r="C51" s="11"/>
      <c r="D51" s="7">
        <v>3598.85</v>
      </c>
      <c r="E51" s="2"/>
      <c r="F51" s="6">
        <f t="shared" si="24"/>
        <v>0</v>
      </c>
      <c r="G51" s="2"/>
      <c r="H51" s="7">
        <v>3598.85</v>
      </c>
      <c r="I51" s="2"/>
      <c r="J51" s="6">
        <f t="shared" si="25"/>
        <v>0</v>
      </c>
      <c r="K51" s="2"/>
      <c r="L51" s="7">
        <f t="shared" si="26"/>
        <v>0</v>
      </c>
      <c r="M51" s="2"/>
      <c r="N51" s="6">
        <f t="shared" si="27"/>
        <v>0</v>
      </c>
      <c r="O51" s="11"/>
      <c r="P51" s="7">
        <v>10796.55</v>
      </c>
      <c r="Q51" s="2"/>
      <c r="R51" s="6">
        <f t="shared" si="28"/>
        <v>0</v>
      </c>
      <c r="S51" s="2"/>
      <c r="T51" s="7">
        <v>10796.55</v>
      </c>
      <c r="U51" s="2"/>
      <c r="V51" s="6">
        <f t="shared" si="29"/>
        <v>0</v>
      </c>
      <c r="W51" s="2"/>
      <c r="X51" s="7">
        <f t="shared" si="30"/>
        <v>0</v>
      </c>
      <c r="Y51" s="2"/>
      <c r="Z51" s="6">
        <f t="shared" si="31"/>
        <v>0</v>
      </c>
    </row>
    <row r="52" spans="1:26" s="27" customFormat="1" outlineLevel="1" collapsed="1" x14ac:dyDescent="0.25">
      <c r="A52" s="29"/>
      <c r="B52" s="14" t="str">
        <f>CONCATENATE("     ","Professional Services                             ")</f>
        <v xml:space="preserve">     Professional Services                             </v>
      </c>
      <c r="C52" s="14"/>
      <c r="D52" s="1">
        <f>SUM(OSRRefD22_9x_0)</f>
        <v>0</v>
      </c>
      <c r="E52" s="1"/>
      <c r="F52" s="5">
        <f t="shared" si="24"/>
        <v>0</v>
      </c>
      <c r="G52" s="1"/>
      <c r="H52" s="1">
        <f>SUM(OSRRefH22_9x_0)</f>
        <v>0</v>
      </c>
      <c r="I52" s="1"/>
      <c r="J52" s="5">
        <f t="shared" si="25"/>
        <v>0</v>
      </c>
      <c r="K52" s="1"/>
      <c r="L52" s="1">
        <f t="shared" si="26"/>
        <v>0</v>
      </c>
      <c r="M52" s="1"/>
      <c r="N52" s="5">
        <f t="shared" si="27"/>
        <v>0</v>
      </c>
      <c r="O52" s="14"/>
      <c r="P52" s="1">
        <f>SUM(OSRRefP22_9x_0)</f>
        <v>0</v>
      </c>
      <c r="Q52" s="1"/>
      <c r="R52" s="5">
        <f t="shared" si="28"/>
        <v>0</v>
      </c>
      <c r="S52" s="1"/>
      <c r="T52" s="1">
        <f>SUM(OSRRefT22_9x_0)</f>
        <v>125</v>
      </c>
      <c r="U52" s="1"/>
      <c r="V52" s="5">
        <f t="shared" si="29"/>
        <v>0</v>
      </c>
      <c r="W52" s="1"/>
      <c r="X52" s="1">
        <f t="shared" si="30"/>
        <v>-125</v>
      </c>
      <c r="Y52" s="1"/>
      <c r="Z52" s="5">
        <f t="shared" si="31"/>
        <v>-1</v>
      </c>
    </row>
    <row r="53" spans="1:26" s="24" customFormat="1" hidden="1" outlineLevel="2" x14ac:dyDescent="0.25">
      <c r="A53" s="28"/>
      <c r="B53" s="11" t="str">
        <f>CONCATENATE("          ", "6336", " - ", "PROFESSIONAL SERVICES")</f>
        <v xml:space="preserve">          6336 - PROFESSIONAL SERVICES</v>
      </c>
      <c r="C53" s="11"/>
      <c r="D53" s="7"/>
      <c r="E53" s="2"/>
      <c r="F53" s="6">
        <f t="shared" si="24"/>
        <v>0</v>
      </c>
      <c r="G53" s="2"/>
      <c r="H53" s="7"/>
      <c r="I53" s="2"/>
      <c r="J53" s="6">
        <f t="shared" si="25"/>
        <v>0</v>
      </c>
      <c r="K53" s="2"/>
      <c r="L53" s="7">
        <f t="shared" si="26"/>
        <v>0</v>
      </c>
      <c r="M53" s="2"/>
      <c r="N53" s="6">
        <f t="shared" si="27"/>
        <v>0</v>
      </c>
      <c r="O53" s="11"/>
      <c r="P53" s="7"/>
      <c r="Q53" s="2"/>
      <c r="R53" s="6">
        <f t="shared" si="28"/>
        <v>0</v>
      </c>
      <c r="S53" s="2"/>
      <c r="T53" s="7">
        <v>125</v>
      </c>
      <c r="U53" s="2"/>
      <c r="V53" s="6">
        <f t="shared" si="29"/>
        <v>0</v>
      </c>
      <c r="W53" s="2"/>
      <c r="X53" s="7">
        <f t="shared" si="30"/>
        <v>-125</v>
      </c>
      <c r="Y53" s="2"/>
      <c r="Z53" s="6">
        <f t="shared" si="31"/>
        <v>-1</v>
      </c>
    </row>
    <row r="54" spans="1:26" s="27" customFormat="1" outlineLevel="1" collapsed="1" x14ac:dyDescent="0.25">
      <c r="A54" s="29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85.95</v>
      </c>
      <c r="E54" s="1"/>
      <c r="F54" s="5">
        <f t="shared" si="24"/>
        <v>0</v>
      </c>
      <c r="G54" s="1"/>
      <c r="H54" s="1">
        <f>SUM(OSRRefH22_10x_0)</f>
        <v>9594.94</v>
      </c>
      <c r="I54" s="1"/>
      <c r="J54" s="5">
        <f t="shared" si="25"/>
        <v>0</v>
      </c>
      <c r="K54" s="1"/>
      <c r="L54" s="1">
        <f t="shared" si="26"/>
        <v>-9508.99</v>
      </c>
      <c r="M54" s="1"/>
      <c r="N54" s="5">
        <f t="shared" si="27"/>
        <v>-0.99104215346839053</v>
      </c>
      <c r="O54" s="14"/>
      <c r="P54" s="1">
        <f>SUM(OSRRefP22_10x_0)</f>
        <v>829.32</v>
      </c>
      <c r="Q54" s="1"/>
      <c r="R54" s="5">
        <f t="shared" si="28"/>
        <v>0</v>
      </c>
      <c r="S54" s="1"/>
      <c r="T54" s="1">
        <f>SUM(OSRRefT22_10x_0)</f>
        <v>36052.47</v>
      </c>
      <c r="U54" s="1"/>
      <c r="V54" s="5">
        <f t="shared" si="29"/>
        <v>0</v>
      </c>
      <c r="W54" s="1"/>
      <c r="X54" s="1">
        <f t="shared" si="30"/>
        <v>-35223.15</v>
      </c>
      <c r="Y54" s="1"/>
      <c r="Z54" s="5">
        <f t="shared" si="31"/>
        <v>-0.97699686040928679</v>
      </c>
    </row>
    <row r="55" spans="1:26" s="24" customFormat="1" hidden="1" outlineLevel="2" x14ac:dyDescent="0.25">
      <c r="A55" s="28"/>
      <c r="B55" s="11" t="str">
        <f>CONCATENATE("          ", "6373", " - ", "MAINTENANCE CONTRACTS")</f>
        <v xml:space="preserve">          6373 - MAINTENANCE CONTRACTS</v>
      </c>
      <c r="C55" s="11"/>
      <c r="D55" s="7">
        <v>85.95</v>
      </c>
      <c r="E55" s="2"/>
      <c r="F55" s="6">
        <f t="shared" si="24"/>
        <v>0</v>
      </c>
      <c r="G55" s="2"/>
      <c r="H55" s="7">
        <v>5024.67</v>
      </c>
      <c r="I55" s="2"/>
      <c r="J55" s="6">
        <f t="shared" si="25"/>
        <v>0</v>
      </c>
      <c r="K55" s="2"/>
      <c r="L55" s="7">
        <f t="shared" si="26"/>
        <v>-4938.72</v>
      </c>
      <c r="M55" s="2"/>
      <c r="N55" s="6">
        <f t="shared" si="27"/>
        <v>-0.98289439903516052</v>
      </c>
      <c r="O55" s="11"/>
      <c r="P55" s="7">
        <v>791.86</v>
      </c>
      <c r="Q55" s="2"/>
      <c r="R55" s="6">
        <f t="shared" si="28"/>
        <v>0</v>
      </c>
      <c r="S55" s="2"/>
      <c r="T55" s="7">
        <v>19097.419999999998</v>
      </c>
      <c r="U55" s="2"/>
      <c r="V55" s="6">
        <f t="shared" si="29"/>
        <v>0</v>
      </c>
      <c r="W55" s="2"/>
      <c r="X55" s="7">
        <f t="shared" si="30"/>
        <v>-18305.559999999998</v>
      </c>
      <c r="Y55" s="2"/>
      <c r="Z55" s="6">
        <f t="shared" si="31"/>
        <v>-0.95853576032783483</v>
      </c>
    </row>
    <row r="56" spans="1:26" s="24" customFormat="1" hidden="1" outlineLevel="2" x14ac:dyDescent="0.25">
      <c r="A56" s="28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24"/>
        <v>0</v>
      </c>
      <c r="G56" s="2"/>
      <c r="H56" s="7">
        <v>4570.2700000000004</v>
      </c>
      <c r="I56" s="2"/>
      <c r="J56" s="6">
        <f t="shared" si="25"/>
        <v>0</v>
      </c>
      <c r="K56" s="2"/>
      <c r="L56" s="7">
        <f t="shared" si="26"/>
        <v>-4570.2700000000004</v>
      </c>
      <c r="M56" s="2"/>
      <c r="N56" s="6">
        <f t="shared" si="27"/>
        <v>-1</v>
      </c>
      <c r="O56" s="11"/>
      <c r="P56" s="7">
        <v>37.46</v>
      </c>
      <c r="Q56" s="2"/>
      <c r="R56" s="6">
        <f t="shared" si="28"/>
        <v>0</v>
      </c>
      <c r="S56" s="2"/>
      <c r="T56" s="7">
        <v>16955.05</v>
      </c>
      <c r="U56" s="2"/>
      <c r="V56" s="6">
        <f t="shared" si="29"/>
        <v>0</v>
      </c>
      <c r="W56" s="2"/>
      <c r="X56" s="7">
        <f t="shared" si="30"/>
        <v>-16917.59</v>
      </c>
      <c r="Y56" s="2"/>
      <c r="Z56" s="6">
        <f t="shared" si="31"/>
        <v>-0.99779062875072622</v>
      </c>
    </row>
    <row r="57" spans="1:26" s="27" customFormat="1" outlineLevel="1" collapsed="1" x14ac:dyDescent="0.25">
      <c r="A57" s="29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0</v>
      </c>
      <c r="E57" s="1"/>
      <c r="F57" s="5">
        <f t="shared" ref="F57:F62" si="32">IF(D$12=0,0,D57/D$12)</f>
        <v>0</v>
      </c>
      <c r="G57" s="1"/>
      <c r="H57" s="1">
        <f>SUM(OSRRefH22_11x_0)</f>
        <v>11295.3</v>
      </c>
      <c r="I57" s="1"/>
      <c r="J57" s="5">
        <f t="shared" ref="J57:J62" si="33">IF(H$12=0,0,H57/H$12)</f>
        <v>0</v>
      </c>
      <c r="K57" s="1"/>
      <c r="L57" s="1">
        <f t="shared" ref="L57:L62" si="34">+D57-H57</f>
        <v>-11295.3</v>
      </c>
      <c r="M57" s="1"/>
      <c r="N57" s="5">
        <f t="shared" ref="N57:N62" si="35">IF(H57=0,0,L57/H57)</f>
        <v>-1</v>
      </c>
      <c r="O57" s="14"/>
      <c r="P57" s="1">
        <f>SUM(OSRRefP22_11x_0)</f>
        <v>0</v>
      </c>
      <c r="Q57" s="1"/>
      <c r="R57" s="5">
        <f t="shared" ref="R57:R62" si="36">IF(P$12=0,0,P57/P$12)</f>
        <v>0</v>
      </c>
      <c r="S57" s="1"/>
      <c r="T57" s="1">
        <f>SUM(OSRRefT22_11x_0)</f>
        <v>35887.340000000004</v>
      </c>
      <c r="U57" s="1"/>
      <c r="V57" s="5">
        <f t="shared" ref="V57:V62" si="37">IF(T$12=0,0,T57/T$12)</f>
        <v>0</v>
      </c>
      <c r="W57" s="1"/>
      <c r="X57" s="1">
        <f t="shared" ref="X57:X62" si="38">+P57-T57</f>
        <v>-35887.340000000004</v>
      </c>
      <c r="Y57" s="1"/>
      <c r="Z57" s="5">
        <f t="shared" ref="Z57:Z62" si="39">IF(T57=0,0,X57/T57)</f>
        <v>-1</v>
      </c>
    </row>
    <row r="58" spans="1:26" s="24" customFormat="1" hidden="1" outlineLevel="2" x14ac:dyDescent="0.25">
      <c r="A58" s="28"/>
      <c r="B58" s="11" t="str">
        <f>CONCATENATE("          ", "6282", " - ", "JANITORIAL/EXTERMINATOR EXPENS")</f>
        <v xml:space="preserve">          6282 - JANITORIAL/EXTERMINATOR EXPENS</v>
      </c>
      <c r="C58" s="11"/>
      <c r="D58" s="7"/>
      <c r="E58" s="2"/>
      <c r="F58" s="6">
        <f t="shared" si="32"/>
        <v>0</v>
      </c>
      <c r="G58" s="2"/>
      <c r="H58" s="7">
        <v>626.26</v>
      </c>
      <c r="I58" s="2"/>
      <c r="J58" s="6">
        <f t="shared" si="33"/>
        <v>0</v>
      </c>
      <c r="K58" s="2"/>
      <c r="L58" s="7">
        <f t="shared" si="34"/>
        <v>-626.26</v>
      </c>
      <c r="M58" s="2"/>
      <c r="N58" s="6">
        <f t="shared" si="35"/>
        <v>-1</v>
      </c>
      <c r="O58" s="11"/>
      <c r="P58" s="7"/>
      <c r="Q58" s="2"/>
      <c r="R58" s="6">
        <f t="shared" si="36"/>
        <v>0</v>
      </c>
      <c r="S58" s="2"/>
      <c r="T58" s="7">
        <v>1878.78</v>
      </c>
      <c r="U58" s="2"/>
      <c r="V58" s="6">
        <f t="shared" si="37"/>
        <v>0</v>
      </c>
      <c r="W58" s="2"/>
      <c r="X58" s="7">
        <f t="shared" si="38"/>
        <v>-1878.78</v>
      </c>
      <c r="Y58" s="2"/>
      <c r="Z58" s="6">
        <f t="shared" si="39"/>
        <v>-1</v>
      </c>
    </row>
    <row r="59" spans="1:26" s="24" customFormat="1" hidden="1" outlineLevel="2" x14ac:dyDescent="0.25">
      <c r="A59" s="28"/>
      <c r="B59" s="11" t="str">
        <f>CONCATENATE("          ", "6283", " - ", "PLANT SERVICE")</f>
        <v xml:space="preserve">          6283 - PLANT SERVICE</v>
      </c>
      <c r="C59" s="11"/>
      <c r="D59" s="7"/>
      <c r="E59" s="2"/>
      <c r="F59" s="6">
        <f t="shared" si="32"/>
        <v>0</v>
      </c>
      <c r="G59" s="2"/>
      <c r="H59" s="7">
        <v>35.53</v>
      </c>
      <c r="I59" s="2"/>
      <c r="J59" s="6">
        <f t="shared" si="33"/>
        <v>0</v>
      </c>
      <c r="K59" s="2"/>
      <c r="L59" s="7">
        <f t="shared" si="34"/>
        <v>-35.53</v>
      </c>
      <c r="M59" s="2"/>
      <c r="N59" s="6">
        <f t="shared" si="35"/>
        <v>-1</v>
      </c>
      <c r="O59" s="11"/>
      <c r="P59" s="7"/>
      <c r="Q59" s="2"/>
      <c r="R59" s="6">
        <f t="shared" si="36"/>
        <v>0</v>
      </c>
      <c r="S59" s="2"/>
      <c r="T59" s="7">
        <v>106.59</v>
      </c>
      <c r="U59" s="2"/>
      <c r="V59" s="6">
        <f t="shared" si="37"/>
        <v>0</v>
      </c>
      <c r="W59" s="2"/>
      <c r="X59" s="7">
        <f t="shared" si="38"/>
        <v>-106.59</v>
      </c>
      <c r="Y59" s="2"/>
      <c r="Z59" s="6">
        <f t="shared" si="39"/>
        <v>-1</v>
      </c>
    </row>
    <row r="60" spans="1:26" s="24" customFormat="1" hidden="1" outlineLevel="2" x14ac:dyDescent="0.25">
      <c r="A60" s="28"/>
      <c r="B60" s="11" t="str">
        <f>CONCATENATE("          ", "6284", " - ", "TRASH REMOVAL EXPENSE")</f>
        <v xml:space="preserve">          6284 - TRASH REMOVAL EXPENSE</v>
      </c>
      <c r="C60" s="11"/>
      <c r="D60" s="7"/>
      <c r="E60" s="2"/>
      <c r="F60" s="6">
        <f t="shared" si="32"/>
        <v>0</v>
      </c>
      <c r="G60" s="2"/>
      <c r="H60" s="7"/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/>
      <c r="Q60" s="2"/>
      <c r="R60" s="6">
        <f t="shared" si="36"/>
        <v>0</v>
      </c>
      <c r="S60" s="2"/>
      <c r="T60" s="7">
        <v>3482</v>
      </c>
      <c r="U60" s="2"/>
      <c r="V60" s="6">
        <f t="shared" si="37"/>
        <v>0</v>
      </c>
      <c r="W60" s="2"/>
      <c r="X60" s="7">
        <f t="shared" si="38"/>
        <v>-3482</v>
      </c>
      <c r="Y60" s="2"/>
      <c r="Z60" s="6">
        <f t="shared" si="39"/>
        <v>-1</v>
      </c>
    </row>
    <row r="61" spans="1:26" s="24" customFormat="1" hidden="1" outlineLevel="2" x14ac:dyDescent="0.25">
      <c r="A61" s="28"/>
      <c r="B61" s="11" t="str">
        <f>CONCATENATE("          ", "6285", " - ", "JANITORIAL SERVICES")</f>
        <v xml:space="preserve">          6285 - JANITORIAL SERVICES</v>
      </c>
      <c r="C61" s="11"/>
      <c r="D61" s="7"/>
      <c r="E61" s="2"/>
      <c r="F61" s="6">
        <f t="shared" si="32"/>
        <v>0</v>
      </c>
      <c r="G61" s="2"/>
      <c r="H61" s="7">
        <v>10633.51</v>
      </c>
      <c r="I61" s="2"/>
      <c r="J61" s="6">
        <f t="shared" si="33"/>
        <v>0</v>
      </c>
      <c r="K61" s="2"/>
      <c r="L61" s="7">
        <f t="shared" si="34"/>
        <v>-10633.51</v>
      </c>
      <c r="M61" s="2"/>
      <c r="N61" s="6">
        <f t="shared" si="35"/>
        <v>-1</v>
      </c>
      <c r="O61" s="11"/>
      <c r="P61" s="7"/>
      <c r="Q61" s="2"/>
      <c r="R61" s="6">
        <f t="shared" si="36"/>
        <v>0</v>
      </c>
      <c r="S61" s="2"/>
      <c r="T61" s="7">
        <v>30340.53</v>
      </c>
      <c r="U61" s="2"/>
      <c r="V61" s="6">
        <f t="shared" si="37"/>
        <v>0</v>
      </c>
      <c r="W61" s="2"/>
      <c r="X61" s="7">
        <f t="shared" si="38"/>
        <v>-30340.53</v>
      </c>
      <c r="Y61" s="2"/>
      <c r="Z61" s="6">
        <f t="shared" si="39"/>
        <v>-1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79.44</v>
      </c>
      <c r="U62" s="2"/>
      <c r="V62" s="6">
        <f t="shared" si="37"/>
        <v>0</v>
      </c>
      <c r="W62" s="2"/>
      <c r="X62" s="7">
        <f t="shared" si="38"/>
        <v>-79.44</v>
      </c>
      <c r="Y62" s="2"/>
      <c r="Z62" s="6">
        <f t="shared" si="39"/>
        <v>-1</v>
      </c>
    </row>
    <row r="63" spans="1:26" s="27" customFormat="1" outlineLevel="1" collapsed="1" x14ac:dyDescent="0.25">
      <c r="A63" s="29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127.89</v>
      </c>
      <c r="E63" s="1"/>
      <c r="F63" s="5">
        <f t="shared" ref="F63:F69" si="40">IF(D$12=0,0,D63/D$12)</f>
        <v>0</v>
      </c>
      <c r="G63" s="1"/>
      <c r="H63" s="1">
        <f>SUM(OSRRefH22_12x_0)</f>
        <v>14323.31</v>
      </c>
      <c r="I63" s="1"/>
      <c r="J63" s="5">
        <f t="shared" ref="J63:J69" si="41">IF(H$12=0,0,H63/H$12)</f>
        <v>0</v>
      </c>
      <c r="K63" s="1"/>
      <c r="L63" s="1">
        <f t="shared" ref="L63:L69" si="42">+D63-H63</f>
        <v>-14195.42</v>
      </c>
      <c r="M63" s="1"/>
      <c r="N63" s="5">
        <f t="shared" ref="N63:N69" si="43">IF(H63=0,0,L63/H63)</f>
        <v>-0.99107119792841181</v>
      </c>
      <c r="O63" s="14"/>
      <c r="P63" s="1">
        <f>SUM(OSRRefP22_12x_0)</f>
        <v>-29072.879999999997</v>
      </c>
      <c r="Q63" s="1"/>
      <c r="R63" s="5">
        <f t="shared" ref="R63:R69" si="44">IF(P$12=0,0,P63/P$12)</f>
        <v>0</v>
      </c>
      <c r="S63" s="1"/>
      <c r="T63" s="1">
        <f>SUM(OSRRefT22_12x_0)</f>
        <v>21715.7</v>
      </c>
      <c r="U63" s="1"/>
      <c r="V63" s="5">
        <f t="shared" ref="V63:V69" si="45">IF(T$12=0,0,T63/T$12)</f>
        <v>0</v>
      </c>
      <c r="W63" s="1"/>
      <c r="X63" s="1">
        <f t="shared" ref="X63:X69" si="46">+P63-T63</f>
        <v>-50788.58</v>
      </c>
      <c r="Y63" s="1"/>
      <c r="Z63" s="5">
        <f t="shared" ref="Z63:Z69" si="47">IF(T63=0,0,X63/T63)</f>
        <v>-2.3387954337184618</v>
      </c>
    </row>
    <row r="64" spans="1:26" s="24" customFormat="1" hidden="1" outlineLevel="2" x14ac:dyDescent="0.25">
      <c r="A64" s="28"/>
      <c r="B64" s="11" t="str">
        <f>CONCATENATE("          ", "6234", " - ", "EXPENDABLE SUPPLIES &amp; EQUIPMEN")</f>
        <v xml:space="preserve">          6234 - EXPENDABLE SUPPLIES &amp; EQUIPMEN</v>
      </c>
      <c r="C64" s="11"/>
      <c r="D64" s="7"/>
      <c r="E64" s="2"/>
      <c r="F64" s="6">
        <f t="shared" si="40"/>
        <v>0</v>
      </c>
      <c r="G64" s="2"/>
      <c r="H64" s="7">
        <v>7670.09</v>
      </c>
      <c r="I64" s="2"/>
      <c r="J64" s="6">
        <f t="shared" si="41"/>
        <v>0</v>
      </c>
      <c r="K64" s="2"/>
      <c r="L64" s="7">
        <f t="shared" si="42"/>
        <v>-7670.09</v>
      </c>
      <c r="M64" s="2"/>
      <c r="N64" s="6">
        <f t="shared" si="43"/>
        <v>-1</v>
      </c>
      <c r="O64" s="11"/>
      <c r="P64" s="7"/>
      <c r="Q64" s="2"/>
      <c r="R64" s="6">
        <f t="shared" si="44"/>
        <v>0</v>
      </c>
      <c r="S64" s="2"/>
      <c r="T64" s="7">
        <v>7670.09</v>
      </c>
      <c r="U64" s="2"/>
      <c r="V64" s="6">
        <f t="shared" si="45"/>
        <v>0</v>
      </c>
      <c r="W64" s="2"/>
      <c r="X64" s="7">
        <f t="shared" si="46"/>
        <v>-7670.09</v>
      </c>
      <c r="Y64" s="2"/>
      <c r="Z64" s="6">
        <f t="shared" si="47"/>
        <v>-1</v>
      </c>
    </row>
    <row r="65" spans="1:26" s="24" customFormat="1" hidden="1" outlineLevel="2" x14ac:dyDescent="0.25">
      <c r="A65" s="28"/>
      <c r="B65" s="11" t="str">
        <f>CONCATENATE("          ", "6235", " - ", "COVID-19 EXPENSES")</f>
        <v xml:space="preserve">          6235 - COVID-19 EXPENSES</v>
      </c>
      <c r="C65" s="11"/>
      <c r="D65" s="7">
        <v>127.89</v>
      </c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127.89</v>
      </c>
      <c r="M65" s="2"/>
      <c r="N65" s="6">
        <f t="shared" si="43"/>
        <v>0</v>
      </c>
      <c r="O65" s="11"/>
      <c r="P65" s="7">
        <v>127.89</v>
      </c>
      <c r="Q65" s="2"/>
      <c r="R65" s="6">
        <f t="shared" si="44"/>
        <v>0</v>
      </c>
      <c r="S65" s="2"/>
      <c r="T65" s="7"/>
      <c r="U65" s="2"/>
      <c r="V65" s="6">
        <f t="shared" si="45"/>
        <v>0</v>
      </c>
      <c r="W65" s="2"/>
      <c r="X65" s="7">
        <f t="shared" si="46"/>
        <v>127.89</v>
      </c>
      <c r="Y65" s="2"/>
      <c r="Z65" s="6">
        <f t="shared" si="47"/>
        <v>0</v>
      </c>
    </row>
    <row r="66" spans="1:26" s="24" customFormat="1" hidden="1" outlineLevel="2" x14ac:dyDescent="0.25">
      <c r="A66" s="28"/>
      <c r="B66" s="11" t="str">
        <f>CONCATENATE("          ", "6237", " - ", "JANITORIAL SUPPLIES")</f>
        <v xml:space="preserve">          6237 - JANITORIAL SUPPLIES</v>
      </c>
      <c r="C66" s="11"/>
      <c r="D66" s="7"/>
      <c r="E66" s="2"/>
      <c r="F66" s="6">
        <f t="shared" si="40"/>
        <v>0</v>
      </c>
      <c r="G66" s="2"/>
      <c r="H66" s="7">
        <v>3257.81</v>
      </c>
      <c r="I66" s="2"/>
      <c r="J66" s="6">
        <f t="shared" si="41"/>
        <v>0</v>
      </c>
      <c r="K66" s="2"/>
      <c r="L66" s="7">
        <f t="shared" si="42"/>
        <v>-3257.81</v>
      </c>
      <c r="M66" s="2"/>
      <c r="N66" s="6">
        <f t="shared" si="43"/>
        <v>-1</v>
      </c>
      <c r="O66" s="11"/>
      <c r="P66" s="7"/>
      <c r="Q66" s="2"/>
      <c r="R66" s="6">
        <f t="shared" si="44"/>
        <v>0</v>
      </c>
      <c r="S66" s="2"/>
      <c r="T66" s="7">
        <v>8915.19</v>
      </c>
      <c r="U66" s="2"/>
      <c r="V66" s="6">
        <f t="shared" si="45"/>
        <v>0</v>
      </c>
      <c r="W66" s="2"/>
      <c r="X66" s="7">
        <f t="shared" si="46"/>
        <v>-8915.19</v>
      </c>
      <c r="Y66" s="2"/>
      <c r="Z66" s="6">
        <f t="shared" si="47"/>
        <v>-1</v>
      </c>
    </row>
    <row r="67" spans="1:26" s="24" customFormat="1" hidden="1" outlineLevel="2" x14ac:dyDescent="0.25">
      <c r="A67" s="28"/>
      <c r="B67" s="11" t="str">
        <f>CONCATENATE("          ", "6239", " - ", "KITCHEN SUPPLIES")</f>
        <v xml:space="preserve">          6239 - KITCHEN SUPPLIES</v>
      </c>
      <c r="C67" s="11"/>
      <c r="D67" s="7"/>
      <c r="E67" s="2"/>
      <c r="F67" s="6">
        <f t="shared" si="40"/>
        <v>0</v>
      </c>
      <c r="G67" s="2"/>
      <c r="H67" s="7">
        <v>2841.98</v>
      </c>
      <c r="I67" s="2"/>
      <c r="J67" s="6">
        <f t="shared" si="41"/>
        <v>0</v>
      </c>
      <c r="K67" s="2"/>
      <c r="L67" s="7">
        <f t="shared" si="42"/>
        <v>-2841.98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5807.45</v>
      </c>
      <c r="U67" s="2"/>
      <c r="V67" s="6">
        <f t="shared" si="45"/>
        <v>0</v>
      </c>
      <c r="W67" s="2"/>
      <c r="X67" s="7">
        <f t="shared" si="46"/>
        <v>-5807.45</v>
      </c>
      <c r="Y67" s="2"/>
      <c r="Z67" s="6">
        <f t="shared" si="47"/>
        <v>-1</v>
      </c>
    </row>
    <row r="68" spans="1:26" s="24" customFormat="1" hidden="1" outlineLevel="2" x14ac:dyDescent="0.25">
      <c r="A68" s="28"/>
      <c r="B68" s="11" t="str">
        <f>CONCATENATE("          ", "6241", " - ", "OFFICE EXPENSE")</f>
        <v xml:space="preserve">          6241 - OFFICE EXPENSE</v>
      </c>
      <c r="C68" s="11"/>
      <c r="D68" s="7"/>
      <c r="E68" s="2"/>
      <c r="F68" s="6">
        <f t="shared" si="40"/>
        <v>0</v>
      </c>
      <c r="G68" s="2"/>
      <c r="H68" s="7">
        <v>553.42999999999995</v>
      </c>
      <c r="I68" s="2"/>
      <c r="J68" s="6">
        <f t="shared" si="41"/>
        <v>0</v>
      </c>
      <c r="K68" s="2"/>
      <c r="L68" s="7">
        <f t="shared" si="42"/>
        <v>-553.42999999999995</v>
      </c>
      <c r="M68" s="2"/>
      <c r="N68" s="6">
        <f t="shared" si="43"/>
        <v>-1</v>
      </c>
      <c r="O68" s="11"/>
      <c r="P68" s="7">
        <v>-29200.769999999997</v>
      </c>
      <c r="Q68" s="2"/>
      <c r="R68" s="6">
        <f t="shared" si="44"/>
        <v>0</v>
      </c>
      <c r="S68" s="2"/>
      <c r="T68" s="7">
        <v>-909.84</v>
      </c>
      <c r="U68" s="2"/>
      <c r="V68" s="6">
        <f t="shared" si="45"/>
        <v>0</v>
      </c>
      <c r="W68" s="2"/>
      <c r="X68" s="7">
        <f t="shared" si="46"/>
        <v>-28290.929999999997</v>
      </c>
      <c r="Y68" s="2"/>
      <c r="Z68" s="6">
        <f t="shared" si="47"/>
        <v>31.094401213400154</v>
      </c>
    </row>
    <row r="69" spans="1:26" s="24" customFormat="1" hidden="1" outlineLevel="2" x14ac:dyDescent="0.25">
      <c r="A69" s="28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40"/>
        <v>0</v>
      </c>
      <c r="G69" s="2"/>
      <c r="H69" s="7"/>
      <c r="I69" s="2"/>
      <c r="J69" s="6">
        <f t="shared" si="41"/>
        <v>0</v>
      </c>
      <c r="K69" s="2"/>
      <c r="L69" s="7">
        <f t="shared" si="42"/>
        <v>0</v>
      </c>
      <c r="M69" s="2"/>
      <c r="N69" s="6">
        <f t="shared" si="43"/>
        <v>0</v>
      </c>
      <c r="O69" s="11"/>
      <c r="P69" s="7"/>
      <c r="Q69" s="2"/>
      <c r="R69" s="6">
        <f t="shared" si="44"/>
        <v>0</v>
      </c>
      <c r="S69" s="2"/>
      <c r="T69" s="7">
        <v>232.81</v>
      </c>
      <c r="U69" s="2"/>
      <c r="V69" s="6">
        <f t="shared" si="45"/>
        <v>0</v>
      </c>
      <c r="W69" s="2"/>
      <c r="X69" s="7">
        <f t="shared" si="46"/>
        <v>-232.81</v>
      </c>
      <c r="Y69" s="2"/>
      <c r="Z69" s="6">
        <f t="shared" si="47"/>
        <v>-1</v>
      </c>
    </row>
    <row r="70" spans="1:26" s="27" customFormat="1" outlineLevel="1" collapsed="1" x14ac:dyDescent="0.25">
      <c r="A70" s="29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SUM(OSRRefD22_13x_0)</f>
        <v>100</v>
      </c>
      <c r="E70" s="1"/>
      <c r="F70" s="5">
        <f t="shared" ref="F70:F77" si="48">IF(D$12=0,0,D70/D$12)</f>
        <v>0</v>
      </c>
      <c r="G70" s="1"/>
      <c r="H70" s="1">
        <f>SUM(OSRRefH22_13x_0)</f>
        <v>550</v>
      </c>
      <c r="I70" s="1"/>
      <c r="J70" s="5">
        <f t="shared" ref="J70:J77" si="49">IF(H$12=0,0,H70/H$12)</f>
        <v>0</v>
      </c>
      <c r="K70" s="1"/>
      <c r="L70" s="1">
        <f t="shared" ref="L70:L77" si="50">+D70-H70</f>
        <v>-450</v>
      </c>
      <c r="M70" s="1"/>
      <c r="N70" s="5">
        <f t="shared" ref="N70:N77" si="51">IF(H70=0,0,L70/H70)</f>
        <v>-0.81818181818181823</v>
      </c>
      <c r="O70" s="14"/>
      <c r="P70" s="1">
        <f>SUM(OSRRefP22_13x_0)</f>
        <v>879.3</v>
      </c>
      <c r="Q70" s="1"/>
      <c r="R70" s="5">
        <f t="shared" ref="R70:R77" si="52">IF(P$12=0,0,P70/P$12)</f>
        <v>0</v>
      </c>
      <c r="S70" s="1"/>
      <c r="T70" s="1">
        <f>SUM(OSRRefT22_13x_0)</f>
        <v>1022.55</v>
      </c>
      <c r="U70" s="1"/>
      <c r="V70" s="5">
        <f t="shared" ref="V70:V77" si="53">IF(T$12=0,0,T70/T$12)</f>
        <v>0</v>
      </c>
      <c r="W70" s="1"/>
      <c r="X70" s="1">
        <f t="shared" ref="X70:X77" si="54">+P70-T70</f>
        <v>-143.25</v>
      </c>
      <c r="Y70" s="1"/>
      <c r="Z70" s="5">
        <f t="shared" ref="Z70:Z77" si="55">IF(T70=0,0,X70/T70)</f>
        <v>-0.14009094909784364</v>
      </c>
    </row>
    <row r="71" spans="1:26" s="24" customFormat="1" hidden="1" outlineLevel="2" x14ac:dyDescent="0.25">
      <c r="A71" s="28"/>
      <c r="B71" s="11" t="str">
        <f>CONCATENATE("          ", "6309", " - ", "TELEPHONE")</f>
        <v xml:space="preserve">          6309 - TELEPHONE</v>
      </c>
      <c r="C71" s="11"/>
      <c r="D71" s="7">
        <v>100</v>
      </c>
      <c r="E71" s="2"/>
      <c r="F71" s="6">
        <f t="shared" si="48"/>
        <v>0</v>
      </c>
      <c r="G71" s="2"/>
      <c r="H71" s="7">
        <v>550</v>
      </c>
      <c r="I71" s="2"/>
      <c r="J71" s="6">
        <f t="shared" si="49"/>
        <v>0</v>
      </c>
      <c r="K71" s="2"/>
      <c r="L71" s="7">
        <f t="shared" si="50"/>
        <v>-450</v>
      </c>
      <c r="M71" s="2"/>
      <c r="N71" s="6">
        <f t="shared" si="51"/>
        <v>-0.81818181818181823</v>
      </c>
      <c r="O71" s="11"/>
      <c r="P71" s="7">
        <v>879.3</v>
      </c>
      <c r="Q71" s="2"/>
      <c r="R71" s="6">
        <f t="shared" si="52"/>
        <v>0</v>
      </c>
      <c r="S71" s="2"/>
      <c r="T71" s="7">
        <v>1022.55</v>
      </c>
      <c r="U71" s="2"/>
      <c r="V71" s="6">
        <f t="shared" si="53"/>
        <v>0</v>
      </c>
      <c r="W71" s="2"/>
      <c r="X71" s="7">
        <f t="shared" si="54"/>
        <v>-143.25</v>
      </c>
      <c r="Y71" s="2"/>
      <c r="Z71" s="6">
        <f t="shared" si="55"/>
        <v>-0.14009094909784364</v>
      </c>
    </row>
    <row r="72" spans="1:26" s="27" customFormat="1" outlineLevel="1" collapsed="1" x14ac:dyDescent="0.25">
      <c r="A72" s="29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SUM(OSRRefD22_14x_0)</f>
        <v>0</v>
      </c>
      <c r="E72" s="1"/>
      <c r="F72" s="5">
        <f t="shared" si="48"/>
        <v>0</v>
      </c>
      <c r="G72" s="1"/>
      <c r="H72" s="1">
        <f>SUM(OSRRefH22_14x_0)</f>
        <v>0</v>
      </c>
      <c r="I72" s="1"/>
      <c r="J72" s="5">
        <f t="shared" si="49"/>
        <v>0</v>
      </c>
      <c r="K72" s="1"/>
      <c r="L72" s="1">
        <f t="shared" si="50"/>
        <v>0</v>
      </c>
      <c r="M72" s="1"/>
      <c r="N72" s="5">
        <f t="shared" si="51"/>
        <v>0</v>
      </c>
      <c r="O72" s="14"/>
      <c r="P72" s="1">
        <f>SUM(OSRRefP22_14x_0)</f>
        <v>0</v>
      </c>
      <c r="Q72" s="1"/>
      <c r="R72" s="5">
        <f t="shared" si="52"/>
        <v>0</v>
      </c>
      <c r="S72" s="1"/>
      <c r="T72" s="1">
        <f>SUM(OSRRefT22_14x_0)</f>
        <v>240</v>
      </c>
      <c r="U72" s="1"/>
      <c r="V72" s="5">
        <f t="shared" si="53"/>
        <v>0</v>
      </c>
      <c r="W72" s="1"/>
      <c r="X72" s="1">
        <f t="shared" si="54"/>
        <v>-240</v>
      </c>
      <c r="Y72" s="1"/>
      <c r="Z72" s="5">
        <f t="shared" si="55"/>
        <v>-1</v>
      </c>
    </row>
    <row r="73" spans="1:26" s="24" customFormat="1" hidden="1" outlineLevel="2" x14ac:dyDescent="0.25">
      <c r="A73" s="28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48"/>
        <v>0</v>
      </c>
      <c r="G73" s="2"/>
      <c r="H73" s="7"/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/>
      <c r="Q73" s="2"/>
      <c r="R73" s="6">
        <f t="shared" si="52"/>
        <v>0</v>
      </c>
      <c r="S73" s="2"/>
      <c r="T73" s="7">
        <v>240</v>
      </c>
      <c r="U73" s="2"/>
      <c r="V73" s="6">
        <f t="shared" si="53"/>
        <v>0</v>
      </c>
      <c r="W73" s="2"/>
      <c r="X73" s="7">
        <f t="shared" si="54"/>
        <v>-240</v>
      </c>
      <c r="Y73" s="2"/>
      <c r="Z73" s="6">
        <f t="shared" si="55"/>
        <v>-1</v>
      </c>
    </row>
    <row r="74" spans="1:26" s="27" customFormat="1" outlineLevel="1" collapsed="1" x14ac:dyDescent="0.25">
      <c r="A74" s="29"/>
      <c r="B74" s="14" t="str">
        <f>CONCATENATE("     ","Travel                                            ")</f>
        <v xml:space="preserve">     Travel                                            </v>
      </c>
      <c r="C74" s="14"/>
      <c r="D74" s="1">
        <f>SUM(OSRRefD22_15x_0)</f>
        <v>152.52000000000001</v>
      </c>
      <c r="E74" s="1"/>
      <c r="F74" s="5">
        <f t="shared" si="48"/>
        <v>0</v>
      </c>
      <c r="G74" s="1"/>
      <c r="H74" s="1">
        <f>SUM(OSRRefH22_15x_0)</f>
        <v>249.82</v>
      </c>
      <c r="I74" s="1"/>
      <c r="J74" s="5">
        <f t="shared" si="49"/>
        <v>0</v>
      </c>
      <c r="K74" s="1"/>
      <c r="L74" s="1">
        <f t="shared" si="50"/>
        <v>-97.299999999999983</v>
      </c>
      <c r="M74" s="1"/>
      <c r="N74" s="5">
        <f t="shared" si="51"/>
        <v>-0.38948042590665272</v>
      </c>
      <c r="O74" s="14"/>
      <c r="P74" s="1">
        <f>SUM(OSRRefP22_15x_0)</f>
        <v>332.21</v>
      </c>
      <c r="Q74" s="1"/>
      <c r="R74" s="5">
        <f t="shared" si="52"/>
        <v>0</v>
      </c>
      <c r="S74" s="1"/>
      <c r="T74" s="1">
        <f>SUM(OSRRefT22_15x_0)</f>
        <v>1101.18</v>
      </c>
      <c r="U74" s="1"/>
      <c r="V74" s="5">
        <f t="shared" si="53"/>
        <v>0</v>
      </c>
      <c r="W74" s="1"/>
      <c r="X74" s="1">
        <f t="shared" si="54"/>
        <v>-768.97</v>
      </c>
      <c r="Y74" s="1"/>
      <c r="Z74" s="5">
        <f t="shared" si="55"/>
        <v>-0.69831453531666032</v>
      </c>
    </row>
    <row r="75" spans="1:26" s="24" customFormat="1" hidden="1" outlineLevel="2" x14ac:dyDescent="0.25">
      <c r="A75" s="28"/>
      <c r="B75" s="11" t="str">
        <f>CONCATENATE("          ", "6292", " - ", "TRAVEL/CONFERENCE")</f>
        <v xml:space="preserve">          6292 - TRAVEL/CONFERENCE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/>
      <c r="Q75" s="2"/>
      <c r="R75" s="6">
        <f t="shared" si="52"/>
        <v>0</v>
      </c>
      <c r="S75" s="2"/>
      <c r="T75" s="7">
        <v>545.69000000000005</v>
      </c>
      <c r="U75" s="2"/>
      <c r="V75" s="6">
        <f t="shared" si="53"/>
        <v>0</v>
      </c>
      <c r="W75" s="2"/>
      <c r="X75" s="7">
        <f t="shared" si="54"/>
        <v>-545.69000000000005</v>
      </c>
      <c r="Y75" s="2"/>
      <c r="Z75" s="6">
        <f t="shared" si="55"/>
        <v>-1</v>
      </c>
    </row>
    <row r="76" spans="1:26" s="24" customFormat="1" hidden="1" outlineLevel="2" x14ac:dyDescent="0.25">
      <c r="A76" s="28"/>
      <c r="B76" s="11" t="str">
        <f>CONCATENATE("          ", "6294", " - ", "TRAVEL OPERATIONAL")</f>
        <v xml:space="preserve">          6294 - TRAVEL OPERATIONAL</v>
      </c>
      <c r="C76" s="11"/>
      <c r="D76" s="7"/>
      <c r="E76" s="2"/>
      <c r="F76" s="6">
        <f t="shared" si="48"/>
        <v>0</v>
      </c>
      <c r="G76" s="2"/>
      <c r="H76" s="7"/>
      <c r="I76" s="2"/>
      <c r="J76" s="6">
        <f t="shared" si="49"/>
        <v>0</v>
      </c>
      <c r="K76" s="2"/>
      <c r="L76" s="7">
        <f t="shared" si="50"/>
        <v>0</v>
      </c>
      <c r="M76" s="2"/>
      <c r="N76" s="6">
        <f t="shared" si="51"/>
        <v>0</v>
      </c>
      <c r="O76" s="11"/>
      <c r="P76" s="7"/>
      <c r="Q76" s="2"/>
      <c r="R76" s="6">
        <f t="shared" si="52"/>
        <v>0</v>
      </c>
      <c r="S76" s="2"/>
      <c r="T76" s="7">
        <v>45.49</v>
      </c>
      <c r="U76" s="2"/>
      <c r="V76" s="6">
        <f t="shared" si="53"/>
        <v>0</v>
      </c>
      <c r="W76" s="2"/>
      <c r="X76" s="7">
        <f t="shared" si="54"/>
        <v>-45.49</v>
      </c>
      <c r="Y76" s="2"/>
      <c r="Z76" s="6">
        <f t="shared" si="55"/>
        <v>-1</v>
      </c>
    </row>
    <row r="77" spans="1:26" s="24" customFormat="1" hidden="1" outlineLevel="2" x14ac:dyDescent="0.25">
      <c r="A77" s="28"/>
      <c r="B77" s="11" t="str">
        <f>CONCATENATE("          ", "6298", " - ", "VEHICLE MILEAGE")</f>
        <v xml:space="preserve">          6298 - VEHICLE MILEAGE</v>
      </c>
      <c r="C77" s="11"/>
      <c r="D77" s="7">
        <v>152.52000000000001</v>
      </c>
      <c r="E77" s="2"/>
      <c r="F77" s="6">
        <f t="shared" si="48"/>
        <v>0</v>
      </c>
      <c r="G77" s="2"/>
      <c r="H77" s="7">
        <v>249.82</v>
      </c>
      <c r="I77" s="2"/>
      <c r="J77" s="6">
        <f t="shared" si="49"/>
        <v>0</v>
      </c>
      <c r="K77" s="2"/>
      <c r="L77" s="7">
        <f t="shared" si="50"/>
        <v>-97.299999999999983</v>
      </c>
      <c r="M77" s="2"/>
      <c r="N77" s="6">
        <f t="shared" si="51"/>
        <v>-0.38948042590665272</v>
      </c>
      <c r="O77" s="11"/>
      <c r="P77" s="7">
        <v>332.21</v>
      </c>
      <c r="Q77" s="2"/>
      <c r="R77" s="6">
        <f t="shared" si="52"/>
        <v>0</v>
      </c>
      <c r="S77" s="2"/>
      <c r="T77" s="7">
        <v>510</v>
      </c>
      <c r="U77" s="2"/>
      <c r="V77" s="6">
        <f t="shared" si="53"/>
        <v>0</v>
      </c>
      <c r="W77" s="2"/>
      <c r="X77" s="7">
        <f t="shared" si="54"/>
        <v>-177.79000000000002</v>
      </c>
      <c r="Y77" s="2"/>
      <c r="Z77" s="6">
        <f t="shared" si="55"/>
        <v>-0.34860784313725496</v>
      </c>
    </row>
    <row r="78" spans="1:26" s="27" customFormat="1" outlineLevel="1" collapsed="1" x14ac:dyDescent="0.25">
      <c r="A78" s="29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SUM(OSRRefD22_16x_0)</f>
        <v>0</v>
      </c>
      <c r="E78" s="1"/>
      <c r="F78" s="5">
        <f t="shared" ref="F78:F79" si="56">IF(D$12=0,0,D78/D$12)</f>
        <v>0</v>
      </c>
      <c r="G78" s="1"/>
      <c r="H78" s="1">
        <f>SUM(OSRRefH22_16x_0)</f>
        <v>14836</v>
      </c>
      <c r="I78" s="1"/>
      <c r="J78" s="5">
        <f t="shared" ref="J78:J79" si="57">IF(H$12=0,0,H78/H$12)</f>
        <v>0</v>
      </c>
      <c r="K78" s="1"/>
      <c r="L78" s="1">
        <f t="shared" ref="L78:L79" si="58">+D78-H78</f>
        <v>-14836</v>
      </c>
      <c r="M78" s="1"/>
      <c r="N78" s="5">
        <f t="shared" ref="N78:N79" si="59">IF(H78=0,0,L78/H78)</f>
        <v>-1</v>
      </c>
      <c r="O78" s="14"/>
      <c r="P78" s="1">
        <f>SUM(OSRRefP22_16x_0)</f>
        <v>0</v>
      </c>
      <c r="Q78" s="1"/>
      <c r="R78" s="5">
        <f t="shared" ref="R78:R79" si="60">IF(P$12=0,0,P78/P$12)</f>
        <v>0</v>
      </c>
      <c r="S78" s="1"/>
      <c r="T78" s="1">
        <f>SUM(OSRRefT22_16x_0)</f>
        <v>26190</v>
      </c>
      <c r="U78" s="1"/>
      <c r="V78" s="5">
        <f t="shared" ref="V78:V79" si="61">IF(T$12=0,0,T78/T$12)</f>
        <v>0</v>
      </c>
      <c r="W78" s="1"/>
      <c r="X78" s="1">
        <f t="shared" ref="X78:X79" si="62">+P78-T78</f>
        <v>-26190</v>
      </c>
      <c r="Y78" s="1"/>
      <c r="Z78" s="5">
        <f t="shared" ref="Z78:Z79" si="63">IF(T78=0,0,X78/T78)</f>
        <v>-1</v>
      </c>
    </row>
    <row r="79" spans="1:26" s="24" customFormat="1" hidden="1" outlineLevel="2" x14ac:dyDescent="0.25">
      <c r="A79" s="28"/>
      <c r="B79" s="11" t="str">
        <f>CONCATENATE("          ", "6274", " - ", "UTILITIES")</f>
        <v xml:space="preserve">          6274 - UTILITIES</v>
      </c>
      <c r="C79" s="11"/>
      <c r="D79" s="7"/>
      <c r="E79" s="2"/>
      <c r="F79" s="6">
        <f t="shared" si="56"/>
        <v>0</v>
      </c>
      <c r="G79" s="2"/>
      <c r="H79" s="7">
        <v>14836</v>
      </c>
      <c r="I79" s="2"/>
      <c r="J79" s="6">
        <f t="shared" si="57"/>
        <v>0</v>
      </c>
      <c r="K79" s="2"/>
      <c r="L79" s="7">
        <f t="shared" si="58"/>
        <v>-14836</v>
      </c>
      <c r="M79" s="2"/>
      <c r="N79" s="6">
        <f t="shared" si="59"/>
        <v>-1</v>
      </c>
      <c r="O79" s="11"/>
      <c r="P79" s="7"/>
      <c r="Q79" s="2"/>
      <c r="R79" s="6">
        <f t="shared" si="60"/>
        <v>0</v>
      </c>
      <c r="S79" s="2"/>
      <c r="T79" s="7">
        <v>26190</v>
      </c>
      <c r="U79" s="2"/>
      <c r="V79" s="6">
        <f t="shared" si="61"/>
        <v>0</v>
      </c>
      <c r="W79" s="2"/>
      <c r="X79" s="7">
        <f t="shared" si="62"/>
        <v>-26190</v>
      </c>
      <c r="Y79" s="2"/>
      <c r="Z79" s="6">
        <f t="shared" si="63"/>
        <v>-1</v>
      </c>
    </row>
    <row r="80" spans="1:26" s="60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6" t="s">
        <v>0</v>
      </c>
      <c r="C81" s="10"/>
      <c r="D81" s="4">
        <f>SUM(OSRRefD25x_0)</f>
        <v>180.85</v>
      </c>
      <c r="E81" s="4"/>
      <c r="F81" s="12">
        <f t="shared" ref="F81:F83" si="64">IF(D$12=0,0,D81/D$12)</f>
        <v>0</v>
      </c>
      <c r="G81" s="4"/>
      <c r="H81" s="4">
        <f>SUM(OSRRefH25x_0)</f>
        <v>7639.18</v>
      </c>
      <c r="I81" s="4"/>
      <c r="J81" s="12">
        <f t="shared" ref="J81:J83" si="65">IF(H$12=0,0,H81/H$12)</f>
        <v>0</v>
      </c>
      <c r="K81" s="4"/>
      <c r="L81" s="4">
        <f t="shared" ref="L81:L83" si="66">+D81-H81</f>
        <v>-7458.33</v>
      </c>
      <c r="M81" s="4"/>
      <c r="N81" s="12">
        <f t="shared" ref="N81:N83" si="67">IF(H81=0,0,L81/H81)</f>
        <v>-0.97632599310397183</v>
      </c>
      <c r="O81" s="10"/>
      <c r="P81" s="4">
        <f>SUM(OSRRefP25x_0)</f>
        <v>1319.69</v>
      </c>
      <c r="Q81" s="4"/>
      <c r="R81" s="12">
        <f t="shared" ref="R81:R83" si="68">IF(P$12=0,0,P81/P$12)</f>
        <v>0</v>
      </c>
      <c r="S81" s="4"/>
      <c r="T81" s="4">
        <f>SUM(OSRRefT25x_0)</f>
        <v>10454.32</v>
      </c>
      <c r="U81" s="4"/>
      <c r="V81" s="12">
        <f t="shared" ref="V81:V83" si="69">IF(T$12=0,0,T81/T$12)</f>
        <v>0</v>
      </c>
      <c r="W81" s="4"/>
      <c r="X81" s="4">
        <f t="shared" ref="X81:X83" si="70">+P81-T81</f>
        <v>-9134.6299999999992</v>
      </c>
      <c r="Y81" s="4"/>
      <c r="Z81" s="12">
        <f t="shared" ref="Z81:Z83" si="71">IF(T81=0,0,X81/T81)</f>
        <v>-0.87376606034634485</v>
      </c>
    </row>
    <row r="82" spans="1:26" s="24" customFormat="1" hidden="1" outlineLevel="1" x14ac:dyDescent="0.25">
      <c r="A82" s="44"/>
      <c r="B82" s="11" t="str">
        <f>CONCATENATE("          ", "9150", " - ", "MISC. INCOME")</f>
        <v xml:space="preserve">          9150 - MISC. INCOME</v>
      </c>
      <c r="C82" s="11"/>
      <c r="D82" s="2">
        <f>--180.85</f>
        <v>180.85</v>
      </c>
      <c r="E82" s="2"/>
      <c r="F82" s="19">
        <f t="shared" si="64"/>
        <v>0</v>
      </c>
      <c r="G82" s="2"/>
      <c r="H82" s="2">
        <f>--7639.18</f>
        <v>7639.18</v>
      </c>
      <c r="I82" s="2"/>
      <c r="J82" s="19">
        <f t="shared" si="65"/>
        <v>0</v>
      </c>
      <c r="K82" s="2"/>
      <c r="L82" s="2">
        <f t="shared" si="66"/>
        <v>-7458.33</v>
      </c>
      <c r="M82" s="2"/>
      <c r="N82" s="19">
        <f t="shared" si="67"/>
        <v>-0.97632599310397183</v>
      </c>
      <c r="O82" s="11"/>
      <c r="P82" s="2">
        <f>--693.26</f>
        <v>693.26</v>
      </c>
      <c r="Q82" s="2"/>
      <c r="R82" s="19">
        <f t="shared" si="68"/>
        <v>0</v>
      </c>
      <c r="S82" s="2"/>
      <c r="T82" s="2">
        <f>--9443.39</f>
        <v>9443.39</v>
      </c>
      <c r="U82" s="2"/>
      <c r="V82" s="19">
        <f t="shared" si="69"/>
        <v>0</v>
      </c>
      <c r="W82" s="2"/>
      <c r="X82" s="2">
        <f t="shared" si="70"/>
        <v>-8750.1299999999992</v>
      </c>
      <c r="Y82" s="2"/>
      <c r="Z82" s="19">
        <f t="shared" si="71"/>
        <v>-0.92658780374420624</v>
      </c>
    </row>
    <row r="83" spans="1:26" s="24" customFormat="1" hidden="1" outlineLevel="1" x14ac:dyDescent="0.25">
      <c r="A83" s="44"/>
      <c r="B83" s="11" t="str">
        <f>CONCATENATE("          ", "9160", " - ", "MISC. INCOME")</f>
        <v xml:space="preserve">          9160 - MISC. INCOME</v>
      </c>
      <c r="C83" s="11"/>
      <c r="D83" s="2">
        <f>0</f>
        <v>0</v>
      </c>
      <c r="E83" s="2"/>
      <c r="F83" s="19">
        <f t="shared" si="64"/>
        <v>0</v>
      </c>
      <c r="G83" s="2"/>
      <c r="H83" s="2">
        <f>0</f>
        <v>0</v>
      </c>
      <c r="I83" s="2"/>
      <c r="J83" s="19">
        <f t="shared" si="65"/>
        <v>0</v>
      </c>
      <c r="K83" s="2"/>
      <c r="L83" s="2">
        <f t="shared" si="66"/>
        <v>0</v>
      </c>
      <c r="M83" s="2"/>
      <c r="N83" s="19">
        <f t="shared" si="67"/>
        <v>0</v>
      </c>
      <c r="O83" s="11"/>
      <c r="P83" s="2">
        <f>--626.43</f>
        <v>626.42999999999995</v>
      </c>
      <c r="Q83" s="2"/>
      <c r="R83" s="19">
        <f t="shared" si="68"/>
        <v>0</v>
      </c>
      <c r="S83" s="2"/>
      <c r="T83" s="2">
        <f>--1010.93</f>
        <v>1010.93</v>
      </c>
      <c r="U83" s="2"/>
      <c r="V83" s="19">
        <f t="shared" si="69"/>
        <v>0</v>
      </c>
      <c r="W83" s="2"/>
      <c r="X83" s="2">
        <f t="shared" si="70"/>
        <v>-384.5</v>
      </c>
      <c r="Y83" s="2"/>
      <c r="Z83" s="19">
        <f t="shared" si="71"/>
        <v>-0.3803428526208541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5" t="s">
        <v>3</v>
      </c>
      <c r="C85" s="25"/>
      <c r="D85" s="22">
        <f>+D16-D18+D81</f>
        <v>-28249.09</v>
      </c>
      <c r="E85" s="13"/>
      <c r="F85" s="21">
        <f>IF(D$12=0,0,D85/D$12)</f>
        <v>0</v>
      </c>
      <c r="G85" s="13"/>
      <c r="H85" s="22">
        <f>+H16-H18+H81</f>
        <v>-92130.4</v>
      </c>
      <c r="I85" s="13"/>
      <c r="J85" s="21">
        <f>IF(H$12=0,0,H85/H$12)</f>
        <v>0</v>
      </c>
      <c r="K85" s="15"/>
      <c r="L85" s="22">
        <f>+D85-H85</f>
        <v>63881.31</v>
      </c>
      <c r="M85" s="15"/>
      <c r="N85" s="21">
        <f>IF(H85=0,0,L85/H85)</f>
        <v>-0.69337927546173683</v>
      </c>
      <c r="O85" s="26"/>
      <c r="P85" s="22">
        <f>+P16-P18+P81</f>
        <v>-57432.460000000006</v>
      </c>
      <c r="Q85" s="13"/>
      <c r="R85" s="21">
        <f>IF(P$12=0,0,P85/P$12)</f>
        <v>0</v>
      </c>
      <c r="S85" s="13"/>
      <c r="T85" s="22">
        <f>+T16-T18+T81</f>
        <v>-261036.2</v>
      </c>
      <c r="U85" s="13"/>
      <c r="V85" s="21">
        <f>IF(T$12=0,0,T85/T$12)</f>
        <v>0</v>
      </c>
      <c r="W85" s="15"/>
      <c r="X85" s="22">
        <f>+P85-T85</f>
        <v>203603.74</v>
      </c>
      <c r="Y85" s="15"/>
      <c r="Z85" s="21">
        <f>IF(T85=0,0,X85/T85)</f>
        <v>-0.77998277633523616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1"/>
      <c r="B87" s="10" t="s">
        <v>13</v>
      </c>
      <c r="C87" s="10"/>
      <c r="D87" s="4"/>
      <c r="E87" s="4"/>
      <c r="F87" s="12">
        <f>IF(D$12=0,0,D87/D$12)</f>
        <v>0</v>
      </c>
      <c r="G87" s="4"/>
      <c r="H87" s="4"/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/>
      <c r="Q87" s="4"/>
      <c r="R87" s="12">
        <f>IF(P$12=0,0,P87/P$12)</f>
        <v>0</v>
      </c>
      <c r="S87" s="4"/>
      <c r="T87" s="4"/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4</v>
      </c>
      <c r="C89" s="25"/>
      <c r="D89" s="33">
        <f>+D85-D87</f>
        <v>-28249.09</v>
      </c>
      <c r="E89" s="13"/>
      <c r="F89" s="32">
        <f>IF(D$12=0,0,D89/D$12)</f>
        <v>0</v>
      </c>
      <c r="G89" s="13"/>
      <c r="H89" s="33">
        <f>+H85-H87</f>
        <v>-92130.4</v>
      </c>
      <c r="I89" s="13"/>
      <c r="J89" s="32">
        <f>IF(H$12=0,0,H89/H$12)</f>
        <v>0</v>
      </c>
      <c r="K89" s="15"/>
      <c r="L89" s="33">
        <f>D89-H89</f>
        <v>63881.31</v>
      </c>
      <c r="M89" s="15"/>
      <c r="N89" s="32">
        <f>IF(H89=0,0,L89/H89)</f>
        <v>-0.69337927546173683</v>
      </c>
      <c r="O89" s="26"/>
      <c r="P89" s="33">
        <f>+P85-P87</f>
        <v>-57432.460000000006</v>
      </c>
      <c r="Q89" s="13"/>
      <c r="R89" s="32">
        <f>IF(P$12=0,0,P89/P$12)</f>
        <v>0</v>
      </c>
      <c r="S89" s="13"/>
      <c r="T89" s="33">
        <f>+T85-T87</f>
        <v>-261036.2</v>
      </c>
      <c r="U89" s="13"/>
      <c r="V89" s="32">
        <f>IF(T$12=0,0,T89/T$12)</f>
        <v>0</v>
      </c>
      <c r="W89" s="15"/>
      <c r="X89" s="33">
        <f>P89-T89</f>
        <v>203603.74</v>
      </c>
      <c r="Y89" s="15"/>
      <c r="Z89" s="32">
        <f>IF(T89=0,0,X89/T89)</f>
        <v>-0.77998277633523616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5" t="s">
        <v>5</v>
      </c>
      <c r="C92" s="25"/>
      <c r="D92" s="34">
        <f>SUM(D89:D91)</f>
        <v>-28249.09</v>
      </c>
      <c r="E92" s="13"/>
      <c r="F92" s="31">
        <f>IF(D$12=0,0,D92/D$12)</f>
        <v>0</v>
      </c>
      <c r="G92" s="13"/>
      <c r="H92" s="34">
        <f>SUM(H89:H91)</f>
        <v>-92130.4</v>
      </c>
      <c r="I92" s="13"/>
      <c r="J92" s="31">
        <f>IF(H$12=0,0,H92/H$12)</f>
        <v>0</v>
      </c>
      <c r="K92" s="15"/>
      <c r="L92" s="34">
        <f>+D92-H92</f>
        <v>63881.31</v>
      </c>
      <c r="M92" s="15"/>
      <c r="N92" s="31">
        <f>IF(H92=0,0,L92/H92)</f>
        <v>-0.69337927546173683</v>
      </c>
      <c r="O92" s="26"/>
      <c r="P92" s="34">
        <f>SUM(P89:P91)</f>
        <v>-57432.460000000006</v>
      </c>
      <c r="Q92" s="13"/>
      <c r="R92" s="31">
        <f>IF(P$12=0,0,P92/P$12)</f>
        <v>0</v>
      </c>
      <c r="S92" s="13"/>
      <c r="T92" s="34">
        <f>SUM(T89:T91)</f>
        <v>-261036.2</v>
      </c>
      <c r="U92" s="13"/>
      <c r="V92" s="31">
        <f>IF(T$12=0,0,T92/T$12)</f>
        <v>0</v>
      </c>
      <c r="W92" s="15"/>
      <c r="X92" s="34">
        <f>+P92-T92</f>
        <v>203603.74</v>
      </c>
      <c r="Y92" s="15"/>
      <c r="Z92" s="31">
        <f>IF(T92=0,0,X92/T92)</f>
        <v>-0.77998277633523616</v>
      </c>
    </row>
    <row r="93" spans="1:26" ht="15.75" thickTop="1" x14ac:dyDescent="0.25">
      <c r="A93" s="9"/>
      <c r="C93" s="9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4">
        <v>44123.565583912037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9" t="s">
        <v>313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8"/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4:24" x14ac:dyDescent="0.25"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82791.37</v>
      </c>
      <c r="I12" s="4"/>
      <c r="J12" s="12"/>
      <c r="K12" s="4"/>
      <c r="L12" s="4">
        <f t="shared" ref="L12:L14" si="0">+D12-H12</f>
        <v>-82791.37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195474.26</v>
      </c>
      <c r="U12" s="4"/>
      <c r="V12" s="12"/>
      <c r="W12" s="4"/>
      <c r="X12" s="4">
        <f t="shared" ref="X12:X14" si="2">+P12-T12</f>
        <v>-195474.26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--74659.83</f>
        <v>74659.83</v>
      </c>
      <c r="I13" s="2"/>
      <c r="J13" s="19"/>
      <c r="K13" s="2"/>
      <c r="L13" s="2">
        <f t="shared" si="0"/>
        <v>-74659.83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--179685.2</f>
        <v>179685.2</v>
      </c>
      <c r="U13" s="2"/>
      <c r="V13" s="19"/>
      <c r="W13" s="2"/>
      <c r="X13" s="2">
        <f t="shared" si="2"/>
        <v>-179685.2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--8131.54</f>
        <v>8131.54</v>
      </c>
      <c r="I14" s="2"/>
      <c r="J14" s="19"/>
      <c r="K14" s="2"/>
      <c r="L14" s="2">
        <f t="shared" si="0"/>
        <v>-8131.54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--15789.06</f>
        <v>15789.06</v>
      </c>
      <c r="U14" s="2"/>
      <c r="V14" s="19"/>
      <c r="W14" s="2"/>
      <c r="X14" s="2">
        <f t="shared" si="2"/>
        <v>-15789.06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20941.09</v>
      </c>
      <c r="I16" s="4"/>
      <c r="J16" s="12">
        <f t="shared" ref="J16:J17" si="7">IF(H$12=0,0,H16/H$12)</f>
        <v>0.25293807796633877</v>
      </c>
      <c r="K16" s="4"/>
      <c r="L16" s="4">
        <f t="shared" ref="L16:L17" si="8">+D16-H16</f>
        <v>-20941.09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59945.45</v>
      </c>
      <c r="U16" s="4"/>
      <c r="V16" s="12">
        <f t="shared" ref="V16:V17" si="11">IF(T$12=0,0,T16/T$12)</f>
        <v>0.3066667191885008</v>
      </c>
      <c r="W16" s="4"/>
      <c r="X16" s="4">
        <f t="shared" ref="X16:X17" si="12">+P16-T16</f>
        <v>-59945.45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20941.09</v>
      </c>
      <c r="I17" s="2"/>
      <c r="J17" s="19">
        <f t="shared" si="7"/>
        <v>0.25293807796633877</v>
      </c>
      <c r="K17" s="2"/>
      <c r="L17" s="2">
        <f t="shared" si="8"/>
        <v>-20941.09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59945.45</v>
      </c>
      <c r="U17" s="2"/>
      <c r="V17" s="19">
        <f t="shared" si="11"/>
        <v>0.3066667191885008</v>
      </c>
      <c r="W17" s="2"/>
      <c r="X17" s="2">
        <f t="shared" si="12"/>
        <v>-59945.45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2">
        <f>D12-D16</f>
        <v>0</v>
      </c>
      <c r="E19" s="13"/>
      <c r="F19" s="21">
        <f>IF(D$12=0,0,D19/D$12)</f>
        <v>0</v>
      </c>
      <c r="G19" s="13"/>
      <c r="H19" s="22">
        <f>H12-H16</f>
        <v>61850.28</v>
      </c>
      <c r="I19" s="13"/>
      <c r="J19" s="21">
        <f>IF(H$12=0,0,H19/H$12)</f>
        <v>0.74706192203366129</v>
      </c>
      <c r="K19" s="15"/>
      <c r="L19" s="22">
        <f>+D19-H19</f>
        <v>-61850.28</v>
      </c>
      <c r="M19" s="15"/>
      <c r="N19" s="21">
        <f>IF(H19=0,0,L19/H19)</f>
        <v>-1</v>
      </c>
      <c r="O19" s="26"/>
      <c r="P19" s="22">
        <f>P12-P16</f>
        <v>0</v>
      </c>
      <c r="Q19" s="13"/>
      <c r="R19" s="21">
        <f>IF(P$12=0,0,P19/P$12)</f>
        <v>0</v>
      </c>
      <c r="S19" s="13"/>
      <c r="T19" s="22">
        <f>T12-T16</f>
        <v>135528.81</v>
      </c>
      <c r="U19" s="13"/>
      <c r="V19" s="21">
        <f>IF(T$12=0,0,T19/T$12)</f>
        <v>0.69333328081149914</v>
      </c>
      <c r="W19" s="15"/>
      <c r="X19" s="22">
        <f>+P19-T19</f>
        <v>-135528.81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739.58</v>
      </c>
      <c r="E21" s="20"/>
      <c r="F21" s="36">
        <f t="shared" ref="F21:F30" si="14">IF(D$12=0,0,D21/D$12)</f>
        <v>0</v>
      </c>
      <c r="G21" s="20"/>
      <c r="H21" s="20">
        <f>SUM(OSRRefH22x_0)</f>
        <v>60268.08</v>
      </c>
      <c r="I21" s="20"/>
      <c r="J21" s="36">
        <f t="shared" ref="J21:J30" si="15">IF(H$12=0,0,H21/H$12)</f>
        <v>0.72795123453084554</v>
      </c>
      <c r="K21" s="4"/>
      <c r="L21" s="20">
        <f t="shared" ref="L21:L30" si="16">+D21-H21</f>
        <v>-59528.5</v>
      </c>
      <c r="M21" s="4"/>
      <c r="N21" s="36">
        <f t="shared" ref="N21:N30" si="17">IF(H21=0,0,L21/H21)</f>
        <v>-0.98772849574766608</v>
      </c>
      <c r="O21" s="10"/>
      <c r="P21" s="20">
        <f>SUM(OSRRefP22x_0)</f>
        <v>2796.79</v>
      </c>
      <c r="Q21" s="20"/>
      <c r="R21" s="36">
        <f t="shared" ref="R21:R30" si="18">IF(P$12=0,0,P21/P$12)</f>
        <v>0</v>
      </c>
      <c r="S21" s="20"/>
      <c r="T21" s="20">
        <f>SUM(OSRRefT22x_0)</f>
        <v>167410.21</v>
      </c>
      <c r="U21" s="20"/>
      <c r="V21" s="36">
        <f t="shared" ref="V21:V30" si="19">IF(T$12=0,0,T21/T$12)</f>
        <v>0.85643096947905051</v>
      </c>
      <c r="W21" s="4"/>
      <c r="X21" s="20">
        <f t="shared" ref="X21:X30" si="20">+P21-T21</f>
        <v>-164613.41999999998</v>
      </c>
      <c r="Y21" s="4"/>
      <c r="Z21" s="36">
        <f t="shared" ref="Z21:Z30" si="21">IF(T21=0,0,X21/T21)</f>
        <v>-0.9832937907431093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18630.240000000002</v>
      </c>
      <c r="I22" s="1"/>
      <c r="J22" s="5">
        <f t="shared" si="15"/>
        <v>0.22502635238431254</v>
      </c>
      <c r="K22" s="1"/>
      <c r="L22" s="1">
        <f t="shared" si="16"/>
        <v>-18630.240000000002</v>
      </c>
      <c r="M22" s="1"/>
      <c r="N22" s="5">
        <f t="shared" si="17"/>
        <v>-1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45103.430000000008</v>
      </c>
      <c r="U22" s="1"/>
      <c r="V22" s="5">
        <f t="shared" si="19"/>
        <v>0.23073846142197957</v>
      </c>
      <c r="W22" s="1"/>
      <c r="X22" s="1">
        <f t="shared" si="20"/>
        <v>-45103.430000000008</v>
      </c>
      <c r="Y22" s="1"/>
      <c r="Z22" s="5">
        <f t="shared" si="21"/>
        <v>-1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2048.87</v>
      </c>
      <c r="I23" s="2"/>
      <c r="J23" s="6">
        <f t="shared" si="15"/>
        <v>2.4747386110412231E-2</v>
      </c>
      <c r="K23" s="2"/>
      <c r="L23" s="7">
        <f t="shared" si="16"/>
        <v>-2048.87</v>
      </c>
      <c r="M23" s="2"/>
      <c r="N23" s="6">
        <f t="shared" si="17"/>
        <v>-1</v>
      </c>
      <c r="O23" s="11"/>
      <c r="P23" s="7"/>
      <c r="Q23" s="2"/>
      <c r="R23" s="6">
        <f t="shared" si="18"/>
        <v>0</v>
      </c>
      <c r="S23" s="2"/>
      <c r="T23" s="7">
        <v>7022.4</v>
      </c>
      <c r="U23" s="2"/>
      <c r="V23" s="6">
        <f t="shared" si="19"/>
        <v>3.5924934566832475E-2</v>
      </c>
      <c r="W23" s="2"/>
      <c r="X23" s="7">
        <f t="shared" si="20"/>
        <v>-7022.4</v>
      </c>
      <c r="Y23" s="2"/>
      <c r="Z23" s="6">
        <f t="shared" si="21"/>
        <v>-1</v>
      </c>
    </row>
    <row r="24" spans="1:26" s="24" customFormat="1" hidden="1" outlineLevel="2" x14ac:dyDescent="0.25">
      <c r="A24" s="28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1322.36</v>
      </c>
      <c r="I24" s="2"/>
      <c r="J24" s="6">
        <f t="shared" si="15"/>
        <v>1.5972196135901603E-2</v>
      </c>
      <c r="K24" s="2"/>
      <c r="L24" s="7">
        <f t="shared" si="16"/>
        <v>-1322.36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3432.27</v>
      </c>
      <c r="U24" s="2"/>
      <c r="V24" s="6">
        <f t="shared" si="19"/>
        <v>1.7558680104480251E-2</v>
      </c>
      <c r="W24" s="2"/>
      <c r="X24" s="7">
        <f t="shared" si="20"/>
        <v>-3432.27</v>
      </c>
      <c r="Y24" s="2"/>
      <c r="Z24" s="6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5334.36</v>
      </c>
      <c r="I25" s="2"/>
      <c r="J25" s="6">
        <f t="shared" si="15"/>
        <v>6.4431353171230291E-2</v>
      </c>
      <c r="K25" s="2"/>
      <c r="L25" s="7">
        <f t="shared" si="16"/>
        <v>-5334.36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16003.08</v>
      </c>
      <c r="U25" s="2"/>
      <c r="V25" s="6">
        <f t="shared" si="19"/>
        <v>8.1867965633940748E-2</v>
      </c>
      <c r="W25" s="2"/>
      <c r="X25" s="7">
        <f t="shared" si="20"/>
        <v>-16003.08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92.7</v>
      </c>
      <c r="I26" s="2"/>
      <c r="J26" s="6">
        <f t="shared" si="15"/>
        <v>1.1196819185381279E-3</v>
      </c>
      <c r="K26" s="2"/>
      <c r="L26" s="7">
        <f t="shared" si="16"/>
        <v>-92.7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243.53</v>
      </c>
      <c r="U26" s="2"/>
      <c r="V26" s="6">
        <f t="shared" si="19"/>
        <v>1.2458417798844716E-3</v>
      </c>
      <c r="W26" s="2"/>
      <c r="X26" s="7">
        <f t="shared" si="20"/>
        <v>-243.53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1285.6300000000001</v>
      </c>
      <c r="I27" s="2"/>
      <c r="J27" s="6">
        <f t="shared" si="15"/>
        <v>1.5528550862245669E-2</v>
      </c>
      <c r="K27" s="2"/>
      <c r="L27" s="7">
        <f t="shared" si="16"/>
        <v>-1285.6300000000001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3617.21</v>
      </c>
      <c r="U27" s="2"/>
      <c r="V27" s="6">
        <f t="shared" si="19"/>
        <v>1.850478932622638E-2</v>
      </c>
      <c r="W27" s="2"/>
      <c r="X27" s="7">
        <f t="shared" si="20"/>
        <v>-3617.21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4"/>
        <v>0</v>
      </c>
      <c r="G28" s="2"/>
      <c r="H28" s="7">
        <v>3064.38</v>
      </c>
      <c r="I28" s="2"/>
      <c r="J28" s="6">
        <f t="shared" si="15"/>
        <v>3.7013278074755865E-2</v>
      </c>
      <c r="K28" s="2"/>
      <c r="L28" s="7">
        <f t="shared" si="16"/>
        <v>-3064.38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5451.87</v>
      </c>
      <c r="U28" s="2"/>
      <c r="V28" s="6">
        <f t="shared" si="19"/>
        <v>2.7890475196069291E-2</v>
      </c>
      <c r="W28" s="2"/>
      <c r="X28" s="7">
        <f t="shared" si="20"/>
        <v>-5451.87</v>
      </c>
      <c r="Y28" s="2"/>
      <c r="Z28" s="6">
        <f t="shared" si="21"/>
        <v>-1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4"/>
        <v>0</v>
      </c>
      <c r="G29" s="2"/>
      <c r="H29" s="7">
        <v>4961.6899999999996</v>
      </c>
      <c r="I29" s="2"/>
      <c r="J29" s="6">
        <f t="shared" si="15"/>
        <v>5.9930038601849443E-2</v>
      </c>
      <c r="K29" s="2"/>
      <c r="L29" s="7">
        <f t="shared" si="16"/>
        <v>-4961.6899999999996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7828.41</v>
      </c>
      <c r="U29" s="2"/>
      <c r="V29" s="6">
        <f t="shared" si="19"/>
        <v>4.0048290757054149E-2</v>
      </c>
      <c r="W29" s="2"/>
      <c r="X29" s="7">
        <f t="shared" si="20"/>
        <v>-7828.41</v>
      </c>
      <c r="Y29" s="2"/>
      <c r="Z29" s="6">
        <f t="shared" si="21"/>
        <v>-1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4"/>
        <v>0</v>
      </c>
      <c r="G30" s="2"/>
      <c r="H30" s="7">
        <v>520.25</v>
      </c>
      <c r="I30" s="2"/>
      <c r="J30" s="6">
        <f t="shared" si="15"/>
        <v>6.2838675093792994E-3</v>
      </c>
      <c r="K30" s="2"/>
      <c r="L30" s="7">
        <f t="shared" si="16"/>
        <v>-520.25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1504.66</v>
      </c>
      <c r="U30" s="2"/>
      <c r="V30" s="6">
        <f t="shared" si="19"/>
        <v>7.6974840574917641E-3</v>
      </c>
      <c r="W30" s="2"/>
      <c r="X30" s="7">
        <f t="shared" si="20"/>
        <v>-1504.66</v>
      </c>
      <c r="Y30" s="2"/>
      <c r="Z30" s="6">
        <f t="shared" si="21"/>
        <v>-1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31414.429999999997</v>
      </c>
      <c r="I31" s="1"/>
      <c r="J31" s="5">
        <f t="shared" ref="J31:J37" si="23">IF(H$12=0,0,H31/H$12)</f>
        <v>0.37944087650681463</v>
      </c>
      <c r="K31" s="1"/>
      <c r="L31" s="1">
        <f t="shared" ref="L31:L37" si="24">+D31-H31</f>
        <v>-31414.429999999997</v>
      </c>
      <c r="M31" s="1"/>
      <c r="N31" s="5">
        <f t="shared" ref="N31:N37" si="25">IF(H31=0,0,L31/H31)</f>
        <v>-1</v>
      </c>
      <c r="O31" s="14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100870.26999999999</v>
      </c>
      <c r="U31" s="1"/>
      <c r="V31" s="5">
        <f t="shared" ref="V31:V37" si="27">IF(T$12=0,0,T31/T$12)</f>
        <v>0.5160284018980299</v>
      </c>
      <c r="W31" s="1"/>
      <c r="X31" s="1">
        <f t="shared" ref="X31:X37" si="28">+P31-T31</f>
        <v>-100870.26999999999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2"/>
        <v>0</v>
      </c>
      <c r="G32" s="2"/>
      <c r="H32" s="7">
        <v>10012.799999999999</v>
      </c>
      <c r="I32" s="2"/>
      <c r="J32" s="6">
        <f t="shared" si="23"/>
        <v>0.12094014146643545</v>
      </c>
      <c r="K32" s="2"/>
      <c r="L32" s="7">
        <f t="shared" si="24"/>
        <v>-10012.799999999999</v>
      </c>
      <c r="M32" s="2"/>
      <c r="N32" s="6">
        <f t="shared" si="25"/>
        <v>-1</v>
      </c>
      <c r="O32" s="11"/>
      <c r="P32" s="7"/>
      <c r="Q32" s="2"/>
      <c r="R32" s="6">
        <f t="shared" si="26"/>
        <v>0</v>
      </c>
      <c r="S32" s="2"/>
      <c r="T32" s="7">
        <v>40283.72</v>
      </c>
      <c r="U32" s="2"/>
      <c r="V32" s="6">
        <f t="shared" si="27"/>
        <v>0.20608196700680692</v>
      </c>
      <c r="W32" s="2"/>
      <c r="X32" s="7">
        <f t="shared" si="28"/>
        <v>-40283.72</v>
      </c>
      <c r="Y32" s="2"/>
      <c r="Z32" s="6">
        <f t="shared" si="29"/>
        <v>-1</v>
      </c>
    </row>
    <row r="33" spans="1:26" s="24" customFormat="1" hidden="1" outlineLevel="2" x14ac:dyDescent="0.25">
      <c r="A33" s="28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22"/>
        <v>0</v>
      </c>
      <c r="G33" s="2"/>
      <c r="H33" s="7">
        <v>4787.55</v>
      </c>
      <c r="I33" s="2"/>
      <c r="J33" s="6">
        <f t="shared" si="23"/>
        <v>5.7826679278287101E-2</v>
      </c>
      <c r="K33" s="2"/>
      <c r="L33" s="7">
        <f t="shared" si="24"/>
        <v>-4787.55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15490.06</v>
      </c>
      <c r="U33" s="2"/>
      <c r="V33" s="6">
        <f t="shared" si="27"/>
        <v>7.9243476864933521E-2</v>
      </c>
      <c r="W33" s="2"/>
      <c r="X33" s="7">
        <f t="shared" si="28"/>
        <v>-15490.06</v>
      </c>
      <c r="Y33" s="2"/>
      <c r="Z33" s="6">
        <f t="shared" si="29"/>
        <v>-1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6112.94</v>
      </c>
      <c r="I34" s="2"/>
      <c r="J34" s="6">
        <f t="shared" si="23"/>
        <v>7.3835473431590762E-2</v>
      </c>
      <c r="K34" s="2"/>
      <c r="L34" s="7">
        <f t="shared" si="24"/>
        <v>-6112.94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19791.769999999997</v>
      </c>
      <c r="U34" s="2"/>
      <c r="V34" s="6">
        <f t="shared" si="27"/>
        <v>0.10125000601102159</v>
      </c>
      <c r="W34" s="2"/>
      <c r="X34" s="7">
        <f t="shared" si="28"/>
        <v>-19791.769999999997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>
        <v>969.75</v>
      </c>
      <c r="I35" s="2"/>
      <c r="J35" s="6">
        <f t="shared" si="23"/>
        <v>1.1713177351697406E-2</v>
      </c>
      <c r="K35" s="2"/>
      <c r="L35" s="7">
        <f t="shared" si="24"/>
        <v>-969.75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1299.6300000000001</v>
      </c>
      <c r="U35" s="2"/>
      <c r="V35" s="6">
        <f t="shared" si="27"/>
        <v>6.6485991557149269E-3</v>
      </c>
      <c r="W35" s="2"/>
      <c r="X35" s="7">
        <f t="shared" si="28"/>
        <v>-1299.6300000000001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8681.08</v>
      </c>
      <c r="I36" s="2"/>
      <c r="J36" s="6">
        <f t="shared" si="23"/>
        <v>0.10485489006885622</v>
      </c>
      <c r="K36" s="2"/>
      <c r="L36" s="7">
        <f t="shared" si="24"/>
        <v>-8681.08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20868.62</v>
      </c>
      <c r="U36" s="2"/>
      <c r="V36" s="6">
        <f t="shared" si="27"/>
        <v>0.10675891547050746</v>
      </c>
      <c r="W36" s="2"/>
      <c r="X36" s="7">
        <f t="shared" si="28"/>
        <v>-20868.62</v>
      </c>
      <c r="Y36" s="2"/>
      <c r="Z36" s="6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850.31</v>
      </c>
      <c r="I37" s="2"/>
      <c r="J37" s="6">
        <f t="shared" si="23"/>
        <v>1.027051490994774E-2</v>
      </c>
      <c r="K37" s="2"/>
      <c r="L37" s="7">
        <f t="shared" si="24"/>
        <v>-850.31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3136.47</v>
      </c>
      <c r="U37" s="2"/>
      <c r="V37" s="6">
        <f t="shared" si="27"/>
        <v>1.6045437389045493E-2</v>
      </c>
      <c r="W37" s="2"/>
      <c r="X37" s="7">
        <f t="shared" si="28"/>
        <v>-3136.47</v>
      </c>
      <c r="Y37" s="2"/>
      <c r="Z37" s="6">
        <f t="shared" si="29"/>
        <v>-1</v>
      </c>
    </row>
    <row r="38" spans="1:26" s="27" customFormat="1" outlineLevel="1" collapsed="1" x14ac:dyDescent="0.25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0</v>
      </c>
      <c r="I38" s="1"/>
      <c r="J38" s="5">
        <f t="shared" ref="J38:J52" si="31">IF(H$12=0,0,H38/H$12)</f>
        <v>0</v>
      </c>
      <c r="K38" s="1"/>
      <c r="L38" s="1">
        <f t="shared" ref="L38:L52" si="32">+D38-H38</f>
        <v>0</v>
      </c>
      <c r="M38" s="1"/>
      <c r="N38" s="5">
        <f t="shared" ref="N38:N52" si="33">IF(H38=0,0,L38/H38)</f>
        <v>0</v>
      </c>
      <c r="O38" s="14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12.52</v>
      </c>
      <c r="U38" s="1"/>
      <c r="V38" s="5">
        <f t="shared" ref="V38:V52" si="35">IF(T$12=0,0,T38/T$12)</f>
        <v>6.4049353607989104E-5</v>
      </c>
      <c r="W38" s="1"/>
      <c r="X38" s="1">
        <f t="shared" ref="X38:X52" si="36">+P38-T38</f>
        <v>-12.52</v>
      </c>
      <c r="Y38" s="1"/>
      <c r="Z38" s="5">
        <f t="shared" ref="Z38:Z52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/>
      <c r="I39" s="2"/>
      <c r="J39" s="6">
        <f t="shared" si="31"/>
        <v>0</v>
      </c>
      <c r="K39" s="2"/>
      <c r="L39" s="7">
        <f t="shared" si="32"/>
        <v>0</v>
      </c>
      <c r="M39" s="2"/>
      <c r="N39" s="6">
        <f t="shared" si="33"/>
        <v>0</v>
      </c>
      <c r="O39" s="11"/>
      <c r="P39" s="7"/>
      <c r="Q39" s="2"/>
      <c r="R39" s="6">
        <f t="shared" si="34"/>
        <v>0</v>
      </c>
      <c r="S39" s="2"/>
      <c r="T39" s="7">
        <v>12.52</v>
      </c>
      <c r="U39" s="2"/>
      <c r="V39" s="6">
        <f t="shared" si="35"/>
        <v>6.4049353607989104E-5</v>
      </c>
      <c r="W39" s="2"/>
      <c r="X39" s="7">
        <f t="shared" si="36"/>
        <v>-12.52</v>
      </c>
      <c r="Y39" s="2"/>
      <c r="Z39" s="6">
        <f t="shared" si="37"/>
        <v>-1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-1.86</v>
      </c>
      <c r="I40" s="1"/>
      <c r="J40" s="5">
        <f t="shared" si="31"/>
        <v>-2.2466109692350788E-5</v>
      </c>
      <c r="K40" s="1"/>
      <c r="L40" s="1">
        <f t="shared" si="32"/>
        <v>1.86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-1.1299999999999999</v>
      </c>
      <c r="U40" s="1"/>
      <c r="V40" s="5">
        <f t="shared" si="35"/>
        <v>-5.7808122665357568E-6</v>
      </c>
      <c r="W40" s="1"/>
      <c r="X40" s="1">
        <f t="shared" si="36"/>
        <v>1.1299999999999999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-1.86</v>
      </c>
      <c r="I41" s="2"/>
      <c r="J41" s="6">
        <f t="shared" si="31"/>
        <v>-2.2466109692350788E-5</v>
      </c>
      <c r="K41" s="2"/>
      <c r="L41" s="7">
        <f t="shared" si="32"/>
        <v>1.86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-1.1299999999999999</v>
      </c>
      <c r="U41" s="2"/>
      <c r="V41" s="6">
        <f t="shared" si="35"/>
        <v>-5.7808122665357568E-6</v>
      </c>
      <c r="W41" s="2"/>
      <c r="X41" s="7">
        <f t="shared" si="36"/>
        <v>1.1299999999999999</v>
      </c>
      <c r="Y41" s="2"/>
      <c r="Z41" s="6">
        <f t="shared" si="37"/>
        <v>-1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1409.22</v>
      </c>
      <c r="I42" s="1"/>
      <c r="J42" s="5">
        <f t="shared" si="31"/>
        <v>1.7021339301427192E-2</v>
      </c>
      <c r="K42" s="1"/>
      <c r="L42" s="1">
        <f t="shared" si="32"/>
        <v>-1409.22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2384.92</v>
      </c>
      <c r="U42" s="1"/>
      <c r="V42" s="5">
        <f t="shared" si="35"/>
        <v>1.2200685655492441E-2</v>
      </c>
      <c r="W42" s="1"/>
      <c r="X42" s="1">
        <f t="shared" si="36"/>
        <v>-2384.92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1409.22</v>
      </c>
      <c r="I43" s="2"/>
      <c r="J43" s="6">
        <f t="shared" si="31"/>
        <v>1.7021339301427192E-2</v>
      </c>
      <c r="K43" s="2"/>
      <c r="L43" s="7">
        <f t="shared" si="32"/>
        <v>-1409.22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2384.92</v>
      </c>
      <c r="U43" s="2"/>
      <c r="V43" s="6">
        <f t="shared" si="35"/>
        <v>1.2200685655492441E-2</v>
      </c>
      <c r="W43" s="2"/>
      <c r="X43" s="7">
        <f t="shared" si="36"/>
        <v>-2384.92</v>
      </c>
      <c r="Y43" s="2"/>
      <c r="Z43" s="6">
        <f t="shared" si="37"/>
        <v>-1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690.35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3.5992881866793607E-3</v>
      </c>
      <c r="K44" s="1"/>
      <c r="L44" s="1">
        <f t="shared" si="32"/>
        <v>392.36</v>
      </c>
      <c r="M44" s="1"/>
      <c r="N44" s="5">
        <f t="shared" si="33"/>
        <v>1.3166884794791771</v>
      </c>
      <c r="O44" s="14"/>
      <c r="P44" s="1">
        <f>SUM(OSRRefP22_5x_0)</f>
        <v>2071.0700000000002</v>
      </c>
      <c r="Q44" s="1"/>
      <c r="R44" s="5">
        <f t="shared" si="34"/>
        <v>0</v>
      </c>
      <c r="S44" s="1"/>
      <c r="T44" s="1">
        <f>SUM(OSRRefT22_5x_0)</f>
        <v>893.97</v>
      </c>
      <c r="U44" s="1"/>
      <c r="V44" s="5">
        <f t="shared" si="35"/>
        <v>4.5733387096592668E-3</v>
      </c>
      <c r="W44" s="1"/>
      <c r="X44" s="1">
        <f t="shared" si="36"/>
        <v>1177.1000000000001</v>
      </c>
      <c r="Y44" s="1"/>
      <c r="Z44" s="5">
        <f t="shared" si="37"/>
        <v>1.3167108515945727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690.35</v>
      </c>
      <c r="E45" s="2"/>
      <c r="F45" s="6">
        <f t="shared" si="30"/>
        <v>0</v>
      </c>
      <c r="G45" s="2"/>
      <c r="H45" s="7">
        <v>297.99</v>
      </c>
      <c r="I45" s="2"/>
      <c r="J45" s="6">
        <f t="shared" si="31"/>
        <v>3.5992881866793607E-3</v>
      </c>
      <c r="K45" s="2"/>
      <c r="L45" s="7">
        <f t="shared" si="32"/>
        <v>392.36</v>
      </c>
      <c r="M45" s="2"/>
      <c r="N45" s="6">
        <f t="shared" si="33"/>
        <v>1.3166884794791771</v>
      </c>
      <c r="O45" s="11"/>
      <c r="P45" s="7">
        <v>2071.0700000000002</v>
      </c>
      <c r="Q45" s="2"/>
      <c r="R45" s="6">
        <f t="shared" si="34"/>
        <v>0</v>
      </c>
      <c r="S45" s="2"/>
      <c r="T45" s="7">
        <v>893.97</v>
      </c>
      <c r="U45" s="2"/>
      <c r="V45" s="6">
        <f t="shared" si="35"/>
        <v>4.5733387096592668E-3</v>
      </c>
      <c r="W45" s="2"/>
      <c r="X45" s="7">
        <f t="shared" si="36"/>
        <v>1177.1000000000001</v>
      </c>
      <c r="Y45" s="2"/>
      <c r="Z45" s="6">
        <f t="shared" si="37"/>
        <v>1.3167108515945727</v>
      </c>
    </row>
    <row r="46" spans="1:26" s="27" customFormat="1" outlineLevel="1" collapsed="1" x14ac:dyDescent="0.25">
      <c r="A46" s="29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148.9</v>
      </c>
      <c r="I46" s="1"/>
      <c r="J46" s="5">
        <f t="shared" si="31"/>
        <v>1.7984966307478668E-3</v>
      </c>
      <c r="K46" s="1"/>
      <c r="L46" s="1">
        <f t="shared" si="32"/>
        <v>-148.9</v>
      </c>
      <c r="M46" s="1"/>
      <c r="N46" s="5">
        <f t="shared" si="33"/>
        <v>-1</v>
      </c>
      <c r="O46" s="14"/>
      <c r="P46" s="1">
        <f>SUM(OSRRefP22_6x_0)</f>
        <v>16.239999999999998</v>
      </c>
      <c r="Q46" s="1"/>
      <c r="R46" s="5">
        <f t="shared" si="34"/>
        <v>0</v>
      </c>
      <c r="S46" s="1"/>
      <c r="T46" s="1">
        <f>SUM(OSRRefT22_6x_0)</f>
        <v>173.87</v>
      </c>
      <c r="U46" s="1"/>
      <c r="V46" s="5">
        <f t="shared" si="35"/>
        <v>8.8947772458634704E-4</v>
      </c>
      <c r="W46" s="1"/>
      <c r="X46" s="1">
        <f t="shared" si="36"/>
        <v>-157.63</v>
      </c>
      <c r="Y46" s="1"/>
      <c r="Z46" s="5">
        <f t="shared" si="37"/>
        <v>-0.90659688272847527</v>
      </c>
    </row>
    <row r="47" spans="1:26" s="24" customFormat="1" hidden="1" outlineLevel="2" x14ac:dyDescent="0.25">
      <c r="A47" s="28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30"/>
        <v>0</v>
      </c>
      <c r="G47" s="2"/>
      <c r="H47" s="7">
        <v>148.9</v>
      </c>
      <c r="I47" s="2"/>
      <c r="J47" s="6">
        <f t="shared" si="31"/>
        <v>1.7984966307478668E-3</v>
      </c>
      <c r="K47" s="2"/>
      <c r="L47" s="7">
        <f t="shared" si="32"/>
        <v>-148.9</v>
      </c>
      <c r="M47" s="2"/>
      <c r="N47" s="6">
        <f t="shared" si="33"/>
        <v>-1</v>
      </c>
      <c r="O47" s="11"/>
      <c r="P47" s="7">
        <v>16.239999999999998</v>
      </c>
      <c r="Q47" s="2"/>
      <c r="R47" s="6">
        <f t="shared" si="34"/>
        <v>0</v>
      </c>
      <c r="S47" s="2"/>
      <c r="T47" s="7">
        <v>173.87</v>
      </c>
      <c r="U47" s="2"/>
      <c r="V47" s="6">
        <f t="shared" si="35"/>
        <v>8.8947772458634704E-4</v>
      </c>
      <c r="W47" s="2"/>
      <c r="X47" s="7">
        <f t="shared" si="36"/>
        <v>-157.63</v>
      </c>
      <c r="Y47" s="2"/>
      <c r="Z47" s="6">
        <f t="shared" si="37"/>
        <v>-0.90659688272847527</v>
      </c>
    </row>
    <row r="48" spans="1:26" s="27" customFormat="1" outlineLevel="1" collapsed="1" x14ac:dyDescent="0.25">
      <c r="A48" s="29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543.54999999999995</v>
      </c>
      <c r="I48" s="1"/>
      <c r="J48" s="5">
        <f t="shared" si="31"/>
        <v>6.5652978082135858E-3</v>
      </c>
      <c r="K48" s="1"/>
      <c r="L48" s="1">
        <f t="shared" si="32"/>
        <v>-543.54999999999995</v>
      </c>
      <c r="M48" s="1"/>
      <c r="N48" s="5">
        <f t="shared" si="33"/>
        <v>-1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2447.08</v>
      </c>
      <c r="U48" s="1"/>
      <c r="V48" s="5">
        <f t="shared" si="35"/>
        <v>1.2518681487782585E-2</v>
      </c>
      <c r="W48" s="1"/>
      <c r="X48" s="1">
        <f t="shared" si="36"/>
        <v>-2447.08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0"/>
        <v>0</v>
      </c>
      <c r="G49" s="2"/>
      <c r="H49" s="7">
        <v>543.54999999999995</v>
      </c>
      <c r="I49" s="2"/>
      <c r="J49" s="6">
        <f t="shared" si="31"/>
        <v>6.5652978082135858E-3</v>
      </c>
      <c r="K49" s="2"/>
      <c r="L49" s="7">
        <f t="shared" si="32"/>
        <v>-543.54999999999995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2447.08</v>
      </c>
      <c r="U49" s="2"/>
      <c r="V49" s="6">
        <f t="shared" si="35"/>
        <v>1.2518681487782585E-2</v>
      </c>
      <c r="W49" s="2"/>
      <c r="X49" s="7">
        <f t="shared" si="36"/>
        <v>-2447.08</v>
      </c>
      <c r="Y49" s="2"/>
      <c r="Z49" s="6">
        <f t="shared" si="37"/>
        <v>-1</v>
      </c>
    </row>
    <row r="50" spans="1:26" s="27" customFormat="1" outlineLevel="1" collapsed="1" x14ac:dyDescent="0.25">
      <c r="A50" s="29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60.6</v>
      </c>
      <c r="E50" s="1"/>
      <c r="F50" s="5">
        <f t="shared" si="30"/>
        <v>0</v>
      </c>
      <c r="G50" s="1"/>
      <c r="H50" s="1">
        <f>SUM(OSRRefH22_8x_0)</f>
        <v>584.05999999999995</v>
      </c>
      <c r="I50" s="1"/>
      <c r="J50" s="5">
        <f t="shared" si="31"/>
        <v>7.0546000144701068E-3</v>
      </c>
      <c r="K50" s="1"/>
      <c r="L50" s="1">
        <f t="shared" si="32"/>
        <v>-523.45999999999992</v>
      </c>
      <c r="M50" s="1"/>
      <c r="N50" s="5">
        <f t="shared" si="33"/>
        <v>-0.89624353662294964</v>
      </c>
      <c r="O50" s="14"/>
      <c r="P50" s="1">
        <f>SUM(OSRRefP22_8x_0)</f>
        <v>217.8</v>
      </c>
      <c r="Q50" s="1"/>
      <c r="R50" s="5">
        <f t="shared" si="34"/>
        <v>0</v>
      </c>
      <c r="S50" s="1"/>
      <c r="T50" s="1">
        <f>SUM(OSRRefT22_8x_0)</f>
        <v>1392.07</v>
      </c>
      <c r="U50" s="1"/>
      <c r="V50" s="5">
        <f t="shared" si="35"/>
        <v>7.1215002936959567E-3</v>
      </c>
      <c r="W50" s="1"/>
      <c r="X50" s="1">
        <f t="shared" si="36"/>
        <v>-1174.27</v>
      </c>
      <c r="Y50" s="1"/>
      <c r="Z50" s="5">
        <f t="shared" si="37"/>
        <v>-0.84354235060018534</v>
      </c>
    </row>
    <row r="51" spans="1:26" s="24" customFormat="1" hidden="1" outlineLevel="2" x14ac:dyDescent="0.25">
      <c r="A51" s="28"/>
      <c r="B51" s="11" t="str">
        <f>CONCATENATE("          ", "6373", " - ", "MAINTENANCE CONTRACTS")</f>
        <v xml:space="preserve">          6373 - MAINTENANCE CONTRACTS</v>
      </c>
      <c r="C51" s="11"/>
      <c r="D51" s="7">
        <v>60.6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60.6</v>
      </c>
      <c r="M51" s="2"/>
      <c r="N51" s="6">
        <f t="shared" si="33"/>
        <v>0</v>
      </c>
      <c r="O51" s="11"/>
      <c r="P51" s="7">
        <v>217.8</v>
      </c>
      <c r="Q51" s="2"/>
      <c r="R51" s="6">
        <f t="shared" si="34"/>
        <v>0</v>
      </c>
      <c r="S51" s="2"/>
      <c r="T51" s="7">
        <v>18.45</v>
      </c>
      <c r="U51" s="2"/>
      <c r="V51" s="6">
        <f t="shared" si="35"/>
        <v>9.4385828599632496E-5</v>
      </c>
      <c r="W51" s="2"/>
      <c r="X51" s="7">
        <f t="shared" si="36"/>
        <v>199.35000000000002</v>
      </c>
      <c r="Y51" s="2"/>
      <c r="Z51" s="6">
        <f t="shared" si="37"/>
        <v>10.804878048780489</v>
      </c>
    </row>
    <row r="52" spans="1:26" s="24" customFormat="1" hidden="1" outlineLevel="2" x14ac:dyDescent="0.25">
      <c r="A52" s="28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30"/>
        <v>0</v>
      </c>
      <c r="G52" s="2"/>
      <c r="H52" s="7">
        <v>584.05999999999995</v>
      </c>
      <c r="I52" s="2"/>
      <c r="J52" s="6">
        <f t="shared" si="31"/>
        <v>7.0546000144701068E-3</v>
      </c>
      <c r="K52" s="2"/>
      <c r="L52" s="7">
        <f t="shared" si="32"/>
        <v>-584.05999999999995</v>
      </c>
      <c r="M52" s="2"/>
      <c r="N52" s="6">
        <f t="shared" si="33"/>
        <v>-1</v>
      </c>
      <c r="O52" s="11"/>
      <c r="P52" s="7"/>
      <c r="Q52" s="2"/>
      <c r="R52" s="6">
        <f t="shared" si="34"/>
        <v>0</v>
      </c>
      <c r="S52" s="2"/>
      <c r="T52" s="7">
        <v>1373.62</v>
      </c>
      <c r="U52" s="2"/>
      <c r="V52" s="6">
        <f t="shared" si="35"/>
        <v>7.0271144650963244E-3</v>
      </c>
      <c r="W52" s="2"/>
      <c r="X52" s="7">
        <f t="shared" si="36"/>
        <v>-1373.62</v>
      </c>
      <c r="Y52" s="2"/>
      <c r="Z52" s="6">
        <f t="shared" si="37"/>
        <v>-1</v>
      </c>
    </row>
    <row r="53" spans="1:26" s="27" customFormat="1" outlineLevel="1" collapsed="1" x14ac:dyDescent="0.25">
      <c r="A53" s="29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ref="F53:F55" si="38">IF(D$12=0,0,D53/D$12)</f>
        <v>0</v>
      </c>
      <c r="G53" s="1"/>
      <c r="H53" s="1">
        <f>SUM(OSRRefH22_9x_0)</f>
        <v>3215.58</v>
      </c>
      <c r="I53" s="1"/>
      <c r="J53" s="5">
        <f t="shared" ref="J53:J55" si="39">IF(H$12=0,0,H53/H$12)</f>
        <v>3.8839555378779214E-2</v>
      </c>
      <c r="K53" s="1"/>
      <c r="L53" s="1">
        <f t="shared" ref="L53:L55" si="40">+D53-H53</f>
        <v>-3215.58</v>
      </c>
      <c r="M53" s="1"/>
      <c r="N53" s="5">
        <f t="shared" ref="N53:N55" si="41">IF(H53=0,0,L53/H53)</f>
        <v>-1</v>
      </c>
      <c r="O53" s="14"/>
      <c r="P53" s="1">
        <f>SUM(OSRRefP22_9x_0)</f>
        <v>320.58</v>
      </c>
      <c r="Q53" s="1"/>
      <c r="R53" s="5">
        <f t="shared" ref="R53:R55" si="42">IF(P$12=0,0,P53/P$12)</f>
        <v>0</v>
      </c>
      <c r="S53" s="1"/>
      <c r="T53" s="1">
        <f>SUM(OSRRefT22_9x_0)</f>
        <v>7500</v>
      </c>
      <c r="U53" s="1"/>
      <c r="V53" s="5">
        <f t="shared" ref="V53:V55" si="43">IF(T$12=0,0,T53/T$12)</f>
        <v>3.8368223007980692E-2</v>
      </c>
      <c r="W53" s="1"/>
      <c r="X53" s="1">
        <f t="shared" ref="X53:X55" si="44">+P53-T53</f>
        <v>-7179.42</v>
      </c>
      <c r="Y53" s="1"/>
      <c r="Z53" s="5">
        <f t="shared" ref="Z53:Z55" si="45">IF(T53=0,0,X53/T53)</f>
        <v>-0.957256</v>
      </c>
    </row>
    <row r="54" spans="1:26" s="24" customFormat="1" hidden="1" outlineLevel="2" x14ac:dyDescent="0.25">
      <c r="A54" s="28"/>
      <c r="B54" s="11" t="str">
        <f>CONCATENATE("          ", "6283", " - ", "PLANT SERVICE")</f>
        <v xml:space="preserve">          6283 - PLANT SERVICE</v>
      </c>
      <c r="C54" s="11"/>
      <c r="D54" s="7"/>
      <c r="E54" s="2"/>
      <c r="F54" s="6">
        <f t="shared" si="38"/>
        <v>0</v>
      </c>
      <c r="G54" s="2"/>
      <c r="H54" s="7">
        <v>62.95</v>
      </c>
      <c r="I54" s="2"/>
      <c r="J54" s="6">
        <f t="shared" si="39"/>
        <v>7.6034494899649568E-4</v>
      </c>
      <c r="K54" s="2"/>
      <c r="L54" s="7">
        <f t="shared" si="40"/>
        <v>-62.95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188.85</v>
      </c>
      <c r="U54" s="2"/>
      <c r="V54" s="6">
        <f t="shared" si="43"/>
        <v>9.6611185534095374E-4</v>
      </c>
      <c r="W54" s="2"/>
      <c r="X54" s="7">
        <f t="shared" si="44"/>
        <v>-188.85</v>
      </c>
      <c r="Y54" s="2"/>
      <c r="Z54" s="6">
        <f t="shared" si="45"/>
        <v>-1</v>
      </c>
    </row>
    <row r="55" spans="1:26" s="24" customFormat="1" hidden="1" outlineLevel="2" x14ac:dyDescent="0.25">
      <c r="A55" s="28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8"/>
        <v>0</v>
      </c>
      <c r="G55" s="2"/>
      <c r="H55" s="7">
        <v>3152.63</v>
      </c>
      <c r="I55" s="2"/>
      <c r="J55" s="6">
        <f t="shared" si="39"/>
        <v>3.8079210429782719E-2</v>
      </c>
      <c r="K55" s="2"/>
      <c r="L55" s="7">
        <f t="shared" si="40"/>
        <v>-3152.63</v>
      </c>
      <c r="M55" s="2"/>
      <c r="N55" s="6">
        <f t="shared" si="41"/>
        <v>-1</v>
      </c>
      <c r="O55" s="11"/>
      <c r="P55" s="7">
        <v>320.58</v>
      </c>
      <c r="Q55" s="2"/>
      <c r="R55" s="6">
        <f t="shared" si="42"/>
        <v>0</v>
      </c>
      <c r="S55" s="2"/>
      <c r="T55" s="7">
        <v>7311.15</v>
      </c>
      <c r="U55" s="2"/>
      <c r="V55" s="6">
        <f t="shared" si="43"/>
        <v>3.7402111152639736E-2</v>
      </c>
      <c r="W55" s="2"/>
      <c r="X55" s="7">
        <f t="shared" si="44"/>
        <v>-6990.57</v>
      </c>
      <c r="Y55" s="2"/>
      <c r="Z55" s="6">
        <f t="shared" si="45"/>
        <v>-0.95615190496707081</v>
      </c>
    </row>
    <row r="56" spans="1:26" s="27" customFormat="1" outlineLevel="1" collapsed="1" x14ac:dyDescent="0.25">
      <c r="A56" s="29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0</v>
      </c>
      <c r="E56" s="1"/>
      <c r="F56" s="5">
        <f t="shared" ref="F56:F61" si="46">IF(D$12=0,0,D56/D$12)</f>
        <v>0</v>
      </c>
      <c r="G56" s="1"/>
      <c r="H56" s="1">
        <f>SUM(OSRRefH22_10x_0)</f>
        <v>3676.77</v>
      </c>
      <c r="I56" s="1"/>
      <c r="J56" s="5">
        <f t="shared" ref="J56:J61" si="47">IF(H$12=0,0,H56/H$12)</f>
        <v>4.4410063512658388E-2</v>
      </c>
      <c r="K56" s="1"/>
      <c r="L56" s="1">
        <f t="shared" ref="L56:L61" si="48">+D56-H56</f>
        <v>-3676.77</v>
      </c>
      <c r="M56" s="1"/>
      <c r="N56" s="5">
        <f t="shared" ref="N56:N61" si="49">IF(H56=0,0,L56/H56)</f>
        <v>-1</v>
      </c>
      <c r="O56" s="14"/>
      <c r="P56" s="1">
        <f>SUM(OSRRefP22_10x_0)</f>
        <v>0</v>
      </c>
      <c r="Q56" s="1"/>
      <c r="R56" s="5">
        <f t="shared" ref="R56:R61" si="50">IF(P$12=0,0,P56/P$12)</f>
        <v>0</v>
      </c>
      <c r="S56" s="1"/>
      <c r="T56" s="1">
        <f>SUM(OSRRefT22_10x_0)</f>
        <v>5886.46</v>
      </c>
      <c r="U56" s="1"/>
      <c r="V56" s="5">
        <f t="shared" ref="V56:V61" si="51">IF(T$12=0,0,T56/T$12)</f>
        <v>3.0113734667674402E-2</v>
      </c>
      <c r="W56" s="1"/>
      <c r="X56" s="1">
        <f t="shared" ref="X56:X61" si="52">+P56-T56</f>
        <v>-5886.46</v>
      </c>
      <c r="Y56" s="1"/>
      <c r="Z56" s="5">
        <f t="shared" ref="Z56:Z61" si="53">IF(T56=0,0,X56/T56)</f>
        <v>-1</v>
      </c>
    </row>
    <row r="57" spans="1:26" s="24" customFormat="1" hidden="1" outlineLevel="2" x14ac:dyDescent="0.25">
      <c r="A57" s="28"/>
      <c r="B57" s="11" t="str">
        <f>CONCATENATE("          ", "6239", " - ", "KITCHEN SUPPLIES")</f>
        <v xml:space="preserve">          6239 - KITCHEN SUPPLIES</v>
      </c>
      <c r="C57" s="11"/>
      <c r="D57" s="7"/>
      <c r="E57" s="2"/>
      <c r="F57" s="6">
        <f t="shared" si="46"/>
        <v>0</v>
      </c>
      <c r="G57" s="2"/>
      <c r="H57" s="7">
        <v>2948.61</v>
      </c>
      <c r="I57" s="2"/>
      <c r="J57" s="6">
        <f t="shared" si="47"/>
        <v>3.5614943924710998E-2</v>
      </c>
      <c r="K57" s="2"/>
      <c r="L57" s="7">
        <f t="shared" si="48"/>
        <v>-2948.61</v>
      </c>
      <c r="M57" s="2"/>
      <c r="N57" s="6">
        <f t="shared" si="49"/>
        <v>-1</v>
      </c>
      <c r="O57" s="11"/>
      <c r="P57" s="7"/>
      <c r="Q57" s="2"/>
      <c r="R57" s="6">
        <f t="shared" si="50"/>
        <v>0</v>
      </c>
      <c r="S57" s="2"/>
      <c r="T57" s="7">
        <v>3065.15</v>
      </c>
      <c r="U57" s="2"/>
      <c r="V57" s="6">
        <f t="shared" si="51"/>
        <v>1.5680581167054935E-2</v>
      </c>
      <c r="W57" s="2"/>
      <c r="X57" s="7">
        <f t="shared" si="52"/>
        <v>-3065.15</v>
      </c>
      <c r="Y57" s="2"/>
      <c r="Z57" s="6">
        <f t="shared" si="53"/>
        <v>-1</v>
      </c>
    </row>
    <row r="58" spans="1:26" s="24" customFormat="1" hidden="1" outlineLevel="2" x14ac:dyDescent="0.25">
      <c r="A58" s="28"/>
      <c r="B58" s="11" t="str">
        <f>CONCATENATE("          ", "6241", " - ", "OFFICE EXPENSE")</f>
        <v xml:space="preserve">          6241 - OFFICE EXPENSE</v>
      </c>
      <c r="C58" s="11"/>
      <c r="D58" s="7"/>
      <c r="E58" s="2"/>
      <c r="F58" s="6">
        <f t="shared" si="46"/>
        <v>0</v>
      </c>
      <c r="G58" s="2"/>
      <c r="H58" s="7">
        <v>90.68</v>
      </c>
      <c r="I58" s="2"/>
      <c r="J58" s="6">
        <f t="shared" si="47"/>
        <v>1.095283240270091E-3</v>
      </c>
      <c r="K58" s="2"/>
      <c r="L58" s="7">
        <f t="shared" si="48"/>
        <v>-90.68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208.41</v>
      </c>
      <c r="U58" s="2"/>
      <c r="V58" s="6">
        <f t="shared" si="51"/>
        <v>1.0661761809457673E-3</v>
      </c>
      <c r="W58" s="2"/>
      <c r="X58" s="7">
        <f t="shared" si="52"/>
        <v>-208.41</v>
      </c>
      <c r="Y58" s="2"/>
      <c r="Z58" s="6">
        <f t="shared" si="53"/>
        <v>-1</v>
      </c>
    </row>
    <row r="59" spans="1:26" s="24" customFormat="1" hidden="1" outlineLevel="2" x14ac:dyDescent="0.25">
      <c r="A59" s="28"/>
      <c r="B59" s="11" t="str">
        <f>CONCATENATE("          ", "6243", " - ", "PAPER SUPPLIES")</f>
        <v xml:space="preserve">          6243 - PAPER SUPPLIES</v>
      </c>
      <c r="C59" s="11"/>
      <c r="D59" s="7"/>
      <c r="E59" s="2"/>
      <c r="F59" s="6">
        <f t="shared" si="46"/>
        <v>0</v>
      </c>
      <c r="G59" s="2"/>
      <c r="H59" s="7">
        <v>422.57</v>
      </c>
      <c r="I59" s="2"/>
      <c r="J59" s="6">
        <f t="shared" si="47"/>
        <v>5.1040343939229415E-3</v>
      </c>
      <c r="K59" s="2"/>
      <c r="L59" s="7">
        <f t="shared" si="48"/>
        <v>-422.57</v>
      </c>
      <c r="M59" s="2"/>
      <c r="N59" s="6">
        <f t="shared" si="49"/>
        <v>-1</v>
      </c>
      <c r="O59" s="11"/>
      <c r="P59" s="7"/>
      <c r="Q59" s="2"/>
      <c r="R59" s="6">
        <f t="shared" si="50"/>
        <v>0</v>
      </c>
      <c r="S59" s="2"/>
      <c r="T59" s="7">
        <v>1811.19</v>
      </c>
      <c r="U59" s="2"/>
      <c r="V59" s="6">
        <f t="shared" si="51"/>
        <v>9.2656189106432741E-3</v>
      </c>
      <c r="W59" s="2"/>
      <c r="X59" s="7">
        <f t="shared" si="52"/>
        <v>-1811.19</v>
      </c>
      <c r="Y59" s="2"/>
      <c r="Z59" s="6">
        <f t="shared" si="53"/>
        <v>-1</v>
      </c>
    </row>
    <row r="60" spans="1:26" s="24" customFormat="1" hidden="1" outlineLevel="2" x14ac:dyDescent="0.25">
      <c r="A60" s="28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366.09</v>
      </c>
      <c r="U60" s="2"/>
      <c r="V60" s="6">
        <f t="shared" si="51"/>
        <v>1.8728297014655533E-3</v>
      </c>
      <c r="W60" s="2"/>
      <c r="X60" s="7">
        <f t="shared" si="52"/>
        <v>-366.09</v>
      </c>
      <c r="Y60" s="2"/>
      <c r="Z60" s="6">
        <f t="shared" si="53"/>
        <v>-1</v>
      </c>
    </row>
    <row r="61" spans="1:26" s="24" customFormat="1" hidden="1" outlineLevel="2" x14ac:dyDescent="0.25">
      <c r="A61" s="28"/>
      <c r="B61" s="11" t="str">
        <f>CONCATENATE("          ", "6248", " - ", "UNIFORMS")</f>
        <v xml:space="preserve">          6248 - UNIFORMS</v>
      </c>
      <c r="C61" s="11"/>
      <c r="D61" s="7"/>
      <c r="E61" s="2"/>
      <c r="F61" s="6">
        <f t="shared" si="46"/>
        <v>0</v>
      </c>
      <c r="G61" s="2"/>
      <c r="H61" s="7">
        <v>214.91</v>
      </c>
      <c r="I61" s="2"/>
      <c r="J61" s="6">
        <f t="shared" si="47"/>
        <v>2.5958019537543589E-3</v>
      </c>
      <c r="K61" s="2"/>
      <c r="L61" s="7">
        <f t="shared" si="48"/>
        <v>-214.91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435.62</v>
      </c>
      <c r="U61" s="2"/>
      <c r="V61" s="6">
        <f t="shared" si="51"/>
        <v>2.228528707564873E-3</v>
      </c>
      <c r="W61" s="2"/>
      <c r="X61" s="7">
        <f t="shared" si="52"/>
        <v>-435.62</v>
      </c>
      <c r="Y61" s="2"/>
      <c r="Z61" s="6">
        <f t="shared" si="53"/>
        <v>-1</v>
      </c>
    </row>
    <row r="62" spans="1:26" s="27" customFormat="1" outlineLevel="1" collapsed="1" x14ac:dyDescent="0.25">
      <c r="A62" s="29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-11.37</v>
      </c>
      <c r="E62" s="1"/>
      <c r="F62" s="5">
        <f t="shared" ref="F62:F65" si="54">IF(D$12=0,0,D62/D$12)</f>
        <v>0</v>
      </c>
      <c r="G62" s="1"/>
      <c r="H62" s="1">
        <f>SUM(OSRRefH22_11x_0)</f>
        <v>349.2</v>
      </c>
      <c r="I62" s="1"/>
      <c r="J62" s="5">
        <f t="shared" ref="J62:J65" si="55">IF(H$12=0,0,H62/H$12)</f>
        <v>4.2178309164348895E-3</v>
      </c>
      <c r="K62" s="1"/>
      <c r="L62" s="1">
        <f t="shared" ref="L62:L65" si="56">+D62-H62</f>
        <v>-360.57</v>
      </c>
      <c r="M62" s="1"/>
      <c r="N62" s="5">
        <f t="shared" ref="N62:N65" si="57">IF(H62=0,0,L62/H62)</f>
        <v>-1.0325601374570448</v>
      </c>
      <c r="O62" s="14"/>
      <c r="P62" s="1">
        <f>SUM(OSRRefP22_11x_0)</f>
        <v>171.1</v>
      </c>
      <c r="Q62" s="1"/>
      <c r="R62" s="5">
        <f t="shared" ref="R62:R65" si="58">IF(P$12=0,0,P62/P$12)</f>
        <v>0</v>
      </c>
      <c r="S62" s="1"/>
      <c r="T62" s="1">
        <f>SUM(OSRRefT22_11x_0)</f>
        <v>571.75</v>
      </c>
      <c r="U62" s="1"/>
      <c r="V62" s="5">
        <f t="shared" ref="V62:V65" si="59">IF(T$12=0,0,T62/T$12)</f>
        <v>2.9249375339750615E-3</v>
      </c>
      <c r="W62" s="1"/>
      <c r="X62" s="1">
        <f t="shared" ref="X62:X65" si="60">+P62-T62</f>
        <v>-400.65</v>
      </c>
      <c r="Y62" s="1"/>
      <c r="Z62" s="5">
        <f t="shared" ref="Z62:Z65" si="61">IF(T62=0,0,X62/T62)</f>
        <v>-0.70074333187581983</v>
      </c>
    </row>
    <row r="63" spans="1:26" s="24" customFormat="1" hidden="1" outlineLevel="2" x14ac:dyDescent="0.25">
      <c r="A63" s="28"/>
      <c r="B63" s="11" t="str">
        <f>CONCATENATE("          ", "6309", " - ", "TELEPHONE")</f>
        <v xml:space="preserve">          6309 - TELEPHONE</v>
      </c>
      <c r="C63" s="11"/>
      <c r="D63" s="7">
        <v>-11.37</v>
      </c>
      <c r="E63" s="2"/>
      <c r="F63" s="6">
        <f t="shared" si="54"/>
        <v>0</v>
      </c>
      <c r="G63" s="2"/>
      <c r="H63" s="7">
        <v>349.2</v>
      </c>
      <c r="I63" s="2"/>
      <c r="J63" s="6">
        <f t="shared" si="55"/>
        <v>4.2178309164348895E-3</v>
      </c>
      <c r="K63" s="2"/>
      <c r="L63" s="7">
        <f t="shared" si="56"/>
        <v>-360.57</v>
      </c>
      <c r="M63" s="2"/>
      <c r="N63" s="6">
        <f t="shared" si="57"/>
        <v>-1.0325601374570448</v>
      </c>
      <c r="O63" s="11"/>
      <c r="P63" s="7">
        <v>171.1</v>
      </c>
      <c r="Q63" s="2"/>
      <c r="R63" s="6">
        <f t="shared" si="58"/>
        <v>0</v>
      </c>
      <c r="S63" s="2"/>
      <c r="T63" s="7">
        <v>571.75</v>
      </c>
      <c r="U63" s="2"/>
      <c r="V63" s="6">
        <f t="shared" si="59"/>
        <v>2.9249375339750615E-3</v>
      </c>
      <c r="W63" s="2"/>
      <c r="X63" s="7">
        <f t="shared" si="60"/>
        <v>-400.65</v>
      </c>
      <c r="Y63" s="2"/>
      <c r="Z63" s="6">
        <f t="shared" si="61"/>
        <v>-0.70074333187581983</v>
      </c>
    </row>
    <row r="64" spans="1:26" s="27" customFormat="1" outlineLevel="1" collapsed="1" x14ac:dyDescent="0.25">
      <c r="A64" s="29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SUM(OSRRefD22_12x_0)</f>
        <v>0</v>
      </c>
      <c r="E64" s="1"/>
      <c r="F64" s="5">
        <f t="shared" si="54"/>
        <v>0</v>
      </c>
      <c r="G64" s="1"/>
      <c r="H64" s="1">
        <f>SUM(OSRRefH22_12x_0)</f>
        <v>0</v>
      </c>
      <c r="I64" s="1"/>
      <c r="J64" s="5">
        <f t="shared" si="55"/>
        <v>0</v>
      </c>
      <c r="K64" s="1"/>
      <c r="L64" s="1">
        <f t="shared" si="56"/>
        <v>0</v>
      </c>
      <c r="M64" s="1"/>
      <c r="N64" s="5">
        <f t="shared" si="57"/>
        <v>0</v>
      </c>
      <c r="O64" s="14"/>
      <c r="P64" s="1">
        <f>SUM(OSRRefP22_12x_0)</f>
        <v>0</v>
      </c>
      <c r="Q64" s="1"/>
      <c r="R64" s="5">
        <f t="shared" si="58"/>
        <v>0</v>
      </c>
      <c r="S64" s="1"/>
      <c r="T64" s="1">
        <f>SUM(OSRRefT22_12x_0)</f>
        <v>175</v>
      </c>
      <c r="U64" s="1"/>
      <c r="V64" s="5">
        <f t="shared" si="59"/>
        <v>8.952585368528828E-4</v>
      </c>
      <c r="W64" s="1"/>
      <c r="X64" s="1">
        <f t="shared" si="60"/>
        <v>-175</v>
      </c>
      <c r="Y64" s="1"/>
      <c r="Z64" s="5">
        <f t="shared" si="61"/>
        <v>-1</v>
      </c>
    </row>
    <row r="65" spans="1:26" s="24" customFormat="1" hidden="1" outlineLevel="2" x14ac:dyDescent="0.25">
      <c r="A65" s="28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54"/>
        <v>0</v>
      </c>
      <c r="G65" s="2"/>
      <c r="H65" s="7"/>
      <c r="I65" s="2"/>
      <c r="J65" s="6">
        <f t="shared" si="55"/>
        <v>0</v>
      </c>
      <c r="K65" s="2"/>
      <c r="L65" s="7">
        <f t="shared" si="56"/>
        <v>0</v>
      </c>
      <c r="M65" s="2"/>
      <c r="N65" s="6">
        <f t="shared" si="57"/>
        <v>0</v>
      </c>
      <c r="O65" s="11"/>
      <c r="P65" s="7"/>
      <c r="Q65" s="2"/>
      <c r="R65" s="6">
        <f t="shared" si="58"/>
        <v>0</v>
      </c>
      <c r="S65" s="2"/>
      <c r="T65" s="7">
        <v>175</v>
      </c>
      <c r="U65" s="2"/>
      <c r="V65" s="6">
        <f t="shared" si="59"/>
        <v>8.952585368528828E-4</v>
      </c>
      <c r="W65" s="2"/>
      <c r="X65" s="7">
        <f t="shared" si="60"/>
        <v>-175</v>
      </c>
      <c r="Y65" s="2"/>
      <c r="Z65" s="6">
        <f t="shared" si="61"/>
        <v>-1</v>
      </c>
    </row>
    <row r="66" spans="1:26" s="60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6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5" t="s">
        <v>3</v>
      </c>
      <c r="C69" s="25"/>
      <c r="D69" s="22">
        <f>+D19-D21+D67</f>
        <v>-739.58</v>
      </c>
      <c r="E69" s="13"/>
      <c r="F69" s="21">
        <f>IF(D$12=0,0,D69/D$12)</f>
        <v>0</v>
      </c>
      <c r="G69" s="13"/>
      <c r="H69" s="22">
        <f>+H19-H21+H67</f>
        <v>1582.1999999999971</v>
      </c>
      <c r="I69" s="13"/>
      <c r="J69" s="21">
        <f>IF(H$12=0,0,H69/H$12)</f>
        <v>1.911068750281578E-2</v>
      </c>
      <c r="K69" s="15"/>
      <c r="L69" s="22">
        <f>+D69-H69</f>
        <v>-2321.779999999997</v>
      </c>
      <c r="M69" s="15"/>
      <c r="N69" s="21">
        <f>IF(H69=0,0,L69/H69)</f>
        <v>-1.4674377449121485</v>
      </c>
      <c r="O69" s="26"/>
      <c r="P69" s="22">
        <f>+P19-P21+P67</f>
        <v>-2796.79</v>
      </c>
      <c r="Q69" s="13"/>
      <c r="R69" s="21">
        <f>IF(P$12=0,0,P69/P$12)</f>
        <v>0</v>
      </c>
      <c r="S69" s="13"/>
      <c r="T69" s="22">
        <f>+T19-T21+T67</f>
        <v>-31881.399999999994</v>
      </c>
      <c r="U69" s="13"/>
      <c r="V69" s="21">
        <f>IF(T$12=0,0,T69/T$12)</f>
        <v>-0.16309768866755139</v>
      </c>
      <c r="W69" s="15"/>
      <c r="X69" s="22">
        <f>+P69-T69</f>
        <v>29084.609999999993</v>
      </c>
      <c r="Y69" s="15"/>
      <c r="Z69" s="21">
        <f>IF(T69=0,0,X69/T69)</f>
        <v>-0.91227518239475047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6947.03</v>
      </c>
      <c r="I71" s="4"/>
      <c r="J71" s="12">
        <f>IF(H$12=0,0,H71/H$12)</f>
        <v>8.3910074202178317E-2</v>
      </c>
      <c r="K71" s="4"/>
      <c r="L71" s="4">
        <f>+D71-H71</f>
        <v>-6947.03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20996.53</v>
      </c>
      <c r="U71" s="4"/>
      <c r="V71" s="12">
        <f>IF(T$12=0,0,T71/T$12)</f>
        <v>0.10741327272450091</v>
      </c>
      <c r="W71" s="4"/>
      <c r="X71" s="4">
        <f>+P71-T71</f>
        <v>-20996.53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5" t="s">
        <v>4</v>
      </c>
      <c r="C73" s="25"/>
      <c r="D73" s="33">
        <f>+D69-D71</f>
        <v>-739.58</v>
      </c>
      <c r="E73" s="13"/>
      <c r="F73" s="32">
        <f>IF(D$12=0,0,D73/D$12)</f>
        <v>0</v>
      </c>
      <c r="G73" s="13"/>
      <c r="H73" s="33">
        <f>+H69-H71</f>
        <v>-5364.8300000000027</v>
      </c>
      <c r="I73" s="13"/>
      <c r="J73" s="32">
        <f>IF(H$12=0,0,H73/H$12)</f>
        <v>-6.4799386699362541E-2</v>
      </c>
      <c r="K73" s="15"/>
      <c r="L73" s="33">
        <f>D73-H73</f>
        <v>4625.2500000000027</v>
      </c>
      <c r="M73" s="15"/>
      <c r="N73" s="32">
        <f>IF(H73=0,0,L73/H73)</f>
        <v>-0.86214288243989101</v>
      </c>
      <c r="O73" s="26"/>
      <c r="P73" s="33">
        <f>+P69-P71</f>
        <v>-2796.79</v>
      </c>
      <c r="Q73" s="13"/>
      <c r="R73" s="32">
        <f>IF(P$12=0,0,P73/P$12)</f>
        <v>0</v>
      </c>
      <c r="S73" s="13"/>
      <c r="T73" s="33">
        <f>+T69-T71</f>
        <v>-52877.929999999993</v>
      </c>
      <c r="U73" s="13"/>
      <c r="V73" s="32">
        <f>IF(T$12=0,0,T73/T$12)</f>
        <v>-0.27051096139205227</v>
      </c>
      <c r="W73" s="15"/>
      <c r="X73" s="33">
        <f>P73-T73</f>
        <v>50081.139999999992</v>
      </c>
      <c r="Y73" s="15"/>
      <c r="Z73" s="32">
        <f>IF(T73=0,0,X73/T73)</f>
        <v>-0.94710855738868749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5</v>
      </c>
      <c r="C76" s="25"/>
      <c r="D76" s="34">
        <f>SUM(D73:D75)</f>
        <v>-739.58</v>
      </c>
      <c r="E76" s="13"/>
      <c r="F76" s="31">
        <f>IF(D$12=0,0,D76/D$12)</f>
        <v>0</v>
      </c>
      <c r="G76" s="13"/>
      <c r="H76" s="34">
        <f>SUM(H73:H75)</f>
        <v>-5364.8300000000027</v>
      </c>
      <c r="I76" s="13"/>
      <c r="J76" s="31">
        <f>IF(H$12=0,0,H76/H$12)</f>
        <v>-6.4799386699362541E-2</v>
      </c>
      <c r="K76" s="15"/>
      <c r="L76" s="34">
        <f>+D76-H76</f>
        <v>4625.2500000000027</v>
      </c>
      <c r="M76" s="15"/>
      <c r="N76" s="31">
        <f>IF(H76=0,0,L76/H76)</f>
        <v>-0.86214288243989101</v>
      </c>
      <c r="O76" s="26"/>
      <c r="P76" s="34">
        <f>SUM(P73:P75)</f>
        <v>-2796.79</v>
      </c>
      <c r="Q76" s="13"/>
      <c r="R76" s="31">
        <f>IF(P$12=0,0,P76/P$12)</f>
        <v>0</v>
      </c>
      <c r="S76" s="13"/>
      <c r="T76" s="34">
        <f>SUM(T73:T75)</f>
        <v>-52877.929999999993</v>
      </c>
      <c r="U76" s="13"/>
      <c r="V76" s="31">
        <f>IF(T$12=0,0,T76/T$12)</f>
        <v>-0.27051096139205227</v>
      </c>
      <c r="W76" s="15"/>
      <c r="X76" s="34">
        <f>+P76-T76</f>
        <v>50081.139999999992</v>
      </c>
      <c r="Y76" s="15"/>
      <c r="Z76" s="31">
        <f>IF(T76=0,0,X76/T76)</f>
        <v>-0.94710855738868749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  <row r="78" spans="1:26" x14ac:dyDescent="0.25">
      <c r="A78" s="9"/>
      <c r="B78" s="54">
        <v>44123.565601585651</v>
      </c>
      <c r="D78" s="18"/>
      <c r="E78" s="18"/>
      <c r="G78" s="18"/>
      <c r="H78" s="18"/>
      <c r="I78" s="18"/>
      <c r="J78" s="42"/>
      <c r="K78" s="18"/>
      <c r="L78" s="18"/>
      <c r="M78" s="18"/>
      <c r="P78" s="18"/>
      <c r="Q78" s="18"/>
      <c r="R78" s="42"/>
      <c r="S78" s="18"/>
      <c r="T78" s="18"/>
      <c r="U78" s="18"/>
      <c r="V78" s="42"/>
      <c r="W78" s="18"/>
      <c r="X78" s="18"/>
    </row>
    <row r="79" spans="1:26" x14ac:dyDescent="0.25">
      <c r="A79" s="9"/>
      <c r="B79" s="59" t="s">
        <v>313</v>
      </c>
      <c r="D79" s="18"/>
      <c r="E79" s="18"/>
      <c r="G79" s="18"/>
      <c r="H79" s="18"/>
      <c r="I79" s="18"/>
      <c r="J79" s="42"/>
      <c r="K79" s="18"/>
      <c r="L79" s="18"/>
      <c r="M79" s="18"/>
      <c r="P79" s="18"/>
      <c r="Q79" s="18"/>
      <c r="R79" s="42"/>
      <c r="S79" s="18"/>
      <c r="T79" s="18"/>
      <c r="U79" s="18"/>
      <c r="V79" s="42"/>
      <c r="W79" s="18"/>
      <c r="X79" s="18"/>
    </row>
    <row r="80" spans="1:26" x14ac:dyDescent="0.25">
      <c r="A80" s="9"/>
      <c r="B80" s="58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4:24" x14ac:dyDescent="0.25"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","420", " - ", "Catering")</f>
        <v>Department 420 - Catering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0</v>
      </c>
      <c r="E18" s="20"/>
      <c r="F18" s="36">
        <f t="shared" ref="F18:F21" si="0">IF(D$12=0,0,D18/D$12)</f>
        <v>0</v>
      </c>
      <c r="G18" s="20"/>
      <c r="H18" s="20">
        <f>SUM(OSRRefH22x_0)</f>
        <v>8047.21</v>
      </c>
      <c r="I18" s="20"/>
      <c r="J18" s="36">
        <f t="shared" ref="J18:J21" si="1">IF(H$12=0,0,H18/H$12)</f>
        <v>0</v>
      </c>
      <c r="K18" s="4"/>
      <c r="L18" s="20">
        <f t="shared" ref="L18:L21" si="2">+D18-H18</f>
        <v>-8047.21</v>
      </c>
      <c r="M18" s="4"/>
      <c r="N18" s="36">
        <f t="shared" ref="N18:N21" si="3">IF(H18=0,0,L18/H18)</f>
        <v>-1</v>
      </c>
      <c r="O18" s="10"/>
      <c r="P18" s="20">
        <f>SUM(OSRRefP22x_0)</f>
        <v>0</v>
      </c>
      <c r="Q18" s="20"/>
      <c r="R18" s="36">
        <f t="shared" ref="R18:R21" si="4">IF(P$12=0,0,P18/P$12)</f>
        <v>0</v>
      </c>
      <c r="S18" s="20"/>
      <c r="T18" s="20">
        <f>SUM(OSRRefT22x_0)</f>
        <v>8047.21</v>
      </c>
      <c r="U18" s="20"/>
      <c r="V18" s="36">
        <f t="shared" ref="V18:V21" si="5">IF(T$12=0,0,T18/T$12)</f>
        <v>0</v>
      </c>
      <c r="W18" s="4"/>
      <c r="X18" s="20">
        <f t="shared" ref="X18:X21" si="6">+P18-T18</f>
        <v>-8047.21</v>
      </c>
      <c r="Y18" s="4"/>
      <c r="Z18" s="36">
        <f t="shared" ref="Z18:Z21" si="7">IF(T18=0,0,X18/T18)</f>
        <v>-1</v>
      </c>
    </row>
    <row r="19" spans="1:26" s="27" customFormat="1" outlineLevel="1" collapsed="1" x14ac:dyDescent="0.25">
      <c r="A19" s="29"/>
      <c r="B19" s="14" t="str">
        <f>CONCATENATE("     ","*Payroll                                          ")</f>
        <v xml:space="preserve">     *Payroll 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6896</v>
      </c>
      <c r="I19" s="1"/>
      <c r="J19" s="5">
        <f t="shared" si="1"/>
        <v>0</v>
      </c>
      <c r="K19" s="1"/>
      <c r="L19" s="1">
        <f t="shared" si="2"/>
        <v>-6896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6896</v>
      </c>
      <c r="U19" s="1"/>
      <c r="V19" s="5">
        <f t="shared" si="5"/>
        <v>0</v>
      </c>
      <c r="W19" s="1"/>
      <c r="X19" s="1">
        <f t="shared" si="6"/>
        <v>-6896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"6002", " - ", "STAFF SALARIES")</f>
        <v xml:space="preserve">          6002 - STAFF SALARIES</v>
      </c>
      <c r="C20" s="11"/>
      <c r="D20" s="7"/>
      <c r="E20" s="2"/>
      <c r="F20" s="6">
        <f t="shared" si="0"/>
        <v>0</v>
      </c>
      <c r="G20" s="2"/>
      <c r="H20" s="7">
        <v>4625</v>
      </c>
      <c r="I20" s="2"/>
      <c r="J20" s="6">
        <f t="shared" si="1"/>
        <v>0</v>
      </c>
      <c r="K20" s="2"/>
      <c r="L20" s="7">
        <f t="shared" si="2"/>
        <v>-4625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4625</v>
      </c>
      <c r="U20" s="2"/>
      <c r="V20" s="6">
        <f t="shared" si="5"/>
        <v>0</v>
      </c>
      <c r="W20" s="2"/>
      <c r="X20" s="7">
        <f t="shared" si="6"/>
        <v>-4625</v>
      </c>
      <c r="Y20" s="2"/>
      <c r="Z20" s="6">
        <f t="shared" si="7"/>
        <v>-1</v>
      </c>
    </row>
    <row r="21" spans="1:26" s="24" customFormat="1" hidden="1" outlineLevel="2" x14ac:dyDescent="0.25">
      <c r="A21" s="28"/>
      <c r="B21" s="11" t="str">
        <f>CONCATENATE("          ", "6007", " - ", "STUDENT HOURLY")</f>
        <v xml:space="preserve">          6007 - STUDENT HOURLY</v>
      </c>
      <c r="C21" s="11"/>
      <c r="D21" s="7"/>
      <c r="E21" s="2"/>
      <c r="F21" s="6">
        <f t="shared" si="0"/>
        <v>0</v>
      </c>
      <c r="G21" s="2"/>
      <c r="H21" s="7">
        <v>2271</v>
      </c>
      <c r="I21" s="2"/>
      <c r="J21" s="6">
        <f t="shared" si="1"/>
        <v>0</v>
      </c>
      <c r="K21" s="2"/>
      <c r="L21" s="7">
        <f t="shared" si="2"/>
        <v>-2271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2271</v>
      </c>
      <c r="U21" s="2"/>
      <c r="V21" s="6">
        <f t="shared" si="5"/>
        <v>0</v>
      </c>
      <c r="W21" s="2"/>
      <c r="X21" s="7">
        <f t="shared" si="6"/>
        <v>-2271</v>
      </c>
      <c r="Y21" s="2"/>
      <c r="Z21" s="6">
        <f t="shared" si="7"/>
        <v>-1</v>
      </c>
    </row>
    <row r="22" spans="1:26" s="27" customFormat="1" outlineLevel="1" collapsed="1" x14ac:dyDescent="0.25">
      <c r="A22" s="29"/>
      <c r="B22" s="14" t="str">
        <f>CONCATENATE("     ","Repair and Maintenance                            ")</f>
        <v xml:space="preserve">     Repair and Maintenance                            </v>
      </c>
      <c r="C22" s="14"/>
      <c r="D22" s="1">
        <f>SUM(OSRRefD22_1x_0)</f>
        <v>0</v>
      </c>
      <c r="E22" s="1"/>
      <c r="F22" s="5">
        <f t="shared" ref="F22:F23" si="8">IF(D$12=0,0,D22/D$12)</f>
        <v>0</v>
      </c>
      <c r="G22" s="1"/>
      <c r="H22" s="1">
        <f>SUM(OSRRefH22_1x_0)</f>
        <v>1151.21</v>
      </c>
      <c r="I22" s="1"/>
      <c r="J22" s="5">
        <f t="shared" ref="J22:J23" si="9">IF(H$12=0,0,H22/H$12)</f>
        <v>0</v>
      </c>
      <c r="K22" s="1"/>
      <c r="L22" s="1">
        <f t="shared" ref="L22:L23" si="10">+D22-H22</f>
        <v>-1151.21</v>
      </c>
      <c r="M22" s="1"/>
      <c r="N22" s="5">
        <f t="shared" ref="N22:N23" si="11">IF(H22=0,0,L22/H22)</f>
        <v>-1</v>
      </c>
      <c r="O22" s="14"/>
      <c r="P22" s="1">
        <f>SUM(OSRRefP22_1x_0)</f>
        <v>0</v>
      </c>
      <c r="Q22" s="1"/>
      <c r="R22" s="5">
        <f t="shared" ref="R22:R23" si="12">IF(P$12=0,0,P22/P$12)</f>
        <v>0</v>
      </c>
      <c r="S22" s="1"/>
      <c r="T22" s="1">
        <f>SUM(OSRRefT22_1x_0)</f>
        <v>1151.21</v>
      </c>
      <c r="U22" s="1"/>
      <c r="V22" s="5">
        <f t="shared" ref="V22:V23" si="13">IF(T$12=0,0,T22/T$12)</f>
        <v>0</v>
      </c>
      <c r="W22" s="1"/>
      <c r="X22" s="1">
        <f t="shared" ref="X22:X23" si="14">+P22-T22</f>
        <v>-1151.21</v>
      </c>
      <c r="Y22" s="1"/>
      <c r="Z22" s="5">
        <f t="shared" ref="Z22:Z23" si="15">IF(T22=0,0,X22/T22)</f>
        <v>-1</v>
      </c>
    </row>
    <row r="23" spans="1:26" s="24" customFormat="1" hidden="1" outlineLevel="2" x14ac:dyDescent="0.25">
      <c r="A23" s="28"/>
      <c r="B23" s="11" t="str">
        <f>CONCATENATE("          ", "6375", " - ", "OUTSIDE REPAIRS &amp; MAINTENANCE")</f>
        <v xml:space="preserve">          6375 - OUTSIDE REPAIRS &amp; MAINTENANCE</v>
      </c>
      <c r="C23" s="11"/>
      <c r="D23" s="7"/>
      <c r="E23" s="2"/>
      <c r="F23" s="6">
        <f t="shared" si="8"/>
        <v>0</v>
      </c>
      <c r="G23" s="2"/>
      <c r="H23" s="7">
        <v>1151.21</v>
      </c>
      <c r="I23" s="2"/>
      <c r="J23" s="6">
        <f t="shared" si="9"/>
        <v>0</v>
      </c>
      <c r="K23" s="2"/>
      <c r="L23" s="7">
        <f t="shared" si="10"/>
        <v>-1151.21</v>
      </c>
      <c r="M23" s="2"/>
      <c r="N23" s="6">
        <f t="shared" si="11"/>
        <v>-1</v>
      </c>
      <c r="O23" s="11"/>
      <c r="P23" s="7"/>
      <c r="Q23" s="2"/>
      <c r="R23" s="6">
        <f t="shared" si="12"/>
        <v>0</v>
      </c>
      <c r="S23" s="2"/>
      <c r="T23" s="7">
        <v>1151.21</v>
      </c>
      <c r="U23" s="2"/>
      <c r="V23" s="6">
        <f t="shared" si="13"/>
        <v>0</v>
      </c>
      <c r="W23" s="2"/>
      <c r="X23" s="7">
        <f t="shared" si="14"/>
        <v>-1151.21</v>
      </c>
      <c r="Y23" s="2"/>
      <c r="Z23" s="6">
        <f t="shared" si="15"/>
        <v>-1</v>
      </c>
    </row>
    <row r="24" spans="1:26" s="60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>
        <f>+D16-D18+D25</f>
        <v>0</v>
      </c>
      <c r="E27" s="13"/>
      <c r="F27" s="21">
        <f>IF(D$12=0,0,D27/D$12)</f>
        <v>0</v>
      </c>
      <c r="G27" s="13"/>
      <c r="H27" s="22">
        <f>+H16-H18+H25</f>
        <v>-8047.21</v>
      </c>
      <c r="I27" s="13"/>
      <c r="J27" s="21">
        <f>IF(H$12=0,0,H27/H$12)</f>
        <v>0</v>
      </c>
      <c r="K27" s="15"/>
      <c r="L27" s="22">
        <f>+D27-H27</f>
        <v>8047.21</v>
      </c>
      <c r="M27" s="15"/>
      <c r="N27" s="21">
        <f>IF(H27=0,0,L27/H27)</f>
        <v>-1</v>
      </c>
      <c r="O27" s="26"/>
      <c r="P27" s="22">
        <f>+P16-P18+P25</f>
        <v>0</v>
      </c>
      <c r="Q27" s="13"/>
      <c r="R27" s="21">
        <f>IF(P$12=0,0,P27/P$12)</f>
        <v>0</v>
      </c>
      <c r="S27" s="13"/>
      <c r="T27" s="22">
        <f>+T16-T18+T25</f>
        <v>-8047.21</v>
      </c>
      <c r="U27" s="13"/>
      <c r="V27" s="21">
        <f>IF(T$12=0,0,T27/T$12)</f>
        <v>0</v>
      </c>
      <c r="W27" s="15"/>
      <c r="X27" s="22">
        <f>+P27-T27</f>
        <v>8047.21</v>
      </c>
      <c r="Y27" s="15"/>
      <c r="Z27" s="21">
        <f>IF(T27=0,0,X27/T27)</f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/>
      <c r="E29" s="4"/>
      <c r="F29" s="12">
        <f>IF(D$12=0,0,D29/D$12)</f>
        <v>0</v>
      </c>
      <c r="G29" s="4"/>
      <c r="H29" s="4"/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/>
      <c r="Q29" s="4"/>
      <c r="R29" s="12">
        <f>IF(P$12=0,0,P29/P$12)</f>
        <v>0</v>
      </c>
      <c r="S29" s="4"/>
      <c r="T29" s="4"/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>
        <f>+D27-D29</f>
        <v>0</v>
      </c>
      <c r="E31" s="13"/>
      <c r="F31" s="32">
        <f>IF(D$12=0,0,D31/D$12)</f>
        <v>0</v>
      </c>
      <c r="G31" s="13"/>
      <c r="H31" s="33">
        <f>+H27-H29</f>
        <v>-8047.21</v>
      </c>
      <c r="I31" s="13"/>
      <c r="J31" s="32">
        <f>IF(H$12=0,0,H31/H$12)</f>
        <v>0</v>
      </c>
      <c r="K31" s="15"/>
      <c r="L31" s="33">
        <f>D31-H31</f>
        <v>8047.21</v>
      </c>
      <c r="M31" s="15"/>
      <c r="N31" s="32">
        <f>IF(H31=0,0,L31/H31)</f>
        <v>-1</v>
      </c>
      <c r="O31" s="26"/>
      <c r="P31" s="33">
        <f>+P27-P29</f>
        <v>0</v>
      </c>
      <c r="Q31" s="13"/>
      <c r="R31" s="32">
        <f>IF(P$12=0,0,P31/P$12)</f>
        <v>0</v>
      </c>
      <c r="S31" s="13"/>
      <c r="T31" s="33">
        <f>+T27-T29</f>
        <v>-8047.21</v>
      </c>
      <c r="U31" s="13"/>
      <c r="V31" s="32">
        <f>IF(T$12=0,0,T31/T$12)</f>
        <v>0</v>
      </c>
      <c r="W31" s="15"/>
      <c r="X31" s="33">
        <f>P31-T31</f>
        <v>8047.21</v>
      </c>
      <c r="Y31" s="15"/>
      <c r="Z31" s="32">
        <f>IF(T31=0,0,X31/T31)</f>
        <v>-1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5" t="s">
        <v>5</v>
      </c>
      <c r="C34" s="25"/>
      <c r="D34" s="34">
        <f>SUM(D31:D33)</f>
        <v>0</v>
      </c>
      <c r="E34" s="13"/>
      <c r="F34" s="31">
        <f>IF(D$12=0,0,D34/D$12)</f>
        <v>0</v>
      </c>
      <c r="G34" s="13"/>
      <c r="H34" s="34">
        <f>SUM(H31:H33)</f>
        <v>-8047.21</v>
      </c>
      <c r="I34" s="13"/>
      <c r="J34" s="31">
        <f>IF(H$12=0,0,H34/H$12)</f>
        <v>0</v>
      </c>
      <c r="K34" s="15"/>
      <c r="L34" s="34">
        <f>+D34-H34</f>
        <v>8047.21</v>
      </c>
      <c r="M34" s="15"/>
      <c r="N34" s="31">
        <f>IF(H34=0,0,L34/H34)</f>
        <v>-1</v>
      </c>
      <c r="O34" s="26"/>
      <c r="P34" s="34">
        <f>SUM(P31:P33)</f>
        <v>0</v>
      </c>
      <c r="Q34" s="13"/>
      <c r="R34" s="31">
        <f>IF(P$12=0,0,P34/P$12)</f>
        <v>0</v>
      </c>
      <c r="S34" s="13"/>
      <c r="T34" s="34">
        <f>SUM(T31:T33)</f>
        <v>-8047.21</v>
      </c>
      <c r="U34" s="13"/>
      <c r="V34" s="31">
        <f>IF(T$12=0,0,T34/T$12)</f>
        <v>0</v>
      </c>
      <c r="W34" s="15"/>
      <c r="X34" s="34">
        <f>+P34-T34</f>
        <v>8047.21</v>
      </c>
      <c r="Y34" s="15"/>
      <c r="Z34" s="31">
        <f>IF(T34=0,0,X34/T34)</f>
        <v>-1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2"/>
      <c r="K35" s="18"/>
      <c r="L35" s="18"/>
      <c r="M35" s="18"/>
      <c r="P35" s="18"/>
      <c r="Q35" s="18"/>
      <c r="R35" s="42"/>
      <c r="S35" s="18"/>
      <c r="T35" s="18"/>
      <c r="U35" s="18"/>
      <c r="V35" s="42"/>
      <c r="W35" s="18"/>
      <c r="X35" s="18"/>
    </row>
    <row r="36" spans="1:26" x14ac:dyDescent="0.25">
      <c r="A36" s="9"/>
      <c r="B36" s="54">
        <v>44123.56570431713</v>
      </c>
      <c r="D36" s="18"/>
      <c r="E36" s="18"/>
      <c r="G36" s="18"/>
      <c r="H36" s="18"/>
      <c r="I36" s="18"/>
      <c r="J36" s="42"/>
      <c r="K36" s="18"/>
      <c r="L36" s="18"/>
      <c r="M36" s="18"/>
      <c r="P36" s="18"/>
      <c r="Q36" s="18"/>
      <c r="R36" s="42"/>
      <c r="S36" s="18"/>
      <c r="T36" s="18"/>
      <c r="U36" s="18"/>
      <c r="V36" s="42"/>
      <c r="W36" s="18"/>
      <c r="X36" s="18"/>
    </row>
    <row r="37" spans="1:26" x14ac:dyDescent="0.25">
      <c r="A37" s="9"/>
      <c r="B37" s="59" t="s">
        <v>313</v>
      </c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8"/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49395.78</v>
      </c>
      <c r="I12" s="4"/>
      <c r="J12" s="12"/>
      <c r="K12" s="4"/>
      <c r="L12" s="4">
        <f t="shared" ref="L12:L14" si="0">+D12-H12</f>
        <v>-49395.78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75397.78</v>
      </c>
      <c r="U12" s="4"/>
      <c r="V12" s="12"/>
      <c r="W12" s="4"/>
      <c r="X12" s="4">
        <f t="shared" ref="X12:X14" si="2">+P12-T12</f>
        <v>-75397.78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--12059.82</f>
        <v>12059.82</v>
      </c>
      <c r="I13" s="2"/>
      <c r="J13" s="19"/>
      <c r="K13" s="2"/>
      <c r="L13" s="2">
        <f t="shared" si="0"/>
        <v>-12059.82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--21073.06</f>
        <v>21073.06</v>
      </c>
      <c r="U13" s="2"/>
      <c r="V13" s="19"/>
      <c r="W13" s="2"/>
      <c r="X13" s="2">
        <f t="shared" si="2"/>
        <v>-21073.06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--37335.96</f>
        <v>37335.96</v>
      </c>
      <c r="I14" s="2"/>
      <c r="J14" s="19"/>
      <c r="K14" s="2"/>
      <c r="L14" s="2">
        <f t="shared" si="0"/>
        <v>-37335.96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--54324.72</f>
        <v>54324.72</v>
      </c>
      <c r="U14" s="2"/>
      <c r="V14" s="19"/>
      <c r="W14" s="2"/>
      <c r="X14" s="2">
        <f t="shared" si="2"/>
        <v>-54324.72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12352.300000000001</v>
      </c>
      <c r="I16" s="4"/>
      <c r="J16" s="12">
        <f t="shared" ref="J16:J18" si="7">IF(H$12=0,0,H16/H$12)</f>
        <v>0.25006792078189677</v>
      </c>
      <c r="K16" s="4"/>
      <c r="L16" s="4">
        <f t="shared" ref="L16:L18" si="8">+D16-H16</f>
        <v>-12352.300000000001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22285.01</v>
      </c>
      <c r="U16" s="4"/>
      <c r="V16" s="12">
        <f t="shared" ref="V16:V18" si="11">IF(T$12=0,0,T16/T$12)</f>
        <v>0.29556586414082747</v>
      </c>
      <c r="W16" s="4"/>
      <c r="X16" s="4">
        <f t="shared" ref="X16:X18" si="12">+P16-T16</f>
        <v>-22285.01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14797.070000000002</v>
      </c>
      <c r="I17" s="2"/>
      <c r="J17" s="19">
        <f t="shared" si="7"/>
        <v>0.29956142002413977</v>
      </c>
      <c r="K17" s="2"/>
      <c r="L17" s="2">
        <f t="shared" si="8"/>
        <v>-14797.070000000002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26000.12</v>
      </c>
      <c r="U17" s="2"/>
      <c r="V17" s="19">
        <f t="shared" si="11"/>
        <v>0.3448393308131884</v>
      </c>
      <c r="W17" s="2"/>
      <c r="X17" s="2">
        <f t="shared" si="12"/>
        <v>-26000.12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-2444.77</v>
      </c>
      <c r="I18" s="2"/>
      <c r="J18" s="19">
        <f t="shared" si="7"/>
        <v>-4.9493499242242965E-2</v>
      </c>
      <c r="K18" s="2"/>
      <c r="L18" s="2">
        <f t="shared" si="8"/>
        <v>2444.77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-3715.11</v>
      </c>
      <c r="U18" s="2"/>
      <c r="V18" s="19">
        <f t="shared" si="11"/>
        <v>-4.9273466672360912E-2</v>
      </c>
      <c r="W18" s="2"/>
      <c r="X18" s="2">
        <f t="shared" si="12"/>
        <v>3715.11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37043.479999999996</v>
      </c>
      <c r="I20" s="13"/>
      <c r="J20" s="21">
        <f>IF(H$12=0,0,H20/H$12)</f>
        <v>0.74993207921810323</v>
      </c>
      <c r="K20" s="15"/>
      <c r="L20" s="22">
        <f>+D20-H20</f>
        <v>-37043.479999999996</v>
      </c>
      <c r="M20" s="15"/>
      <c r="N20" s="21">
        <f>IF(H20=0,0,L20/H20)</f>
        <v>-1</v>
      </c>
      <c r="O20" s="26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53112.770000000004</v>
      </c>
      <c r="U20" s="13"/>
      <c r="V20" s="21">
        <f>IF(T$12=0,0,T20/T$12)</f>
        <v>0.70443413585917258</v>
      </c>
      <c r="W20" s="15"/>
      <c r="X20" s="22">
        <f>+P20-T20</f>
        <v>-53112.770000000004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223.78</v>
      </c>
      <c r="E22" s="20"/>
      <c r="F22" s="36">
        <f t="shared" ref="F22:F31" si="14">IF(D$12=0,0,D22/D$12)</f>
        <v>0</v>
      </c>
      <c r="G22" s="20"/>
      <c r="H22" s="20">
        <f>SUM(OSRRefH22x_0)</f>
        <v>24676.789999999994</v>
      </c>
      <c r="I22" s="20"/>
      <c r="J22" s="36">
        <f t="shared" ref="J22:J31" si="15">IF(H$12=0,0,H22/H$12)</f>
        <v>0.49957283800357022</v>
      </c>
      <c r="K22" s="4"/>
      <c r="L22" s="20">
        <f t="shared" ref="L22:L31" si="16">+D22-H22</f>
        <v>-24453.009999999995</v>
      </c>
      <c r="M22" s="4"/>
      <c r="N22" s="36">
        <f t="shared" ref="N22:N31" si="17">IF(H22=0,0,L22/H22)</f>
        <v>-0.99093155957480694</v>
      </c>
      <c r="O22" s="10"/>
      <c r="P22" s="20">
        <f>SUM(OSRRefP22x_0)</f>
        <v>4499.97</v>
      </c>
      <c r="Q22" s="20"/>
      <c r="R22" s="36">
        <f t="shared" ref="R22:R31" si="18">IF(P$12=0,0,P22/P$12)</f>
        <v>0</v>
      </c>
      <c r="S22" s="20"/>
      <c r="T22" s="20">
        <f>SUM(OSRRefT22x_0)</f>
        <v>59574.099999999991</v>
      </c>
      <c r="U22" s="20"/>
      <c r="V22" s="36">
        <f t="shared" ref="V22:V31" si="19">IF(T$12=0,0,T22/T$12)</f>
        <v>0.7901306908505793</v>
      </c>
      <c r="W22" s="4"/>
      <c r="X22" s="20">
        <f t="shared" ref="X22:X31" si="20">+P22-T22</f>
        <v>-55074.12999999999</v>
      </c>
      <c r="Y22" s="4"/>
      <c r="Z22" s="36">
        <f t="shared" ref="Z22:Z31" si="21">IF(T22=0,0,X22/T22)</f>
        <v>-0.92446432258313593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3621.58</v>
      </c>
      <c r="I23" s="1"/>
      <c r="J23" s="5">
        <f t="shared" si="15"/>
        <v>7.331759919572077E-2</v>
      </c>
      <c r="K23" s="1"/>
      <c r="L23" s="1">
        <f t="shared" si="16"/>
        <v>-3621.58</v>
      </c>
      <c r="M23" s="1"/>
      <c r="N23" s="5">
        <f t="shared" si="17"/>
        <v>-1</v>
      </c>
      <c r="O23" s="14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10360.57</v>
      </c>
      <c r="U23" s="1"/>
      <c r="V23" s="5">
        <f t="shared" si="19"/>
        <v>0.13741213600718749</v>
      </c>
      <c r="W23" s="1"/>
      <c r="X23" s="1">
        <f t="shared" si="20"/>
        <v>-8867.14</v>
      </c>
      <c r="Y23" s="1"/>
      <c r="Z23" s="5">
        <f t="shared" si="21"/>
        <v>-0.85585445588418396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720.41</v>
      </c>
      <c r="I24" s="2"/>
      <c r="J24" s="6">
        <f t="shared" si="15"/>
        <v>1.4584444258193717E-2</v>
      </c>
      <c r="K24" s="2"/>
      <c r="L24" s="7">
        <f t="shared" si="16"/>
        <v>-720.41</v>
      </c>
      <c r="M24" s="2"/>
      <c r="N24" s="6">
        <f t="shared" si="17"/>
        <v>-1</v>
      </c>
      <c r="O24" s="11"/>
      <c r="P24" s="7">
        <v>191.51</v>
      </c>
      <c r="Q24" s="2"/>
      <c r="R24" s="6">
        <f t="shared" si="18"/>
        <v>0</v>
      </c>
      <c r="S24" s="2"/>
      <c r="T24" s="7">
        <v>1917.75</v>
      </c>
      <c r="U24" s="2"/>
      <c r="V24" s="6">
        <f t="shared" si="19"/>
        <v>2.543509901750423E-2</v>
      </c>
      <c r="W24" s="2"/>
      <c r="X24" s="7">
        <f t="shared" si="20"/>
        <v>-1726.24</v>
      </c>
      <c r="Y24" s="2"/>
      <c r="Z24" s="6">
        <f t="shared" si="21"/>
        <v>-0.90013818276626256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608.98</v>
      </c>
      <c r="I25" s="2"/>
      <c r="J25" s="6">
        <f t="shared" si="15"/>
        <v>1.232858353486877E-2</v>
      </c>
      <c r="K25" s="2"/>
      <c r="L25" s="7">
        <f t="shared" si="16"/>
        <v>-608.98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1239.76</v>
      </c>
      <c r="U25" s="2"/>
      <c r="V25" s="6">
        <f t="shared" si="19"/>
        <v>1.6442924446847109E-2</v>
      </c>
      <c r="W25" s="2"/>
      <c r="X25" s="7">
        <f t="shared" si="20"/>
        <v>-1239.76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1286.5999999999999</v>
      </c>
      <c r="I26" s="2"/>
      <c r="J26" s="6">
        <f t="shared" si="15"/>
        <v>2.6046759460018647E-2</v>
      </c>
      <c r="K26" s="2"/>
      <c r="L26" s="7">
        <f t="shared" si="16"/>
        <v>-1286.5999999999999</v>
      </c>
      <c r="M26" s="2"/>
      <c r="N26" s="6">
        <f t="shared" si="17"/>
        <v>-1</v>
      </c>
      <c r="O26" s="11"/>
      <c r="P26" s="7">
        <v>718.51</v>
      </c>
      <c r="Q26" s="2"/>
      <c r="R26" s="6">
        <f t="shared" si="18"/>
        <v>0</v>
      </c>
      <c r="S26" s="2"/>
      <c r="T26" s="7">
        <v>3859.8</v>
      </c>
      <c r="U26" s="2"/>
      <c r="V26" s="6">
        <f t="shared" si="19"/>
        <v>5.1192488691311606E-2</v>
      </c>
      <c r="W26" s="2"/>
      <c r="X26" s="7">
        <f t="shared" si="20"/>
        <v>-3141.29</v>
      </c>
      <c r="Y26" s="2"/>
      <c r="Z26" s="6">
        <f t="shared" si="21"/>
        <v>-0.81384786776516915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40.81</v>
      </c>
      <c r="I27" s="2"/>
      <c r="J27" s="6">
        <f t="shared" si="15"/>
        <v>8.261839371703413E-4</v>
      </c>
      <c r="K27" s="2"/>
      <c r="L27" s="7">
        <f t="shared" si="16"/>
        <v>-40.81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83.08</v>
      </c>
      <c r="U27" s="2"/>
      <c r="V27" s="6">
        <f t="shared" si="19"/>
        <v>1.1018892068174952E-3</v>
      </c>
      <c r="W27" s="2"/>
      <c r="X27" s="7">
        <f t="shared" si="20"/>
        <v>-83.08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326.52</v>
      </c>
      <c r="I28" s="2"/>
      <c r="J28" s="6">
        <f t="shared" si="15"/>
        <v>6.6102812831379523E-3</v>
      </c>
      <c r="K28" s="2"/>
      <c r="L28" s="7">
        <f t="shared" si="16"/>
        <v>-326.52</v>
      </c>
      <c r="M28" s="2"/>
      <c r="N28" s="6">
        <f t="shared" si="17"/>
        <v>-1</v>
      </c>
      <c r="O28" s="11"/>
      <c r="P28" s="7">
        <v>377.03</v>
      </c>
      <c r="Q28" s="2"/>
      <c r="R28" s="6">
        <f t="shared" si="18"/>
        <v>0</v>
      </c>
      <c r="S28" s="2"/>
      <c r="T28" s="7">
        <v>979.56</v>
      </c>
      <c r="U28" s="2"/>
      <c r="V28" s="6">
        <f t="shared" si="19"/>
        <v>1.2991894456308925E-2</v>
      </c>
      <c r="W28" s="2"/>
      <c r="X28" s="7">
        <f t="shared" si="20"/>
        <v>-602.53</v>
      </c>
      <c r="Y28" s="2"/>
      <c r="Z28" s="6">
        <f t="shared" si="21"/>
        <v>-0.61510269917105642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269.38</v>
      </c>
      <c r="I29" s="2"/>
      <c r="J29" s="6">
        <f t="shared" si="15"/>
        <v>5.453502303233191E-3</v>
      </c>
      <c r="K29" s="2"/>
      <c r="L29" s="7">
        <f t="shared" si="16"/>
        <v>-269.38</v>
      </c>
      <c r="M29" s="2"/>
      <c r="N29" s="6">
        <f t="shared" si="17"/>
        <v>-1</v>
      </c>
      <c r="O29" s="11"/>
      <c r="P29" s="7">
        <v>93.89</v>
      </c>
      <c r="Q29" s="2"/>
      <c r="R29" s="6">
        <f t="shared" si="18"/>
        <v>0</v>
      </c>
      <c r="S29" s="2"/>
      <c r="T29" s="7">
        <v>892.23</v>
      </c>
      <c r="U29" s="2"/>
      <c r="V29" s="6">
        <f t="shared" si="19"/>
        <v>1.183363754211331E-2</v>
      </c>
      <c r="W29" s="2"/>
      <c r="X29" s="7">
        <f t="shared" si="20"/>
        <v>-798.34</v>
      </c>
      <c r="Y29" s="2"/>
      <c r="Z29" s="6">
        <f t="shared" si="21"/>
        <v>-0.89476928594644878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215.62</v>
      </c>
      <c r="I30" s="2"/>
      <c r="J30" s="6">
        <f t="shared" si="15"/>
        <v>4.365150221334697E-3</v>
      </c>
      <c r="K30" s="2"/>
      <c r="L30" s="7">
        <f t="shared" si="16"/>
        <v>-215.62</v>
      </c>
      <c r="M30" s="2"/>
      <c r="N30" s="6">
        <f t="shared" si="17"/>
        <v>-1</v>
      </c>
      <c r="O30" s="11"/>
      <c r="P30" s="7">
        <v>112.49</v>
      </c>
      <c r="Q30" s="2"/>
      <c r="R30" s="6">
        <f t="shared" si="18"/>
        <v>0</v>
      </c>
      <c r="S30" s="2"/>
      <c r="T30" s="7">
        <v>980.75</v>
      </c>
      <c r="U30" s="2"/>
      <c r="V30" s="6">
        <f t="shared" si="19"/>
        <v>1.3007677414374801E-2</v>
      </c>
      <c r="W30" s="2"/>
      <c r="X30" s="7">
        <f t="shared" si="20"/>
        <v>-868.26</v>
      </c>
      <c r="Y30" s="2"/>
      <c r="Z30" s="6">
        <f t="shared" si="21"/>
        <v>-0.88530206474636752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153.26</v>
      </c>
      <c r="I31" s="2"/>
      <c r="J31" s="6">
        <f t="shared" si="15"/>
        <v>3.1026941977634523E-3</v>
      </c>
      <c r="K31" s="2"/>
      <c r="L31" s="7">
        <f t="shared" si="16"/>
        <v>-153.26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407.64</v>
      </c>
      <c r="U31" s="2"/>
      <c r="V31" s="6">
        <f t="shared" si="19"/>
        <v>5.4065252319100109E-3</v>
      </c>
      <c r="W31" s="2"/>
      <c r="X31" s="7">
        <f t="shared" si="20"/>
        <v>-407.64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15710.27</v>
      </c>
      <c r="I32" s="1"/>
      <c r="J32" s="5">
        <f t="shared" ref="J32:J36" si="23">IF(H$12=0,0,H32/H$12)</f>
        <v>0.31804882927246014</v>
      </c>
      <c r="K32" s="1"/>
      <c r="L32" s="1">
        <f t="shared" ref="L32:L36" si="24">+D32-H32</f>
        <v>-15710.27</v>
      </c>
      <c r="M32" s="1"/>
      <c r="N32" s="5">
        <f t="shared" ref="N32:N36" si="25">IF(H32=0,0,L32/H32)</f>
        <v>-1</v>
      </c>
      <c r="O32" s="14"/>
      <c r="P32" s="1">
        <f>SUM(OSRRefP22_1x_0)</f>
        <v>2259.48</v>
      </c>
      <c r="Q32" s="1"/>
      <c r="R32" s="5">
        <f t="shared" ref="R32:R36" si="26">IF(P$12=0,0,P32/P$12)</f>
        <v>0</v>
      </c>
      <c r="S32" s="1"/>
      <c r="T32" s="1">
        <f>SUM(OSRRefT22_1x_0)</f>
        <v>34420.86</v>
      </c>
      <c r="U32" s="1"/>
      <c r="V32" s="5">
        <f t="shared" ref="V32:V36" si="27">IF(T$12=0,0,T32/T$12)</f>
        <v>0.45652352098430488</v>
      </c>
      <c r="W32" s="1"/>
      <c r="X32" s="1">
        <f t="shared" ref="X32:X36" si="28">+P32-T32</f>
        <v>-32161.38</v>
      </c>
      <c r="Y32" s="1"/>
      <c r="Z32" s="5">
        <f t="shared" ref="Z32:Z36" si="29">IF(T32=0,0,X32/T32)</f>
        <v>-0.93435724732037495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4674.62</v>
      </c>
      <c r="I33" s="2"/>
      <c r="J33" s="6">
        <f t="shared" si="23"/>
        <v>9.4636019514217615E-2</v>
      </c>
      <c r="K33" s="2"/>
      <c r="L33" s="7">
        <f t="shared" si="24"/>
        <v>-4674.62</v>
      </c>
      <c r="M33" s="2"/>
      <c r="N33" s="6">
        <f t="shared" si="25"/>
        <v>-1</v>
      </c>
      <c r="O33" s="11"/>
      <c r="P33" s="7">
        <v>2259.48</v>
      </c>
      <c r="Q33" s="2"/>
      <c r="R33" s="6">
        <f t="shared" si="26"/>
        <v>0</v>
      </c>
      <c r="S33" s="2"/>
      <c r="T33" s="7">
        <v>14257.94</v>
      </c>
      <c r="U33" s="2"/>
      <c r="V33" s="6">
        <f t="shared" si="27"/>
        <v>0.18910291523172168</v>
      </c>
      <c r="W33" s="2"/>
      <c r="X33" s="7">
        <f t="shared" si="28"/>
        <v>-11998.460000000001</v>
      </c>
      <c r="Y33" s="2"/>
      <c r="Z33" s="6">
        <f t="shared" si="29"/>
        <v>-0.8415282993195371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4742.6499999999996</v>
      </c>
      <c r="I34" s="2"/>
      <c r="J34" s="6">
        <f t="shared" si="23"/>
        <v>9.6013262671426583E-2</v>
      </c>
      <c r="K34" s="2"/>
      <c r="L34" s="7">
        <f t="shared" si="24"/>
        <v>-4742.6499999999996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7380.61</v>
      </c>
      <c r="U34" s="2"/>
      <c r="V34" s="6">
        <f t="shared" si="27"/>
        <v>9.7888956412244502E-2</v>
      </c>
      <c r="W34" s="2"/>
      <c r="X34" s="7">
        <f t="shared" si="28"/>
        <v>-7380.61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5546</v>
      </c>
      <c r="I35" s="2"/>
      <c r="J35" s="6">
        <f t="shared" si="23"/>
        <v>0.11227679773454331</v>
      </c>
      <c r="K35" s="2"/>
      <c r="L35" s="7">
        <f t="shared" si="24"/>
        <v>-5546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12035.31</v>
      </c>
      <c r="U35" s="2"/>
      <c r="V35" s="6">
        <f t="shared" si="27"/>
        <v>0.15962419583176055</v>
      </c>
      <c r="W35" s="2"/>
      <c r="X35" s="7">
        <f t="shared" si="28"/>
        <v>-12035.31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22"/>
        <v>0</v>
      </c>
      <c r="G36" s="2"/>
      <c r="H36" s="7">
        <v>747</v>
      </c>
      <c r="I36" s="2"/>
      <c r="J36" s="6">
        <f t="shared" si="23"/>
        <v>1.5122749352272603E-2</v>
      </c>
      <c r="K36" s="2"/>
      <c r="L36" s="7">
        <f t="shared" si="24"/>
        <v>-747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747</v>
      </c>
      <c r="U36" s="2"/>
      <c r="V36" s="6">
        <f t="shared" si="27"/>
        <v>9.9074535085781033E-3</v>
      </c>
      <c r="W36" s="2"/>
      <c r="X36" s="7">
        <f t="shared" si="28"/>
        <v>-747</v>
      </c>
      <c r="Y36" s="2"/>
      <c r="Z36" s="6">
        <f t="shared" si="29"/>
        <v>-1</v>
      </c>
    </row>
    <row r="37" spans="1:26" s="27" customFormat="1" outlineLevel="1" collapsed="1" x14ac:dyDescent="0.25">
      <c r="A37" s="29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50" si="30">IF(D$12=0,0,D37/D$12)</f>
        <v>0</v>
      </c>
      <c r="G37" s="1"/>
      <c r="H37" s="1">
        <f>SUM(OSRRefH22_2x_0)</f>
        <v>42.38</v>
      </c>
      <c r="I37" s="1"/>
      <c r="J37" s="5">
        <f t="shared" ref="J37:J50" si="31">IF(H$12=0,0,H37/H$12)</f>
        <v>8.5796802884780855E-4</v>
      </c>
      <c r="K37" s="1"/>
      <c r="L37" s="1">
        <f t="shared" ref="L37:L50" si="32">+D37-H37</f>
        <v>-42.38</v>
      </c>
      <c r="M37" s="1"/>
      <c r="N37" s="5">
        <f t="shared" ref="N37:N50" si="33">IF(H37=0,0,L37/H37)</f>
        <v>-1</v>
      </c>
      <c r="O37" s="14"/>
      <c r="P37" s="1">
        <f>SUM(OSRRefP22_2x_0)</f>
        <v>0</v>
      </c>
      <c r="Q37" s="1"/>
      <c r="R37" s="5">
        <f t="shared" ref="R37:R50" si="34">IF(P$12=0,0,P37/P$12)</f>
        <v>0</v>
      </c>
      <c r="S37" s="1"/>
      <c r="T37" s="1">
        <f>SUM(OSRRefT22_2x_0)</f>
        <v>1040.93</v>
      </c>
      <c r="U37" s="1"/>
      <c r="V37" s="5">
        <f t="shared" ref="V37:V50" si="35">IF(T$12=0,0,T37/T$12)</f>
        <v>1.3805844150849005E-2</v>
      </c>
      <c r="W37" s="1"/>
      <c r="X37" s="1">
        <f t="shared" ref="X37:X50" si="36">+P37-T37</f>
        <v>-1040.93</v>
      </c>
      <c r="Y37" s="1"/>
      <c r="Z37" s="5">
        <f t="shared" ref="Z37:Z50" si="37">IF(T37=0,0,X37/T37)</f>
        <v>-1</v>
      </c>
    </row>
    <row r="38" spans="1:26" s="24" customFormat="1" hidden="1" outlineLevel="2" x14ac:dyDescent="0.25">
      <c r="A38" s="28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>
        <v>42.38</v>
      </c>
      <c r="I38" s="2"/>
      <c r="J38" s="6">
        <f t="shared" si="31"/>
        <v>8.5796802884780855E-4</v>
      </c>
      <c r="K38" s="2"/>
      <c r="L38" s="7">
        <f t="shared" si="32"/>
        <v>-42.38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1040.93</v>
      </c>
      <c r="U38" s="2"/>
      <c r="V38" s="6">
        <f t="shared" si="35"/>
        <v>1.3805844150849005E-2</v>
      </c>
      <c r="W38" s="2"/>
      <c r="X38" s="7">
        <f t="shared" si="36"/>
        <v>-1040.93</v>
      </c>
      <c r="Y38" s="2"/>
      <c r="Z38" s="6">
        <f t="shared" si="37"/>
        <v>-1</v>
      </c>
    </row>
    <row r="39" spans="1:26" s="27" customFormat="1" outlineLevel="1" collapsed="1" x14ac:dyDescent="0.25">
      <c r="A39" s="29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-30.91</v>
      </c>
      <c r="I39" s="1"/>
      <c r="J39" s="5">
        <f t="shared" si="31"/>
        <v>-6.2576195780287311E-4</v>
      </c>
      <c r="K39" s="1"/>
      <c r="L39" s="1">
        <f t="shared" si="32"/>
        <v>30.91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-37.729999999999997</v>
      </c>
      <c r="U39" s="1"/>
      <c r="V39" s="5">
        <f t="shared" si="35"/>
        <v>-5.0041261161800786E-4</v>
      </c>
      <c r="W39" s="1"/>
      <c r="X39" s="1">
        <f t="shared" si="36"/>
        <v>37.729999999999997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-30.91</v>
      </c>
      <c r="I40" s="2"/>
      <c r="J40" s="6">
        <f t="shared" si="31"/>
        <v>-6.2576195780287311E-4</v>
      </c>
      <c r="K40" s="2"/>
      <c r="L40" s="7">
        <f t="shared" si="32"/>
        <v>30.91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-37.729999999999997</v>
      </c>
      <c r="U40" s="2"/>
      <c r="V40" s="6">
        <f t="shared" si="35"/>
        <v>-5.0041261161800786E-4</v>
      </c>
      <c r="W40" s="2"/>
      <c r="X40" s="7">
        <f t="shared" si="36"/>
        <v>37.729999999999997</v>
      </c>
      <c r="Y40" s="2"/>
      <c r="Z40" s="6">
        <f t="shared" si="37"/>
        <v>-1</v>
      </c>
    </row>
    <row r="41" spans="1:26" s="27" customFormat="1" outlineLevel="1" collapsed="1" x14ac:dyDescent="0.25">
      <c r="A41" s="29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1690</v>
      </c>
      <c r="I41" s="1"/>
      <c r="J41" s="5">
        <f t="shared" si="31"/>
        <v>3.4213449003133466E-2</v>
      </c>
      <c r="K41" s="1"/>
      <c r="L41" s="1">
        <f t="shared" si="32"/>
        <v>-1690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2500.1999999999998</v>
      </c>
      <c r="U41" s="1"/>
      <c r="V41" s="5">
        <f t="shared" si="35"/>
        <v>3.3160127526301174E-2</v>
      </c>
      <c r="W41" s="1"/>
      <c r="X41" s="1">
        <f t="shared" si="36"/>
        <v>-2500.1999999999998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1690</v>
      </c>
      <c r="I42" s="2"/>
      <c r="J42" s="6">
        <f t="shared" si="31"/>
        <v>3.4213449003133466E-2</v>
      </c>
      <c r="K42" s="2"/>
      <c r="L42" s="7">
        <f t="shared" si="32"/>
        <v>-1690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2500.1999999999998</v>
      </c>
      <c r="U42" s="2"/>
      <c r="V42" s="6">
        <f t="shared" si="35"/>
        <v>3.3160127526301174E-2</v>
      </c>
      <c r="W42" s="2"/>
      <c r="X42" s="7">
        <f t="shared" si="36"/>
        <v>-2500.1999999999998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58.03</v>
      </c>
      <c r="E43" s="1"/>
      <c r="F43" s="5">
        <f t="shared" si="30"/>
        <v>0</v>
      </c>
      <c r="G43" s="1"/>
      <c r="H43" s="1">
        <f>SUM(OSRRefH22_5x_0)</f>
        <v>630.21</v>
      </c>
      <c r="I43" s="1"/>
      <c r="J43" s="5">
        <f t="shared" si="31"/>
        <v>1.2758377335067895E-2</v>
      </c>
      <c r="K43" s="1"/>
      <c r="L43" s="1">
        <f t="shared" si="32"/>
        <v>-572.18000000000006</v>
      </c>
      <c r="M43" s="1"/>
      <c r="N43" s="5">
        <f t="shared" si="33"/>
        <v>-0.90791958236143511</v>
      </c>
      <c r="O43" s="14"/>
      <c r="P43" s="1">
        <f>SUM(OSRRefP22_5x_0)</f>
        <v>174.09</v>
      </c>
      <c r="Q43" s="1"/>
      <c r="R43" s="5">
        <f t="shared" si="34"/>
        <v>0</v>
      </c>
      <c r="S43" s="1"/>
      <c r="T43" s="1">
        <f>SUM(OSRRefT22_5x_0)</f>
        <v>1890.63</v>
      </c>
      <c r="U43" s="1"/>
      <c r="V43" s="5">
        <f t="shared" si="35"/>
        <v>2.5075406729481959E-2</v>
      </c>
      <c r="W43" s="1"/>
      <c r="X43" s="1">
        <f t="shared" si="36"/>
        <v>-1716.5400000000002</v>
      </c>
      <c r="Y43" s="1"/>
      <c r="Z43" s="5">
        <f t="shared" si="37"/>
        <v>-0.90791958236143511</v>
      </c>
    </row>
    <row r="44" spans="1:26" s="24" customFormat="1" hidden="1" outlineLevel="2" x14ac:dyDescent="0.25">
      <c r="A44" s="28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58.03</v>
      </c>
      <c r="E44" s="2"/>
      <c r="F44" s="6">
        <f t="shared" si="30"/>
        <v>0</v>
      </c>
      <c r="G44" s="2"/>
      <c r="H44" s="7">
        <v>630.21</v>
      </c>
      <c r="I44" s="2"/>
      <c r="J44" s="6">
        <f t="shared" si="31"/>
        <v>1.2758377335067895E-2</v>
      </c>
      <c r="K44" s="2"/>
      <c r="L44" s="7">
        <f t="shared" si="32"/>
        <v>-572.18000000000006</v>
      </c>
      <c r="M44" s="2"/>
      <c r="N44" s="6">
        <f t="shared" si="33"/>
        <v>-0.90791958236143511</v>
      </c>
      <c r="O44" s="11"/>
      <c r="P44" s="7">
        <v>174.09</v>
      </c>
      <c r="Q44" s="2"/>
      <c r="R44" s="6">
        <f t="shared" si="34"/>
        <v>0</v>
      </c>
      <c r="S44" s="2"/>
      <c r="T44" s="7">
        <v>1890.63</v>
      </c>
      <c r="U44" s="2"/>
      <c r="V44" s="6">
        <f t="shared" si="35"/>
        <v>2.5075406729481959E-2</v>
      </c>
      <c r="W44" s="2"/>
      <c r="X44" s="7">
        <f t="shared" si="36"/>
        <v>-1716.5400000000002</v>
      </c>
      <c r="Y44" s="2"/>
      <c r="Z44" s="6">
        <f t="shared" si="37"/>
        <v>-0.90791958236143511</v>
      </c>
    </row>
    <row r="45" spans="1:26" s="27" customFormat="1" outlineLevel="1" collapsed="1" x14ac:dyDescent="0.25">
      <c r="A45" s="29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749.55</v>
      </c>
      <c r="U45" s="1"/>
      <c r="V45" s="5">
        <f t="shared" si="35"/>
        <v>9.9412741330049768E-3</v>
      </c>
      <c r="W45" s="1"/>
      <c r="X45" s="1">
        <f t="shared" si="36"/>
        <v>-749.55</v>
      </c>
      <c r="Y45" s="1"/>
      <c r="Z45" s="5">
        <f t="shared" si="37"/>
        <v>-1</v>
      </c>
    </row>
    <row r="46" spans="1:26" s="24" customFormat="1" hidden="1" outlineLevel="2" x14ac:dyDescent="0.25">
      <c r="A46" s="28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0"/>
        <v>0</v>
      </c>
      <c r="G46" s="2"/>
      <c r="H46" s="7"/>
      <c r="I46" s="2"/>
      <c r="J46" s="6">
        <f t="shared" si="31"/>
        <v>0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/>
      <c r="Q46" s="2"/>
      <c r="R46" s="6">
        <f t="shared" si="34"/>
        <v>0</v>
      </c>
      <c r="S46" s="2"/>
      <c r="T46" s="7">
        <v>749.55</v>
      </c>
      <c r="U46" s="2"/>
      <c r="V46" s="6">
        <f t="shared" si="35"/>
        <v>9.9412741330049768E-3</v>
      </c>
      <c r="W46" s="2"/>
      <c r="X46" s="7">
        <f t="shared" si="36"/>
        <v>-749.55</v>
      </c>
      <c r="Y46" s="2"/>
      <c r="Z46" s="6">
        <f t="shared" si="37"/>
        <v>-1</v>
      </c>
    </row>
    <row r="47" spans="1:26" s="27" customFormat="1" outlineLevel="1" collapsed="1" x14ac:dyDescent="0.25">
      <c r="A47" s="29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165.75</v>
      </c>
      <c r="E47" s="1"/>
      <c r="F47" s="5">
        <f t="shared" si="30"/>
        <v>0</v>
      </c>
      <c r="G47" s="1"/>
      <c r="H47" s="1">
        <f>SUM(OSRRefH22_7x_0)</f>
        <v>2614.4</v>
      </c>
      <c r="I47" s="1"/>
      <c r="J47" s="5">
        <f t="shared" si="31"/>
        <v>5.2927598268516056E-2</v>
      </c>
      <c r="K47" s="1"/>
      <c r="L47" s="1">
        <f t="shared" si="32"/>
        <v>-2448.65</v>
      </c>
      <c r="M47" s="1"/>
      <c r="N47" s="5">
        <f t="shared" si="33"/>
        <v>-0.93660113219094243</v>
      </c>
      <c r="O47" s="14"/>
      <c r="P47" s="1">
        <f>SUM(OSRRefP22_7x_0)</f>
        <v>244.35</v>
      </c>
      <c r="Q47" s="1"/>
      <c r="R47" s="5">
        <f t="shared" si="34"/>
        <v>0</v>
      </c>
      <c r="S47" s="1"/>
      <c r="T47" s="1">
        <f>SUM(OSRRefT22_7x_0)</f>
        <v>6578.84</v>
      </c>
      <c r="U47" s="1"/>
      <c r="V47" s="5">
        <f t="shared" si="35"/>
        <v>8.7255088942937056E-2</v>
      </c>
      <c r="W47" s="1"/>
      <c r="X47" s="1">
        <f t="shared" si="36"/>
        <v>-6334.49</v>
      </c>
      <c r="Y47" s="1"/>
      <c r="Z47" s="5">
        <f t="shared" si="37"/>
        <v>-0.96285819384572346</v>
      </c>
    </row>
    <row r="48" spans="1:26" s="24" customFormat="1" hidden="1" outlineLevel="2" x14ac:dyDescent="0.25">
      <c r="A48" s="28"/>
      <c r="B48" s="11" t="str">
        <f>CONCATENATE("          ", "6371", " - ", "COMPUTER SOFTWARE MAINTENANCE")</f>
        <v xml:space="preserve">          6371 - COMPUTER SOFTWARE MAINTENANCE</v>
      </c>
      <c r="C48" s="11"/>
      <c r="D48" s="7"/>
      <c r="E48" s="2"/>
      <c r="F48" s="6">
        <f t="shared" si="30"/>
        <v>0</v>
      </c>
      <c r="G48" s="2"/>
      <c r="H48" s="7">
        <v>874.62</v>
      </c>
      <c r="I48" s="2"/>
      <c r="J48" s="6">
        <f t="shared" si="31"/>
        <v>1.7706370868118694E-2</v>
      </c>
      <c r="K48" s="2"/>
      <c r="L48" s="7">
        <f t="shared" si="32"/>
        <v>-874.62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874.62</v>
      </c>
      <c r="U48" s="2"/>
      <c r="V48" s="6">
        <f t="shared" si="35"/>
        <v>1.1600076288718316E-2</v>
      </c>
      <c r="W48" s="2"/>
      <c r="X48" s="7">
        <f t="shared" si="36"/>
        <v>-874.62</v>
      </c>
      <c r="Y48" s="2"/>
      <c r="Z48" s="6">
        <f t="shared" si="37"/>
        <v>-1</v>
      </c>
    </row>
    <row r="49" spans="1:26" s="24" customFormat="1" hidden="1" outlineLevel="2" x14ac:dyDescent="0.25">
      <c r="A49" s="28"/>
      <c r="B49" s="11" t="str">
        <f>CONCATENATE("          ", "6373", " - ", "MAINTENANCE CONTRACTS")</f>
        <v xml:space="preserve">          6373 - MAINTENANCE CONTRACTS</v>
      </c>
      <c r="C49" s="11"/>
      <c r="D49" s="7">
        <v>165.75</v>
      </c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165.75</v>
      </c>
      <c r="M49" s="2"/>
      <c r="N49" s="6">
        <f t="shared" si="33"/>
        <v>0</v>
      </c>
      <c r="O49" s="11"/>
      <c r="P49" s="7">
        <v>244.35</v>
      </c>
      <c r="Q49" s="2"/>
      <c r="R49" s="6">
        <f t="shared" si="34"/>
        <v>0</v>
      </c>
      <c r="S49" s="2"/>
      <c r="T49" s="7"/>
      <c r="U49" s="2"/>
      <c r="V49" s="6">
        <f t="shared" si="35"/>
        <v>0</v>
      </c>
      <c r="W49" s="2"/>
      <c r="X49" s="7">
        <f t="shared" si="36"/>
        <v>244.35</v>
      </c>
      <c r="Y49" s="2"/>
      <c r="Z49" s="6">
        <f t="shared" si="37"/>
        <v>0</v>
      </c>
    </row>
    <row r="50" spans="1:26" s="24" customFormat="1" hidden="1" outlineLevel="2" x14ac:dyDescent="0.25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30"/>
        <v>0</v>
      </c>
      <c r="G50" s="2"/>
      <c r="H50" s="7">
        <v>1739.78</v>
      </c>
      <c r="I50" s="2"/>
      <c r="J50" s="6">
        <f t="shared" si="31"/>
        <v>3.5221227400397362E-2</v>
      </c>
      <c r="K50" s="2"/>
      <c r="L50" s="7">
        <f t="shared" si="32"/>
        <v>-1739.78</v>
      </c>
      <c r="M50" s="2"/>
      <c r="N50" s="6">
        <f t="shared" si="33"/>
        <v>-1</v>
      </c>
      <c r="O50" s="11"/>
      <c r="P50" s="7"/>
      <c r="Q50" s="2"/>
      <c r="R50" s="6">
        <f t="shared" si="34"/>
        <v>0</v>
      </c>
      <c r="S50" s="2"/>
      <c r="T50" s="7">
        <v>5704.22</v>
      </c>
      <c r="U50" s="2"/>
      <c r="V50" s="6">
        <f t="shared" si="35"/>
        <v>7.5655012654218742E-2</v>
      </c>
      <c r="W50" s="2"/>
      <c r="X50" s="7">
        <f t="shared" si="36"/>
        <v>-5704.22</v>
      </c>
      <c r="Y50" s="2"/>
      <c r="Z50" s="6">
        <f t="shared" si="37"/>
        <v>-1</v>
      </c>
    </row>
    <row r="51" spans="1:26" s="27" customFormat="1" outlineLevel="1" collapsed="1" x14ac:dyDescent="0.25">
      <c r="A51" s="29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SUM(OSRRefD22_8x_0)</f>
        <v>0</v>
      </c>
      <c r="E51" s="1"/>
      <c r="F51" s="5">
        <f t="shared" ref="F51:F53" si="38">IF(D$12=0,0,D51/D$12)</f>
        <v>0</v>
      </c>
      <c r="G51" s="1"/>
      <c r="H51" s="1">
        <f>SUM(OSRRefH22_8x_0)</f>
        <v>0</v>
      </c>
      <c r="I51" s="1"/>
      <c r="J51" s="5">
        <f t="shared" ref="J51:J53" si="39">IF(H$12=0,0,H51/H$12)</f>
        <v>0</v>
      </c>
      <c r="K51" s="1"/>
      <c r="L51" s="1">
        <f t="shared" ref="L51:L53" si="40">+D51-H51</f>
        <v>0</v>
      </c>
      <c r="M51" s="1"/>
      <c r="N51" s="5">
        <f t="shared" ref="N51:N53" si="41">IF(H51=0,0,L51/H51)</f>
        <v>0</v>
      </c>
      <c r="O51" s="14"/>
      <c r="P51" s="1">
        <f>SUM(OSRRefP22_8x_0)</f>
        <v>286.62</v>
      </c>
      <c r="Q51" s="1"/>
      <c r="R51" s="5">
        <f t="shared" ref="R51:R53" si="42">IF(P$12=0,0,P51/P$12)</f>
        <v>0</v>
      </c>
      <c r="S51" s="1"/>
      <c r="T51" s="1">
        <f>SUM(OSRRefT22_8x_0)</f>
        <v>67.22</v>
      </c>
      <c r="U51" s="1"/>
      <c r="V51" s="5">
        <f t="shared" ref="V51:V53" si="43">IF(T$12=0,0,T51/T$12)</f>
        <v>8.9153818587231612E-4</v>
      </c>
      <c r="W51" s="1"/>
      <c r="X51" s="1">
        <f t="shared" ref="X51:X53" si="44">+P51-T51</f>
        <v>219.4</v>
      </c>
      <c r="Y51" s="1"/>
      <c r="Z51" s="5">
        <f t="shared" ref="Z51:Z53" si="45">IF(T51=0,0,X51/T51)</f>
        <v>3.2639095507289499</v>
      </c>
    </row>
    <row r="52" spans="1:26" s="24" customFormat="1" hidden="1" outlineLevel="2" x14ac:dyDescent="0.25">
      <c r="A52" s="28"/>
      <c r="B52" s="11" t="str">
        <f>CONCATENATE("          ", "6282", " - ", "JANITORIAL/EXTERMINATOR EXPENS")</f>
        <v xml:space="preserve">          6282 - JANITORIAL/EXTERMINATOR EXPENS</v>
      </c>
      <c r="C52" s="11"/>
      <c r="D52" s="7"/>
      <c r="E52" s="2"/>
      <c r="F52" s="6">
        <f t="shared" si="38"/>
        <v>0</v>
      </c>
      <c r="G52" s="2"/>
      <c r="H52" s="7"/>
      <c r="I52" s="2"/>
      <c r="J52" s="6">
        <f t="shared" si="39"/>
        <v>0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286.62</v>
      </c>
      <c r="Q52" s="2"/>
      <c r="R52" s="6">
        <f t="shared" si="42"/>
        <v>0</v>
      </c>
      <c r="S52" s="2"/>
      <c r="T52" s="7"/>
      <c r="U52" s="2"/>
      <c r="V52" s="6">
        <f t="shared" si="43"/>
        <v>0</v>
      </c>
      <c r="W52" s="2"/>
      <c r="X52" s="7">
        <f t="shared" si="44"/>
        <v>286.62</v>
      </c>
      <c r="Y52" s="2"/>
      <c r="Z52" s="6">
        <f t="shared" si="45"/>
        <v>0</v>
      </c>
    </row>
    <row r="53" spans="1:26" s="24" customFormat="1" hidden="1" outlineLevel="2" x14ac:dyDescent="0.25">
      <c r="A53" s="28"/>
      <c r="B53" s="11" t="str">
        <f>CONCATENATE("          ", "6286", " - ", "LAUNDRY EXPENSE")</f>
        <v xml:space="preserve">          6286 - LAUNDRY EXPENSE</v>
      </c>
      <c r="C53" s="11"/>
      <c r="D53" s="7"/>
      <c r="E53" s="2"/>
      <c r="F53" s="6">
        <f t="shared" si="38"/>
        <v>0</v>
      </c>
      <c r="G53" s="2"/>
      <c r="H53" s="7"/>
      <c r="I53" s="2"/>
      <c r="J53" s="6">
        <f t="shared" si="39"/>
        <v>0</v>
      </c>
      <c r="K53" s="2"/>
      <c r="L53" s="7">
        <f t="shared" si="40"/>
        <v>0</v>
      </c>
      <c r="M53" s="2"/>
      <c r="N53" s="6">
        <f t="shared" si="41"/>
        <v>0</v>
      </c>
      <c r="O53" s="11"/>
      <c r="P53" s="7"/>
      <c r="Q53" s="2"/>
      <c r="R53" s="6">
        <f t="shared" si="42"/>
        <v>0</v>
      </c>
      <c r="S53" s="2"/>
      <c r="T53" s="7">
        <v>67.22</v>
      </c>
      <c r="U53" s="2"/>
      <c r="V53" s="6">
        <f t="shared" si="43"/>
        <v>8.9153818587231612E-4</v>
      </c>
      <c r="W53" s="2"/>
      <c r="X53" s="7">
        <f t="shared" si="44"/>
        <v>-67.22</v>
      </c>
      <c r="Y53" s="2"/>
      <c r="Z53" s="6">
        <f t="shared" si="45"/>
        <v>-1</v>
      </c>
    </row>
    <row r="54" spans="1:26" s="27" customFormat="1" outlineLevel="1" collapsed="1" x14ac:dyDescent="0.25">
      <c r="A54" s="29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SUM(OSRRefD22_9x_0)</f>
        <v>0</v>
      </c>
      <c r="E54" s="1"/>
      <c r="F54" s="5">
        <f t="shared" ref="F54:F58" si="46">IF(D$12=0,0,D54/D$12)</f>
        <v>0</v>
      </c>
      <c r="G54" s="1"/>
      <c r="H54" s="1">
        <f>SUM(OSRRefH22_9x_0)</f>
        <v>253.85999999999999</v>
      </c>
      <c r="I54" s="1"/>
      <c r="J54" s="5">
        <f t="shared" ref="J54:J58" si="47">IF(H$12=0,0,H54/H$12)</f>
        <v>5.1393054224470186E-3</v>
      </c>
      <c r="K54" s="1"/>
      <c r="L54" s="1">
        <f t="shared" ref="L54:L58" si="48">+D54-H54</f>
        <v>-253.85999999999999</v>
      </c>
      <c r="M54" s="1"/>
      <c r="N54" s="5">
        <f t="shared" ref="N54:N58" si="49">IF(H54=0,0,L54/H54)</f>
        <v>-1</v>
      </c>
      <c r="O54" s="14"/>
      <c r="P54" s="1">
        <f>SUM(OSRRefP22_9x_0)</f>
        <v>0</v>
      </c>
      <c r="Q54" s="1"/>
      <c r="R54" s="5">
        <f t="shared" ref="R54:R58" si="50">IF(P$12=0,0,P54/P$12)</f>
        <v>0</v>
      </c>
      <c r="S54" s="1"/>
      <c r="T54" s="1">
        <f>SUM(OSRRefT22_9x_0)</f>
        <v>1790.03</v>
      </c>
      <c r="U54" s="1"/>
      <c r="V54" s="5">
        <f t="shared" ref="V54:V58" si="51">IF(T$12=0,0,T54/T$12)</f>
        <v>2.3741149938366887E-2</v>
      </c>
      <c r="W54" s="1"/>
      <c r="X54" s="1">
        <f t="shared" ref="X54:X58" si="52">+P54-T54</f>
        <v>-1790.03</v>
      </c>
      <c r="Y54" s="1"/>
      <c r="Z54" s="5">
        <f t="shared" ref="Z54:Z58" si="53">IF(T54=0,0,X54/T54)</f>
        <v>-1</v>
      </c>
    </row>
    <row r="55" spans="1:26" s="24" customFormat="1" hidden="1" outlineLevel="2" x14ac:dyDescent="0.25">
      <c r="A55" s="28"/>
      <c r="B55" s="11" t="str">
        <f>CONCATENATE("          ", "6239", " - ", "KITCHEN SUPPLIES")</f>
        <v xml:space="preserve">          6239 - KITCHEN SUPPLIES</v>
      </c>
      <c r="C55" s="11"/>
      <c r="D55" s="7"/>
      <c r="E55" s="2"/>
      <c r="F55" s="6">
        <f t="shared" si="46"/>
        <v>0</v>
      </c>
      <c r="G55" s="2"/>
      <c r="H55" s="7"/>
      <c r="I55" s="2"/>
      <c r="J55" s="6">
        <f t="shared" si="47"/>
        <v>0</v>
      </c>
      <c r="K55" s="2"/>
      <c r="L55" s="7">
        <f t="shared" si="48"/>
        <v>0</v>
      </c>
      <c r="M55" s="2"/>
      <c r="N55" s="6">
        <f t="shared" si="49"/>
        <v>0</v>
      </c>
      <c r="O55" s="11"/>
      <c r="P55" s="7"/>
      <c r="Q55" s="2"/>
      <c r="R55" s="6">
        <f t="shared" si="50"/>
        <v>0</v>
      </c>
      <c r="S55" s="2"/>
      <c r="T55" s="7">
        <v>540.89</v>
      </c>
      <c r="U55" s="2"/>
      <c r="V55" s="6">
        <f t="shared" si="51"/>
        <v>7.1738186455887693E-3</v>
      </c>
      <c r="W55" s="2"/>
      <c r="X55" s="7">
        <f t="shared" si="52"/>
        <v>-540.89</v>
      </c>
      <c r="Y55" s="2"/>
      <c r="Z55" s="6">
        <f t="shared" si="53"/>
        <v>-1</v>
      </c>
    </row>
    <row r="56" spans="1:26" s="24" customFormat="1" hidden="1" outlineLevel="2" x14ac:dyDescent="0.25">
      <c r="A56" s="28"/>
      <c r="B56" s="11" t="str">
        <f>CONCATENATE("          ", "6241", " - ", "OFFICE EXPENSE")</f>
        <v xml:space="preserve">          6241 - OFFICE EXPENSE</v>
      </c>
      <c r="C56" s="11"/>
      <c r="D56" s="7"/>
      <c r="E56" s="2"/>
      <c r="F56" s="6">
        <f t="shared" si="46"/>
        <v>0</v>
      </c>
      <c r="G56" s="2"/>
      <c r="H56" s="7">
        <v>76.599999999999994</v>
      </c>
      <c r="I56" s="2"/>
      <c r="J56" s="6">
        <f t="shared" si="47"/>
        <v>1.5507397595503098E-3</v>
      </c>
      <c r="K56" s="2"/>
      <c r="L56" s="7">
        <f t="shared" si="48"/>
        <v>-76.599999999999994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182.38</v>
      </c>
      <c r="U56" s="2"/>
      <c r="V56" s="6">
        <f t="shared" si="51"/>
        <v>2.4189041109698457E-3</v>
      </c>
      <c r="W56" s="2"/>
      <c r="X56" s="7">
        <f t="shared" si="52"/>
        <v>-182.38</v>
      </c>
      <c r="Y56" s="2"/>
      <c r="Z56" s="6">
        <f t="shared" si="53"/>
        <v>-1</v>
      </c>
    </row>
    <row r="57" spans="1:26" s="24" customFormat="1" hidden="1" outlineLevel="2" x14ac:dyDescent="0.25">
      <c r="A57" s="28"/>
      <c r="B57" s="11" t="str">
        <f>CONCATENATE("          ", "6243", " - ", "PAPER SUPPLIES")</f>
        <v xml:space="preserve">          6243 - PAPER SUPPLIES</v>
      </c>
      <c r="C57" s="11"/>
      <c r="D57" s="7"/>
      <c r="E57" s="2"/>
      <c r="F57" s="6">
        <f t="shared" si="46"/>
        <v>0</v>
      </c>
      <c r="G57" s="2"/>
      <c r="H57" s="7">
        <v>177.26</v>
      </c>
      <c r="I57" s="2"/>
      <c r="J57" s="6">
        <f t="shared" si="47"/>
        <v>3.588565662896709E-3</v>
      </c>
      <c r="K57" s="2"/>
      <c r="L57" s="7">
        <f t="shared" si="48"/>
        <v>-177.26</v>
      </c>
      <c r="M57" s="2"/>
      <c r="N57" s="6">
        <f t="shared" si="49"/>
        <v>-1</v>
      </c>
      <c r="O57" s="11"/>
      <c r="P57" s="7"/>
      <c r="Q57" s="2"/>
      <c r="R57" s="6">
        <f t="shared" si="50"/>
        <v>0</v>
      </c>
      <c r="S57" s="2"/>
      <c r="T57" s="7">
        <v>371.52</v>
      </c>
      <c r="U57" s="2"/>
      <c r="V57" s="6">
        <f t="shared" si="51"/>
        <v>4.927466034145833E-3</v>
      </c>
      <c r="W57" s="2"/>
      <c r="X57" s="7">
        <f t="shared" si="52"/>
        <v>-371.52</v>
      </c>
      <c r="Y57" s="2"/>
      <c r="Z57" s="6">
        <f t="shared" si="53"/>
        <v>-1</v>
      </c>
    </row>
    <row r="58" spans="1:26" s="24" customFormat="1" hidden="1" outlineLevel="2" x14ac:dyDescent="0.25">
      <c r="A58" s="28"/>
      <c r="B58" s="11" t="str">
        <f>CONCATENATE("          ", "6248", " - ", "UNIFORMS")</f>
        <v xml:space="preserve">          6248 - UNIFORMS</v>
      </c>
      <c r="C58" s="11"/>
      <c r="D58" s="7"/>
      <c r="E58" s="2"/>
      <c r="F58" s="6">
        <f t="shared" si="46"/>
        <v>0</v>
      </c>
      <c r="G58" s="2"/>
      <c r="H58" s="7"/>
      <c r="I58" s="2"/>
      <c r="J58" s="6">
        <f t="shared" si="47"/>
        <v>0</v>
      </c>
      <c r="K58" s="2"/>
      <c r="L58" s="7">
        <f t="shared" si="48"/>
        <v>0</v>
      </c>
      <c r="M58" s="2"/>
      <c r="N58" s="6">
        <f t="shared" si="49"/>
        <v>0</v>
      </c>
      <c r="O58" s="11"/>
      <c r="P58" s="7"/>
      <c r="Q58" s="2"/>
      <c r="R58" s="6">
        <f t="shared" si="50"/>
        <v>0</v>
      </c>
      <c r="S58" s="2"/>
      <c r="T58" s="7">
        <v>695.24</v>
      </c>
      <c r="U58" s="2"/>
      <c r="V58" s="6">
        <f t="shared" si="51"/>
        <v>9.2209611476624376E-3</v>
      </c>
      <c r="W58" s="2"/>
      <c r="X58" s="7">
        <f t="shared" si="52"/>
        <v>-695.24</v>
      </c>
      <c r="Y58" s="2"/>
      <c r="Z58" s="6">
        <f t="shared" si="53"/>
        <v>-1</v>
      </c>
    </row>
    <row r="59" spans="1:26" s="27" customFormat="1" outlineLevel="1" collapsed="1" x14ac:dyDescent="0.25">
      <c r="A59" s="29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SUM(OSRRefD22_10x_0)</f>
        <v>0</v>
      </c>
      <c r="E59" s="1"/>
      <c r="F59" s="5">
        <f t="shared" ref="F59:F60" si="54">IF(D$12=0,0,D59/D$12)</f>
        <v>0</v>
      </c>
      <c r="G59" s="1"/>
      <c r="H59" s="1">
        <f>SUM(OSRRefH22_10x_0)</f>
        <v>145</v>
      </c>
      <c r="I59" s="1"/>
      <c r="J59" s="5">
        <f t="shared" ref="J59:J60" si="55">IF(H$12=0,0,H59/H$12)</f>
        <v>2.9354734351800904E-3</v>
      </c>
      <c r="K59" s="1"/>
      <c r="L59" s="1">
        <f t="shared" ref="L59:L60" si="56">+D59-H59</f>
        <v>-145</v>
      </c>
      <c r="M59" s="1"/>
      <c r="N59" s="5">
        <f t="shared" ref="N59:N60" si="57">IF(H59=0,0,L59/H59)</f>
        <v>-1</v>
      </c>
      <c r="O59" s="14"/>
      <c r="P59" s="1">
        <f>SUM(OSRRefP22_10x_0)</f>
        <v>42</v>
      </c>
      <c r="Q59" s="1"/>
      <c r="R59" s="5">
        <f t="shared" ref="R59:R60" si="58">IF(P$12=0,0,P59/P$12)</f>
        <v>0</v>
      </c>
      <c r="S59" s="1"/>
      <c r="T59" s="1">
        <f>SUM(OSRRefT22_10x_0)</f>
        <v>213</v>
      </c>
      <c r="U59" s="1"/>
      <c r="V59" s="5">
        <f t="shared" ref="V59:V60" si="59">IF(T$12=0,0,T59/T$12)</f>
        <v>2.8250168638917486E-3</v>
      </c>
      <c r="W59" s="1"/>
      <c r="X59" s="1">
        <f t="shared" ref="X59:X60" si="60">+P59-T59</f>
        <v>-171</v>
      </c>
      <c r="Y59" s="1"/>
      <c r="Z59" s="5">
        <f t="shared" ref="Z59:Z60" si="61">IF(T59=0,0,X59/T59)</f>
        <v>-0.80281690140845074</v>
      </c>
    </row>
    <row r="60" spans="1:26" s="24" customFormat="1" hidden="1" outlineLevel="2" x14ac:dyDescent="0.25">
      <c r="A60" s="28"/>
      <c r="B60" s="11" t="str">
        <f>CONCATENATE("          ", "6309", " - ", "TELEPHONE")</f>
        <v xml:space="preserve">          6309 - TELEPHONE</v>
      </c>
      <c r="C60" s="11"/>
      <c r="D60" s="7"/>
      <c r="E60" s="2"/>
      <c r="F60" s="6">
        <f t="shared" si="54"/>
        <v>0</v>
      </c>
      <c r="G60" s="2"/>
      <c r="H60" s="7">
        <v>145</v>
      </c>
      <c r="I60" s="2"/>
      <c r="J60" s="6">
        <f t="shared" si="55"/>
        <v>2.9354734351800904E-3</v>
      </c>
      <c r="K60" s="2"/>
      <c r="L60" s="7">
        <f t="shared" si="56"/>
        <v>-145</v>
      </c>
      <c r="M60" s="2"/>
      <c r="N60" s="6">
        <f t="shared" si="57"/>
        <v>-1</v>
      </c>
      <c r="O60" s="11"/>
      <c r="P60" s="7">
        <v>42</v>
      </c>
      <c r="Q60" s="2"/>
      <c r="R60" s="6">
        <f t="shared" si="58"/>
        <v>0</v>
      </c>
      <c r="S60" s="2"/>
      <c r="T60" s="7">
        <v>213</v>
      </c>
      <c r="U60" s="2"/>
      <c r="V60" s="6">
        <f t="shared" si="59"/>
        <v>2.8250168638917486E-3</v>
      </c>
      <c r="W60" s="2"/>
      <c r="X60" s="7">
        <f t="shared" si="60"/>
        <v>-171</v>
      </c>
      <c r="Y60" s="2"/>
      <c r="Z60" s="6">
        <f t="shared" si="61"/>
        <v>-0.80281690140845074</v>
      </c>
    </row>
    <row r="61" spans="1:26" s="60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collapsed="1" x14ac:dyDescent="0.25">
      <c r="A62" s="10"/>
      <c r="B62" s="26" t="s">
        <v>0</v>
      </c>
      <c r="C62" s="10"/>
      <c r="D62" s="4">
        <f>SUM(OSRRefD25x_0)</f>
        <v>0</v>
      </c>
      <c r="E62" s="4"/>
      <c r="F62" s="12">
        <f t="shared" ref="F62:F63" si="62">IF(D$12=0,0,D62/D$12)</f>
        <v>0</v>
      </c>
      <c r="G62" s="4"/>
      <c r="H62" s="4">
        <f>SUM(OSRRefH25x_0)</f>
        <v>104</v>
      </c>
      <c r="I62" s="4"/>
      <c r="J62" s="12">
        <f t="shared" ref="J62:J63" si="63">IF(H$12=0,0,H62/H$12)</f>
        <v>2.1054430155774441E-3</v>
      </c>
      <c r="K62" s="4"/>
      <c r="L62" s="4">
        <f t="shared" ref="L62:L63" si="64">+D62-H62</f>
        <v>-104</v>
      </c>
      <c r="M62" s="4"/>
      <c r="N62" s="12">
        <f t="shared" ref="N62:N63" si="65">IF(H62=0,0,L62/H62)</f>
        <v>-1</v>
      </c>
      <c r="O62" s="10"/>
      <c r="P62" s="4">
        <f>SUM(OSRRefP25x_0)</f>
        <v>0</v>
      </c>
      <c r="Q62" s="4"/>
      <c r="R62" s="12">
        <f t="shared" ref="R62:R63" si="66">IF(P$12=0,0,P62/P$12)</f>
        <v>0</v>
      </c>
      <c r="S62" s="4"/>
      <c r="T62" s="4">
        <f>SUM(OSRRefT25x_0)</f>
        <v>136</v>
      </c>
      <c r="U62" s="4"/>
      <c r="V62" s="12">
        <f t="shared" ref="V62:V63" si="67">IF(T$12=0,0,T62/T$12)</f>
        <v>1.8037666360998959E-3</v>
      </c>
      <c r="W62" s="4"/>
      <c r="X62" s="4">
        <f t="shared" ref="X62:X63" si="68">+P62-T62</f>
        <v>-136</v>
      </c>
      <c r="Y62" s="4"/>
      <c r="Z62" s="12">
        <f t="shared" ref="Z62:Z63" si="69">IF(T62=0,0,X62/T62)</f>
        <v>-1</v>
      </c>
    </row>
    <row r="63" spans="1:26" s="24" customFormat="1" hidden="1" outlineLevel="1" x14ac:dyDescent="0.25">
      <c r="A63" s="44"/>
      <c r="B63" s="11" t="str">
        <f>CONCATENATE("          ", "9150", " - ", "MISC. INCOME")</f>
        <v xml:space="preserve">          9150 - MISC. INCOME</v>
      </c>
      <c r="C63" s="11"/>
      <c r="D63" s="2">
        <f>0</f>
        <v>0</v>
      </c>
      <c r="E63" s="2"/>
      <c r="F63" s="19">
        <f t="shared" si="62"/>
        <v>0</v>
      </c>
      <c r="G63" s="2"/>
      <c r="H63" s="2">
        <f>--104</f>
        <v>104</v>
      </c>
      <c r="I63" s="2"/>
      <c r="J63" s="19">
        <f t="shared" si="63"/>
        <v>2.1054430155774441E-3</v>
      </c>
      <c r="K63" s="2"/>
      <c r="L63" s="2">
        <f t="shared" si="64"/>
        <v>-104</v>
      </c>
      <c r="M63" s="2"/>
      <c r="N63" s="19">
        <f t="shared" si="65"/>
        <v>-1</v>
      </c>
      <c r="O63" s="11"/>
      <c r="P63" s="2">
        <f>0</f>
        <v>0</v>
      </c>
      <c r="Q63" s="2"/>
      <c r="R63" s="19">
        <f t="shared" si="66"/>
        <v>0</v>
      </c>
      <c r="S63" s="2"/>
      <c r="T63" s="2">
        <f>--136</f>
        <v>136</v>
      </c>
      <c r="U63" s="2"/>
      <c r="V63" s="19">
        <f t="shared" si="67"/>
        <v>1.8037666360998959E-3</v>
      </c>
      <c r="W63" s="2"/>
      <c r="X63" s="2">
        <f t="shared" si="68"/>
        <v>-136</v>
      </c>
      <c r="Y63" s="2"/>
      <c r="Z63" s="19">
        <f t="shared" si="69"/>
        <v>-1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10"/>
      <c r="B65" s="25" t="s">
        <v>3</v>
      </c>
      <c r="C65" s="25"/>
      <c r="D65" s="22">
        <f>+D20-D22+D62</f>
        <v>-223.78</v>
      </c>
      <c r="E65" s="13"/>
      <c r="F65" s="21">
        <f>IF(D$12=0,0,D65/D$12)</f>
        <v>0</v>
      </c>
      <c r="G65" s="13"/>
      <c r="H65" s="22">
        <f>+H20-H22+H62</f>
        <v>12470.690000000002</v>
      </c>
      <c r="I65" s="13"/>
      <c r="J65" s="21">
        <f>IF(H$12=0,0,H65/H$12)</f>
        <v>0.25246468423011043</v>
      </c>
      <c r="K65" s="15"/>
      <c r="L65" s="22">
        <f>+D65-H65</f>
        <v>-12694.470000000003</v>
      </c>
      <c r="M65" s="15"/>
      <c r="N65" s="21">
        <f>IF(H65=0,0,L65/H65)</f>
        <v>-1.017944476207812</v>
      </c>
      <c r="O65" s="26"/>
      <c r="P65" s="22">
        <f>+P20-P22+P62</f>
        <v>-4499.97</v>
      </c>
      <c r="Q65" s="13"/>
      <c r="R65" s="21">
        <f>IF(P$12=0,0,P65/P$12)</f>
        <v>0</v>
      </c>
      <c r="S65" s="13"/>
      <c r="T65" s="22">
        <f>+T20-T22+T62</f>
        <v>-6325.3299999999872</v>
      </c>
      <c r="U65" s="13"/>
      <c r="V65" s="21">
        <f>IF(T$12=0,0,T65/T$12)</f>
        <v>-8.3892788355306849E-2</v>
      </c>
      <c r="W65" s="15"/>
      <c r="X65" s="22">
        <f>+P65-T65</f>
        <v>1825.3599999999869</v>
      </c>
      <c r="Y65" s="15"/>
      <c r="Z65" s="21">
        <f>IF(T65=0,0,X65/T65)</f>
        <v>-0.2885794100861126</v>
      </c>
    </row>
    <row r="66" spans="1:26" x14ac:dyDescent="0.25">
      <c r="A66" s="9"/>
      <c r="B66" s="10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51"/>
      <c r="B67" s="10" t="s">
        <v>13</v>
      </c>
      <c r="C67" s="10"/>
      <c r="D67" s="4"/>
      <c r="E67" s="4"/>
      <c r="F67" s="12">
        <f>IF(D$12=0,0,D67/D$12)</f>
        <v>0</v>
      </c>
      <c r="G67" s="4"/>
      <c r="H67" s="4">
        <v>4856.74</v>
      </c>
      <c r="I67" s="4"/>
      <c r="J67" s="12">
        <f>IF(H$12=0,0,H67/H$12)</f>
        <v>9.8322974148803796E-2</v>
      </c>
      <c r="K67" s="4"/>
      <c r="L67" s="4">
        <f>+D67-H67</f>
        <v>-4856.74</v>
      </c>
      <c r="M67" s="4"/>
      <c r="N67" s="12">
        <f>IF(H67=0,0,L67/H67)</f>
        <v>-1</v>
      </c>
      <c r="O67" s="10"/>
      <c r="P67" s="4"/>
      <c r="Q67" s="4"/>
      <c r="R67" s="12">
        <f>IF(P$12=0,0,P67/P$12)</f>
        <v>0</v>
      </c>
      <c r="S67" s="4"/>
      <c r="T67" s="4">
        <v>8098.72</v>
      </c>
      <c r="U67" s="4"/>
      <c r="V67" s="12">
        <f>IF(T$12=0,0,T67/T$12)</f>
        <v>0.10741324214055109</v>
      </c>
      <c r="W67" s="4"/>
      <c r="X67" s="4">
        <f>+P67-T67</f>
        <v>-8098.72</v>
      </c>
      <c r="Y67" s="4"/>
      <c r="Z67" s="12">
        <f>IF(T67=0,0,X67/T67)</f>
        <v>-1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4</v>
      </c>
      <c r="C69" s="25"/>
      <c r="D69" s="33">
        <f>+D65-D67</f>
        <v>-223.78</v>
      </c>
      <c r="E69" s="13"/>
      <c r="F69" s="32">
        <f>IF(D$12=0,0,D69/D$12)</f>
        <v>0</v>
      </c>
      <c r="G69" s="13"/>
      <c r="H69" s="33">
        <f>+H65-H67</f>
        <v>7613.9500000000025</v>
      </c>
      <c r="I69" s="13"/>
      <c r="J69" s="32">
        <f>IF(H$12=0,0,H69/H$12)</f>
        <v>0.15414171008130659</v>
      </c>
      <c r="K69" s="15"/>
      <c r="L69" s="33">
        <f>D69-H69</f>
        <v>-7837.7300000000023</v>
      </c>
      <c r="M69" s="15"/>
      <c r="N69" s="32">
        <f>IF(H69=0,0,L69/H69)</f>
        <v>-1.0293907892749492</v>
      </c>
      <c r="O69" s="26"/>
      <c r="P69" s="33">
        <f>+P65-P67</f>
        <v>-4499.97</v>
      </c>
      <c r="Q69" s="13"/>
      <c r="R69" s="32">
        <f>IF(P$12=0,0,P69/P$12)</f>
        <v>0</v>
      </c>
      <c r="S69" s="13"/>
      <c r="T69" s="33">
        <f>+T65-T67</f>
        <v>-14424.049999999988</v>
      </c>
      <c r="U69" s="13"/>
      <c r="V69" s="32">
        <f>IF(T$12=0,0,T69/T$12)</f>
        <v>-0.19130603049585795</v>
      </c>
      <c r="W69" s="15"/>
      <c r="X69" s="33">
        <f>P69-T69</f>
        <v>9924.0799999999872</v>
      </c>
      <c r="Y69" s="15"/>
      <c r="Z69" s="32">
        <f>IF(T69=0,0,X69/T69)</f>
        <v>-0.68802312803962795</v>
      </c>
    </row>
    <row r="70" spans="1:26" ht="15.75" thickTop="1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x14ac:dyDescent="0.25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5" t="s">
        <v>5</v>
      </c>
      <c r="C72" s="25"/>
      <c r="D72" s="34">
        <f>SUM(D69:D71)</f>
        <v>-223.78</v>
      </c>
      <c r="E72" s="13"/>
      <c r="F72" s="31">
        <f>IF(D$12=0,0,D72/D$12)</f>
        <v>0</v>
      </c>
      <c r="G72" s="13"/>
      <c r="H72" s="34">
        <f>SUM(H69:H71)</f>
        <v>7613.9500000000025</v>
      </c>
      <c r="I72" s="13"/>
      <c r="J72" s="31">
        <f>IF(H$12=0,0,H72/H$12)</f>
        <v>0.15414171008130659</v>
      </c>
      <c r="K72" s="15"/>
      <c r="L72" s="34">
        <f>+D72-H72</f>
        <v>-7837.7300000000023</v>
      </c>
      <c r="M72" s="15"/>
      <c r="N72" s="31">
        <f>IF(H72=0,0,L72/H72)</f>
        <v>-1.0293907892749492</v>
      </c>
      <c r="O72" s="26"/>
      <c r="P72" s="34">
        <f>SUM(P69:P71)</f>
        <v>-4499.97</v>
      </c>
      <c r="Q72" s="13"/>
      <c r="R72" s="31">
        <f>IF(P$12=0,0,P72/P$12)</f>
        <v>0</v>
      </c>
      <c r="S72" s="13"/>
      <c r="T72" s="34">
        <f>SUM(T69:T71)</f>
        <v>-14424.049999999988</v>
      </c>
      <c r="U72" s="13"/>
      <c r="V72" s="31">
        <f>IF(T$12=0,0,T72/T$12)</f>
        <v>-0.19130603049585795</v>
      </c>
      <c r="W72" s="15"/>
      <c r="X72" s="34">
        <f>+P72-T72</f>
        <v>9924.0799999999872</v>
      </c>
      <c r="Y72" s="15"/>
      <c r="Z72" s="31">
        <f>IF(T72=0,0,X72/T72)</f>
        <v>-0.68802312803962795</v>
      </c>
    </row>
    <row r="73" spans="1:26" ht="15.75" thickTop="1" x14ac:dyDescent="0.25">
      <c r="A73" s="9"/>
      <c r="C73" s="9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A74" s="9"/>
      <c r="B74" s="54">
        <v>44123.565619479166</v>
      </c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  <row r="75" spans="1:26" x14ac:dyDescent="0.25">
      <c r="A75" s="9"/>
      <c r="B75" s="59" t="s">
        <v>313</v>
      </c>
      <c r="D75" s="18"/>
      <c r="E75" s="18"/>
      <c r="G75" s="18"/>
      <c r="H75" s="18"/>
      <c r="I75" s="18"/>
      <c r="J75" s="42"/>
      <c r="K75" s="18"/>
      <c r="L75" s="18"/>
      <c r="M75" s="18"/>
      <c r="P75" s="18"/>
      <c r="Q75" s="18"/>
      <c r="R75" s="42"/>
      <c r="S75" s="18"/>
      <c r="T75" s="18"/>
      <c r="U75" s="18"/>
      <c r="V75" s="42"/>
      <c r="W75" s="18"/>
      <c r="X75" s="18"/>
    </row>
    <row r="76" spans="1:26" x14ac:dyDescent="0.25">
      <c r="A76" s="9"/>
      <c r="B76" s="58"/>
      <c r="D76" s="18"/>
      <c r="E76" s="18"/>
      <c r="G76" s="18"/>
      <c r="H76" s="18"/>
      <c r="I76" s="18"/>
      <c r="J76" s="42"/>
      <c r="K76" s="18"/>
      <c r="L76" s="18"/>
      <c r="M76" s="18"/>
      <c r="P76" s="18"/>
      <c r="Q76" s="18"/>
      <c r="R76" s="42"/>
      <c r="S76" s="18"/>
      <c r="T76" s="18"/>
      <c r="U76" s="18"/>
      <c r="V76" s="42"/>
      <c r="W76" s="18"/>
      <c r="X76" s="18"/>
    </row>
    <row r="77" spans="1:26" x14ac:dyDescent="0.25">
      <c r="D77" s="18"/>
      <c r="E77" s="18"/>
      <c r="G77" s="18"/>
      <c r="H77" s="18"/>
      <c r="I77" s="18"/>
      <c r="J77" s="42"/>
      <c r="K77" s="18"/>
      <c r="L77" s="18"/>
      <c r="M77" s="18"/>
      <c r="P77" s="18"/>
      <c r="Q77" s="18"/>
      <c r="R77" s="42"/>
      <c r="S77" s="18"/>
      <c r="T77" s="18"/>
      <c r="U77" s="18"/>
      <c r="V77" s="42"/>
      <c r="W77" s="18"/>
      <c r="X77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96329.48</v>
      </c>
      <c r="I12" s="4"/>
      <c r="J12" s="12"/>
      <c r="K12" s="4"/>
      <c r="L12" s="4">
        <f t="shared" ref="L12:L14" si="0">+D12-H12</f>
        <v>-96329.48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154537.53</v>
      </c>
      <c r="U12" s="4"/>
      <c r="V12" s="12"/>
      <c r="W12" s="4"/>
      <c r="X12" s="4">
        <f t="shared" ref="X12:X14" si="2">+P12-T12</f>
        <v>-153562.62</v>
      </c>
      <c r="Y12" s="4"/>
      <c r="Z12" s="12">
        <f t="shared" ref="Z12:Z14" si="3">IF(T12=0,0,X12/T12)</f>
        <v>-0.99369143534259929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--24452.76</f>
        <v>24452.76</v>
      </c>
      <c r="I13" s="2"/>
      <c r="J13" s="19"/>
      <c r="K13" s="2"/>
      <c r="L13" s="2">
        <f t="shared" si="0"/>
        <v>-24452.76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--42290.9</f>
        <v>42290.9</v>
      </c>
      <c r="U13" s="2"/>
      <c r="V13" s="19"/>
      <c r="W13" s="2"/>
      <c r="X13" s="2">
        <f t="shared" si="2"/>
        <v>-41315.99</v>
      </c>
      <c r="Y13" s="2"/>
      <c r="Z13" s="19">
        <f t="shared" si="3"/>
        <v>-0.97694752298957921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--71876.72</f>
        <v>71876.72</v>
      </c>
      <c r="I14" s="2"/>
      <c r="J14" s="19"/>
      <c r="K14" s="2"/>
      <c r="L14" s="2">
        <f t="shared" si="0"/>
        <v>-71876.72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--112246.63</f>
        <v>112246.63</v>
      </c>
      <c r="U14" s="2"/>
      <c r="V14" s="19"/>
      <c r="W14" s="2"/>
      <c r="X14" s="2">
        <f t="shared" si="2"/>
        <v>-112246.63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38581.31</v>
      </c>
      <c r="I16" s="4"/>
      <c r="J16" s="12">
        <f t="shared" ref="J16:J18" si="6">IF(H$12=0,0,H16/H$12)</f>
        <v>0.40051404824359066</v>
      </c>
      <c r="K16" s="4"/>
      <c r="L16" s="4">
        <f t="shared" ref="L16:L18" si="7">+D16-H16</f>
        <v>-38581.31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61929.9</v>
      </c>
      <c r="U16" s="4"/>
      <c r="V16" s="12">
        <f t="shared" ref="V16:V18" si="10">IF(T$12=0,0,T16/T$12)</f>
        <v>0.40074343106169746</v>
      </c>
      <c r="W16" s="4"/>
      <c r="X16" s="4">
        <f t="shared" ref="X16:X18" si="11">+P16-T16</f>
        <v>-61929.9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32296.31</v>
      </c>
      <c r="I17" s="2"/>
      <c r="J17" s="19">
        <f t="shared" si="6"/>
        <v>0.33526922391774566</v>
      </c>
      <c r="K17" s="2"/>
      <c r="L17" s="2">
        <f t="shared" si="7"/>
        <v>-32296.31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51435.9</v>
      </c>
      <c r="U17" s="2"/>
      <c r="V17" s="19">
        <f t="shared" si="10"/>
        <v>0.33283759614897429</v>
      </c>
      <c r="W17" s="2"/>
      <c r="X17" s="2">
        <f t="shared" si="11"/>
        <v>-51435.9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6285</v>
      </c>
      <c r="I18" s="2"/>
      <c r="J18" s="19">
        <f t="shared" si="6"/>
        <v>6.5244824325845011E-2</v>
      </c>
      <c r="K18" s="2"/>
      <c r="L18" s="2">
        <f t="shared" si="7"/>
        <v>-6285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10494</v>
      </c>
      <c r="U18" s="2"/>
      <c r="V18" s="19">
        <f t="shared" si="10"/>
        <v>6.7905834912723145E-2</v>
      </c>
      <c r="W18" s="2"/>
      <c r="X18" s="2">
        <f t="shared" si="11"/>
        <v>-10494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57748.17</v>
      </c>
      <c r="I20" s="13"/>
      <c r="J20" s="21">
        <f>IF(H$12=0,0,H20/H$12)</f>
        <v>0.5994859517564094</v>
      </c>
      <c r="K20" s="15"/>
      <c r="L20" s="22">
        <f>+D20-H20</f>
        <v>-57748.17</v>
      </c>
      <c r="M20" s="15"/>
      <c r="N20" s="21">
        <f>IF(H20=0,0,L20/H20)</f>
        <v>-1</v>
      </c>
      <c r="O20" s="26"/>
      <c r="P20" s="22">
        <f>P12-P16</f>
        <v>974.91</v>
      </c>
      <c r="Q20" s="13"/>
      <c r="R20" s="21">
        <f>IF(P$12=0,0,P20/P$12)</f>
        <v>1</v>
      </c>
      <c r="S20" s="13"/>
      <c r="T20" s="22">
        <f>T12-T16</f>
        <v>92607.63</v>
      </c>
      <c r="U20" s="13"/>
      <c r="V20" s="21">
        <f>IF(T$12=0,0,T20/T$12)</f>
        <v>0.59925656893830259</v>
      </c>
      <c r="W20" s="15"/>
      <c r="X20" s="22">
        <f>+P20-T20</f>
        <v>-91632.72</v>
      </c>
      <c r="Y20" s="15"/>
      <c r="Z20" s="21">
        <f>IF(T20=0,0,X20/T20)</f>
        <v>-0.98947268167860458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2251.14</v>
      </c>
      <c r="E22" s="20"/>
      <c r="F22" s="36">
        <f t="shared" ref="F22:F30" si="13">IF(D$12=0,0,D22/D$12)</f>
        <v>0</v>
      </c>
      <c r="G22" s="20"/>
      <c r="H22" s="20">
        <f>SUM(OSRRefH22x_0)</f>
        <v>42458.340000000004</v>
      </c>
      <c r="I22" s="20"/>
      <c r="J22" s="36">
        <f t="shared" ref="J22:J30" si="14">IF(H$12=0,0,H22/H$12)</f>
        <v>0.44076164430660275</v>
      </c>
      <c r="K22" s="4"/>
      <c r="L22" s="20">
        <f t="shared" ref="L22:L30" si="15">+D22-H22</f>
        <v>-40207.200000000004</v>
      </c>
      <c r="M22" s="4"/>
      <c r="N22" s="36">
        <f t="shared" ref="N22:N30" si="16">IF(H22=0,0,L22/H22)</f>
        <v>-0.94698002795210556</v>
      </c>
      <c r="O22" s="10"/>
      <c r="P22" s="20">
        <f>SUM(OSRRefP22x_0)</f>
        <v>6797.54</v>
      </c>
      <c r="Q22" s="20"/>
      <c r="R22" s="36">
        <f t="shared" ref="R22:R30" si="17">IF(P$12=0,0,P22/P$12)</f>
        <v>6.9724795109292144</v>
      </c>
      <c r="S22" s="20"/>
      <c r="T22" s="20">
        <f>SUM(OSRRefT22x_0)</f>
        <v>91671.220000000016</v>
      </c>
      <c r="U22" s="20"/>
      <c r="V22" s="36">
        <f t="shared" ref="V22:V30" si="18">IF(T$12=0,0,T22/T$12)</f>
        <v>0.59319713470248958</v>
      </c>
      <c r="W22" s="4"/>
      <c r="X22" s="20">
        <f t="shared" ref="X22:X30" si="19">+P22-T22</f>
        <v>-84873.680000000022</v>
      </c>
      <c r="Y22" s="4"/>
      <c r="Z22" s="36">
        <f t="shared" ref="Z22:Z30" si="20">IF(T22=0,0,X22/T22)</f>
        <v>-0.92584870147904663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2784.52</v>
      </c>
      <c r="I23" s="1"/>
      <c r="J23" s="5">
        <f t="shared" si="14"/>
        <v>2.8906208151440245E-2</v>
      </c>
      <c r="K23" s="1"/>
      <c r="L23" s="1">
        <f t="shared" si="15"/>
        <v>-2784.52</v>
      </c>
      <c r="M23" s="1"/>
      <c r="N23" s="5">
        <f t="shared" si="16"/>
        <v>-1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7944.37</v>
      </c>
      <c r="U23" s="1"/>
      <c r="V23" s="5">
        <f t="shared" si="18"/>
        <v>5.1407383047988406E-2</v>
      </c>
      <c r="W23" s="1"/>
      <c r="X23" s="1">
        <f t="shared" si="19"/>
        <v>-7241.86</v>
      </c>
      <c r="Y23" s="1"/>
      <c r="Z23" s="5">
        <f t="shared" si="20"/>
        <v>-0.91157133919996169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526.13</v>
      </c>
      <c r="I24" s="2"/>
      <c r="J24" s="6">
        <f t="shared" si="14"/>
        <v>5.4617755644481838E-3</v>
      </c>
      <c r="K24" s="2"/>
      <c r="L24" s="7">
        <f t="shared" si="15"/>
        <v>-526.13</v>
      </c>
      <c r="M24" s="2"/>
      <c r="N24" s="6">
        <f t="shared" si="16"/>
        <v>-1</v>
      </c>
      <c r="O24" s="11"/>
      <c r="P24" s="7"/>
      <c r="Q24" s="2"/>
      <c r="R24" s="6">
        <f t="shared" si="17"/>
        <v>0</v>
      </c>
      <c r="S24" s="2"/>
      <c r="T24" s="7">
        <v>2245.69</v>
      </c>
      <c r="U24" s="2"/>
      <c r="V24" s="6">
        <f t="shared" si="18"/>
        <v>1.453168042740168E-2</v>
      </c>
      <c r="W24" s="2"/>
      <c r="X24" s="7">
        <f t="shared" si="19"/>
        <v>-2245.69</v>
      </c>
      <c r="Y24" s="2"/>
      <c r="Z24" s="6">
        <f t="shared" si="20"/>
        <v>-1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946.73</v>
      </c>
      <c r="I25" s="2"/>
      <c r="J25" s="6">
        <f t="shared" si="14"/>
        <v>9.8280401804307464E-3</v>
      </c>
      <c r="K25" s="2"/>
      <c r="L25" s="7">
        <f t="shared" si="15"/>
        <v>-946.73</v>
      </c>
      <c r="M25" s="2"/>
      <c r="N25" s="6">
        <f t="shared" si="16"/>
        <v>-1</v>
      </c>
      <c r="O25" s="11"/>
      <c r="P25" s="7"/>
      <c r="Q25" s="2"/>
      <c r="R25" s="6">
        <f t="shared" si="17"/>
        <v>0</v>
      </c>
      <c r="S25" s="2"/>
      <c r="T25" s="7">
        <v>1885.66</v>
      </c>
      <c r="U25" s="2"/>
      <c r="V25" s="6">
        <f t="shared" si="18"/>
        <v>1.2201955084955739E-2</v>
      </c>
      <c r="W25" s="2"/>
      <c r="X25" s="7">
        <f t="shared" si="19"/>
        <v>-1885.66</v>
      </c>
      <c r="Y25" s="2"/>
      <c r="Z25" s="6">
        <f t="shared" si="20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650.39</v>
      </c>
      <c r="I26" s="2"/>
      <c r="J26" s="6">
        <f t="shared" si="14"/>
        <v>6.751723356131477E-3</v>
      </c>
      <c r="K26" s="2"/>
      <c r="L26" s="7">
        <f t="shared" si="15"/>
        <v>-650.39</v>
      </c>
      <c r="M26" s="2"/>
      <c r="N26" s="6">
        <f t="shared" si="16"/>
        <v>-1</v>
      </c>
      <c r="O26" s="11"/>
      <c r="P26" s="7">
        <v>702.51</v>
      </c>
      <c r="Q26" s="2"/>
      <c r="R26" s="6">
        <f t="shared" si="17"/>
        <v>0.72058959288549718</v>
      </c>
      <c r="S26" s="2"/>
      <c r="T26" s="7">
        <v>1951.17</v>
      </c>
      <c r="U26" s="2"/>
      <c r="V26" s="6">
        <f t="shared" si="18"/>
        <v>1.2625865056857062E-2</v>
      </c>
      <c r="W26" s="2"/>
      <c r="X26" s="7">
        <f t="shared" si="19"/>
        <v>-1248.6600000000001</v>
      </c>
      <c r="Y26" s="2"/>
      <c r="Z26" s="6">
        <f t="shared" si="20"/>
        <v>-0.63995448884515449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63.44</v>
      </c>
      <c r="I27" s="2"/>
      <c r="J27" s="6">
        <f t="shared" si="14"/>
        <v>6.5857305572499718E-4</v>
      </c>
      <c r="K27" s="2"/>
      <c r="L27" s="7">
        <f t="shared" si="15"/>
        <v>-63.44</v>
      </c>
      <c r="M27" s="2"/>
      <c r="N27" s="6">
        <f t="shared" si="16"/>
        <v>-1</v>
      </c>
      <c r="O27" s="11"/>
      <c r="P27" s="7"/>
      <c r="Q27" s="2"/>
      <c r="R27" s="6">
        <f t="shared" si="17"/>
        <v>0</v>
      </c>
      <c r="S27" s="2"/>
      <c r="T27" s="7">
        <v>126.36</v>
      </c>
      <c r="U27" s="2"/>
      <c r="V27" s="6">
        <f t="shared" si="18"/>
        <v>8.176654564104914E-4</v>
      </c>
      <c r="W27" s="2"/>
      <c r="X27" s="7">
        <f t="shared" si="19"/>
        <v>-126.36</v>
      </c>
      <c r="Y27" s="2"/>
      <c r="Z27" s="6">
        <f t="shared" si="20"/>
        <v>-1</v>
      </c>
    </row>
    <row r="28" spans="1:26" s="24" customFormat="1" hidden="1" outlineLevel="2" x14ac:dyDescent="0.25">
      <c r="A28" s="28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3"/>
        <v>0</v>
      </c>
      <c r="G28" s="2"/>
      <c r="H28" s="7">
        <v>192.5</v>
      </c>
      <c r="I28" s="2"/>
      <c r="J28" s="6">
        <f t="shared" si="14"/>
        <v>1.998349830186979E-3</v>
      </c>
      <c r="K28" s="2"/>
      <c r="L28" s="7">
        <f t="shared" si="15"/>
        <v>-192.5</v>
      </c>
      <c r="M28" s="2"/>
      <c r="N28" s="6">
        <f t="shared" si="16"/>
        <v>-1</v>
      </c>
      <c r="O28" s="11"/>
      <c r="P28" s="7"/>
      <c r="Q28" s="2"/>
      <c r="R28" s="6">
        <f t="shared" si="17"/>
        <v>0</v>
      </c>
      <c r="S28" s="2"/>
      <c r="T28" s="7">
        <v>577.5</v>
      </c>
      <c r="U28" s="2"/>
      <c r="V28" s="6">
        <f t="shared" si="18"/>
        <v>3.7369563238133807E-3</v>
      </c>
      <c r="W28" s="2"/>
      <c r="X28" s="7">
        <f t="shared" si="19"/>
        <v>-577.5</v>
      </c>
      <c r="Y28" s="2"/>
      <c r="Z28" s="6">
        <f t="shared" si="20"/>
        <v>-1</v>
      </c>
    </row>
    <row r="29" spans="1:26" s="24" customFormat="1" hidden="1" outlineLevel="2" x14ac:dyDescent="0.25">
      <c r="A29" s="28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3"/>
        <v>0</v>
      </c>
      <c r="G29" s="2"/>
      <c r="H29" s="7">
        <v>230.62</v>
      </c>
      <c r="I29" s="2"/>
      <c r="J29" s="6">
        <f t="shared" si="14"/>
        <v>2.3940750017543955E-3</v>
      </c>
      <c r="K29" s="2"/>
      <c r="L29" s="7">
        <f t="shared" si="15"/>
        <v>-230.62</v>
      </c>
      <c r="M29" s="2"/>
      <c r="N29" s="6">
        <f t="shared" si="16"/>
        <v>-1</v>
      </c>
      <c r="O29" s="11"/>
      <c r="P29" s="7"/>
      <c r="Q29" s="2"/>
      <c r="R29" s="6">
        <f t="shared" si="17"/>
        <v>0</v>
      </c>
      <c r="S29" s="2"/>
      <c r="T29" s="7">
        <v>691.86</v>
      </c>
      <c r="U29" s="2"/>
      <c r="V29" s="6">
        <f t="shared" si="18"/>
        <v>4.4769707397290482E-3</v>
      </c>
      <c r="W29" s="2"/>
      <c r="X29" s="7">
        <f t="shared" si="19"/>
        <v>-691.86</v>
      </c>
      <c r="Y29" s="2"/>
      <c r="Z29" s="6">
        <f t="shared" si="20"/>
        <v>-1</v>
      </c>
    </row>
    <row r="30" spans="1:26" s="24" customFormat="1" hidden="1" outlineLevel="2" x14ac:dyDescent="0.25">
      <c r="A30" s="28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3"/>
        <v>0</v>
      </c>
      <c r="G30" s="2"/>
      <c r="H30" s="7">
        <v>174.71</v>
      </c>
      <c r="I30" s="2"/>
      <c r="J30" s="6">
        <f t="shared" si="14"/>
        <v>1.8136711627634657E-3</v>
      </c>
      <c r="K30" s="2"/>
      <c r="L30" s="7">
        <f t="shared" si="15"/>
        <v>-174.71</v>
      </c>
      <c r="M30" s="2"/>
      <c r="N30" s="6">
        <f t="shared" si="16"/>
        <v>-1</v>
      </c>
      <c r="O30" s="11"/>
      <c r="P30" s="7"/>
      <c r="Q30" s="2"/>
      <c r="R30" s="6">
        <f t="shared" si="17"/>
        <v>0</v>
      </c>
      <c r="S30" s="2"/>
      <c r="T30" s="7">
        <v>466.13</v>
      </c>
      <c r="U30" s="2"/>
      <c r="V30" s="6">
        <f t="shared" si="18"/>
        <v>3.0162899588210062E-3</v>
      </c>
      <c r="W30" s="2"/>
      <c r="X30" s="7">
        <f t="shared" si="19"/>
        <v>-466.13</v>
      </c>
      <c r="Y30" s="2"/>
      <c r="Z30" s="6">
        <f t="shared" si="20"/>
        <v>-1</v>
      </c>
    </row>
    <row r="31" spans="1:26" s="27" customFormat="1" outlineLevel="1" collapsed="1" x14ac:dyDescent="0.25">
      <c r="A31" s="29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5" si="21">IF(D$12=0,0,D31/D$12)</f>
        <v>0</v>
      </c>
      <c r="G31" s="1"/>
      <c r="H31" s="1">
        <f>SUM(OSRRefH22_1x_0)</f>
        <v>25048.79</v>
      </c>
      <c r="I31" s="1"/>
      <c r="J31" s="5">
        <f t="shared" ref="J31:J35" si="22">IF(H$12=0,0,H31/H$12)</f>
        <v>0.26003244282020416</v>
      </c>
      <c r="K31" s="1"/>
      <c r="L31" s="1">
        <f t="shared" ref="L31:L35" si="23">+D31-H31</f>
        <v>-25048.79</v>
      </c>
      <c r="M31" s="1"/>
      <c r="N31" s="5">
        <f t="shared" ref="N31:N35" si="24">IF(H31=0,0,L31/H31)</f>
        <v>-1</v>
      </c>
      <c r="O31" s="14"/>
      <c r="P31" s="1">
        <f>SUM(OSRRefP22_1x_0)</f>
        <v>0</v>
      </c>
      <c r="Q31" s="1"/>
      <c r="R31" s="5">
        <f t="shared" ref="R31:R35" si="25">IF(P$12=0,0,P31/P$12)</f>
        <v>0</v>
      </c>
      <c r="S31" s="1"/>
      <c r="T31" s="1">
        <f>SUM(OSRRefT22_1x_0)</f>
        <v>53077.240000000005</v>
      </c>
      <c r="U31" s="1"/>
      <c r="V31" s="5">
        <f t="shared" ref="V31:V35" si="26">IF(T$12=0,0,T31/T$12)</f>
        <v>0.34345857604945546</v>
      </c>
      <c r="W31" s="1"/>
      <c r="X31" s="1">
        <f t="shared" ref="X31:X35" si="27">+P31-T31</f>
        <v>-53077.240000000005</v>
      </c>
      <c r="Y31" s="1"/>
      <c r="Z31" s="5">
        <f t="shared" ref="Z31:Z35" si="28">IF(T31=0,0,X31/T31)</f>
        <v>-1</v>
      </c>
    </row>
    <row r="32" spans="1:26" s="24" customFormat="1" hidden="1" outlineLevel="2" x14ac:dyDescent="0.25">
      <c r="A32" s="28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21"/>
        <v>0</v>
      </c>
      <c r="G32" s="2"/>
      <c r="H32" s="7">
        <v>6324.22</v>
      </c>
      <c r="I32" s="2"/>
      <c r="J32" s="6">
        <f t="shared" si="22"/>
        <v>6.5651968639299216E-2</v>
      </c>
      <c r="K32" s="2"/>
      <c r="L32" s="7">
        <f t="shared" si="23"/>
        <v>-6324.22</v>
      </c>
      <c r="M32" s="2"/>
      <c r="N32" s="6">
        <f t="shared" si="24"/>
        <v>-1</v>
      </c>
      <c r="O32" s="11"/>
      <c r="P32" s="7"/>
      <c r="Q32" s="2"/>
      <c r="R32" s="6">
        <f t="shared" si="25"/>
        <v>0</v>
      </c>
      <c r="S32" s="2"/>
      <c r="T32" s="7">
        <v>16535.150000000001</v>
      </c>
      <c r="U32" s="2"/>
      <c r="V32" s="6">
        <f t="shared" si="26"/>
        <v>0.10699763351983173</v>
      </c>
      <c r="W32" s="2"/>
      <c r="X32" s="7">
        <f t="shared" si="27"/>
        <v>-16535.150000000001</v>
      </c>
      <c r="Y32" s="2"/>
      <c r="Z32" s="6">
        <f t="shared" si="28"/>
        <v>-1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21"/>
        <v>0</v>
      </c>
      <c r="G33" s="2"/>
      <c r="H33" s="7">
        <v>527</v>
      </c>
      <c r="I33" s="2"/>
      <c r="J33" s="6">
        <f t="shared" si="22"/>
        <v>5.4708070675768211E-3</v>
      </c>
      <c r="K33" s="2"/>
      <c r="L33" s="7">
        <f t="shared" si="23"/>
        <v>-527</v>
      </c>
      <c r="M33" s="2"/>
      <c r="N33" s="6">
        <f t="shared" si="24"/>
        <v>-1</v>
      </c>
      <c r="O33" s="11"/>
      <c r="P33" s="7"/>
      <c r="Q33" s="2"/>
      <c r="R33" s="6">
        <f t="shared" si="25"/>
        <v>0</v>
      </c>
      <c r="S33" s="2"/>
      <c r="T33" s="7">
        <v>1997.5</v>
      </c>
      <c r="U33" s="2"/>
      <c r="V33" s="6">
        <f t="shared" si="26"/>
        <v>1.2925662782367493E-2</v>
      </c>
      <c r="W33" s="2"/>
      <c r="X33" s="7">
        <f t="shared" si="27"/>
        <v>-1997.5</v>
      </c>
      <c r="Y33" s="2"/>
      <c r="Z33" s="6">
        <f t="shared" si="28"/>
        <v>-1</v>
      </c>
    </row>
    <row r="34" spans="1:26" s="24" customFormat="1" hidden="1" outlineLevel="2" x14ac:dyDescent="0.25">
      <c r="A34" s="28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21"/>
        <v>0</v>
      </c>
      <c r="G34" s="2"/>
      <c r="H34" s="7"/>
      <c r="I34" s="2"/>
      <c r="J34" s="6">
        <f t="shared" si="22"/>
        <v>0</v>
      </c>
      <c r="K34" s="2"/>
      <c r="L34" s="7">
        <f t="shared" si="23"/>
        <v>0</v>
      </c>
      <c r="M34" s="2"/>
      <c r="N34" s="6">
        <f t="shared" si="24"/>
        <v>0</v>
      </c>
      <c r="O34" s="11"/>
      <c r="P34" s="7"/>
      <c r="Q34" s="2"/>
      <c r="R34" s="6">
        <f t="shared" si="25"/>
        <v>0</v>
      </c>
      <c r="S34" s="2"/>
      <c r="T34" s="7">
        <v>29.25</v>
      </c>
      <c r="U34" s="2"/>
      <c r="V34" s="6">
        <f t="shared" si="26"/>
        <v>1.8927441120613226E-4</v>
      </c>
      <c r="W34" s="2"/>
      <c r="X34" s="7">
        <f t="shared" si="27"/>
        <v>-29.25</v>
      </c>
      <c r="Y34" s="2"/>
      <c r="Z34" s="6">
        <f t="shared" si="28"/>
        <v>-1</v>
      </c>
    </row>
    <row r="35" spans="1:26" s="24" customFormat="1" hidden="1" outlineLevel="2" x14ac:dyDescent="0.25">
      <c r="A35" s="28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1"/>
        <v>0</v>
      </c>
      <c r="G35" s="2"/>
      <c r="H35" s="7">
        <v>18197.57</v>
      </c>
      <c r="I35" s="2"/>
      <c r="J35" s="6">
        <f t="shared" si="22"/>
        <v>0.18890966711332813</v>
      </c>
      <c r="K35" s="2"/>
      <c r="L35" s="7">
        <f t="shared" si="23"/>
        <v>-18197.57</v>
      </c>
      <c r="M35" s="2"/>
      <c r="N35" s="6">
        <f t="shared" si="24"/>
        <v>-1</v>
      </c>
      <c r="O35" s="11"/>
      <c r="P35" s="7"/>
      <c r="Q35" s="2"/>
      <c r="R35" s="6">
        <f t="shared" si="25"/>
        <v>0</v>
      </c>
      <c r="S35" s="2"/>
      <c r="T35" s="7">
        <v>34515.340000000004</v>
      </c>
      <c r="U35" s="2"/>
      <c r="V35" s="6">
        <f t="shared" si="26"/>
        <v>0.22334600533605012</v>
      </c>
      <c r="W35" s="2"/>
      <c r="X35" s="7">
        <f t="shared" si="27"/>
        <v>-34515.340000000004</v>
      </c>
      <c r="Y35" s="2"/>
      <c r="Z35" s="6">
        <f t="shared" si="28"/>
        <v>-1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29">IF(D$12=0,0,D36/D$12)</f>
        <v>0</v>
      </c>
      <c r="G36" s="1"/>
      <c r="H36" s="1">
        <f>SUM(OSRRefH22_2x_0)</f>
        <v>392.74</v>
      </c>
      <c r="I36" s="1"/>
      <c r="J36" s="5">
        <f t="shared" ref="J36:J50" si="30">IF(H$12=0,0,H36/H$12)</f>
        <v>4.0770488951045935E-3</v>
      </c>
      <c r="K36" s="1"/>
      <c r="L36" s="1">
        <f t="shared" ref="L36:L50" si="31">+D36-H36</f>
        <v>-392.74</v>
      </c>
      <c r="M36" s="1"/>
      <c r="N36" s="5">
        <f t="shared" ref="N36:N50" si="32">IF(H36=0,0,L36/H36)</f>
        <v>-1</v>
      </c>
      <c r="O36" s="14"/>
      <c r="P36" s="1">
        <f>SUM(OSRRefP22_2x_0)</f>
        <v>0</v>
      </c>
      <c r="Q36" s="1"/>
      <c r="R36" s="5">
        <f t="shared" ref="R36:R50" si="33">IF(P$12=0,0,P36/P$12)</f>
        <v>0</v>
      </c>
      <c r="S36" s="1"/>
      <c r="T36" s="1">
        <f>SUM(OSRRefT22_2x_0)</f>
        <v>531.21</v>
      </c>
      <c r="U36" s="1"/>
      <c r="V36" s="5">
        <f t="shared" ref="V36:V50" si="34">IF(T$12=0,0,T36/T$12)</f>
        <v>3.437417435104599E-3</v>
      </c>
      <c r="W36" s="1"/>
      <c r="X36" s="1">
        <f t="shared" ref="X36:X50" si="35">+P36-T36</f>
        <v>-531.21</v>
      </c>
      <c r="Y36" s="1"/>
      <c r="Z36" s="5">
        <f t="shared" ref="Z36:Z50" si="36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9"/>
        <v>0</v>
      </c>
      <c r="G37" s="2"/>
      <c r="H37" s="7">
        <v>392.74</v>
      </c>
      <c r="I37" s="2"/>
      <c r="J37" s="6">
        <f t="shared" si="30"/>
        <v>4.0770488951045935E-3</v>
      </c>
      <c r="K37" s="2"/>
      <c r="L37" s="7">
        <f t="shared" si="31"/>
        <v>-392.74</v>
      </c>
      <c r="M37" s="2"/>
      <c r="N37" s="6">
        <f t="shared" si="32"/>
        <v>-1</v>
      </c>
      <c r="O37" s="11"/>
      <c r="P37" s="7"/>
      <c r="Q37" s="2"/>
      <c r="R37" s="6">
        <f t="shared" si="33"/>
        <v>0</v>
      </c>
      <c r="S37" s="2"/>
      <c r="T37" s="7">
        <v>531.21</v>
      </c>
      <c r="U37" s="2"/>
      <c r="V37" s="6">
        <f t="shared" si="34"/>
        <v>3.437417435104599E-3</v>
      </c>
      <c r="W37" s="2"/>
      <c r="X37" s="7">
        <f t="shared" si="35"/>
        <v>-531.21</v>
      </c>
      <c r="Y37" s="2"/>
      <c r="Z37" s="6">
        <f t="shared" si="36"/>
        <v>-1</v>
      </c>
    </row>
    <row r="38" spans="1:26" s="27" customFormat="1" outlineLevel="1" collapsed="1" x14ac:dyDescent="0.25">
      <c r="A38" s="29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29"/>
        <v>0</v>
      </c>
      <c r="G38" s="1"/>
      <c r="H38" s="1">
        <f>SUM(OSRRefH22_3x_0)</f>
        <v>-2.0299999999999998</v>
      </c>
      <c r="I38" s="1"/>
      <c r="J38" s="5">
        <f t="shared" si="30"/>
        <v>-2.1073507300153596E-5</v>
      </c>
      <c r="K38" s="1"/>
      <c r="L38" s="1">
        <f t="shared" si="31"/>
        <v>2.0299999999999998</v>
      </c>
      <c r="M38" s="1"/>
      <c r="N38" s="5">
        <f t="shared" si="32"/>
        <v>-1</v>
      </c>
      <c r="O38" s="14"/>
      <c r="P38" s="1">
        <f>SUM(OSRRefP22_3x_0)</f>
        <v>0</v>
      </c>
      <c r="Q38" s="1"/>
      <c r="R38" s="5">
        <f t="shared" si="33"/>
        <v>0</v>
      </c>
      <c r="S38" s="1"/>
      <c r="T38" s="1">
        <f>SUM(OSRRefT22_3x_0)</f>
        <v>0.2</v>
      </c>
      <c r="U38" s="1"/>
      <c r="V38" s="5">
        <f t="shared" si="34"/>
        <v>1.2941840082470582E-6</v>
      </c>
      <c r="W38" s="1"/>
      <c r="X38" s="1">
        <f t="shared" si="35"/>
        <v>-0.2</v>
      </c>
      <c r="Y38" s="1"/>
      <c r="Z38" s="5">
        <f t="shared" si="36"/>
        <v>-1</v>
      </c>
    </row>
    <row r="39" spans="1:26" s="24" customFormat="1" hidden="1" outlineLevel="2" x14ac:dyDescent="0.25">
      <c r="A39" s="28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29"/>
        <v>0</v>
      </c>
      <c r="G39" s="2"/>
      <c r="H39" s="7">
        <v>-2.0299999999999998</v>
      </c>
      <c r="I39" s="2"/>
      <c r="J39" s="6">
        <f t="shared" si="30"/>
        <v>-2.1073507300153596E-5</v>
      </c>
      <c r="K39" s="2"/>
      <c r="L39" s="7">
        <f t="shared" si="31"/>
        <v>2.0299999999999998</v>
      </c>
      <c r="M39" s="2"/>
      <c r="N39" s="6">
        <f t="shared" si="32"/>
        <v>-1</v>
      </c>
      <c r="O39" s="11"/>
      <c r="P39" s="7"/>
      <c r="Q39" s="2"/>
      <c r="R39" s="6">
        <f t="shared" si="33"/>
        <v>0</v>
      </c>
      <c r="S39" s="2"/>
      <c r="T39" s="7">
        <v>0.2</v>
      </c>
      <c r="U39" s="2"/>
      <c r="V39" s="6">
        <f t="shared" si="34"/>
        <v>1.2941840082470582E-6</v>
      </c>
      <c r="W39" s="2"/>
      <c r="X39" s="7">
        <f t="shared" si="35"/>
        <v>-0.2</v>
      </c>
      <c r="Y39" s="2"/>
      <c r="Z39" s="6">
        <f t="shared" si="36"/>
        <v>-1</v>
      </c>
    </row>
    <row r="40" spans="1:26" s="27" customFormat="1" outlineLevel="1" collapsed="1" x14ac:dyDescent="0.25">
      <c r="A40" s="29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29"/>
        <v>0</v>
      </c>
      <c r="G40" s="1"/>
      <c r="H40" s="1">
        <f>SUM(OSRRefH22_4x_0)</f>
        <v>2514.7800000000002</v>
      </c>
      <c r="I40" s="1"/>
      <c r="J40" s="5">
        <f t="shared" si="30"/>
        <v>2.6106026940039544E-2</v>
      </c>
      <c r="K40" s="1"/>
      <c r="L40" s="1">
        <f t="shared" si="31"/>
        <v>-2514.7800000000002</v>
      </c>
      <c r="M40" s="1"/>
      <c r="N40" s="5">
        <f t="shared" si="32"/>
        <v>-1</v>
      </c>
      <c r="O40" s="14"/>
      <c r="P40" s="1">
        <f>SUM(OSRRefP22_4x_0)</f>
        <v>0</v>
      </c>
      <c r="Q40" s="1"/>
      <c r="R40" s="5">
        <f t="shared" si="33"/>
        <v>0</v>
      </c>
      <c r="S40" s="1"/>
      <c r="T40" s="1">
        <f>SUM(OSRRefT22_4x_0)</f>
        <v>3779.52</v>
      </c>
      <c r="U40" s="1"/>
      <c r="V40" s="5">
        <f t="shared" si="34"/>
        <v>2.4456971714249608E-2</v>
      </c>
      <c r="W40" s="1"/>
      <c r="X40" s="1">
        <f t="shared" si="35"/>
        <v>-3779.52</v>
      </c>
      <c r="Y40" s="1"/>
      <c r="Z40" s="5">
        <f t="shared" si="36"/>
        <v>-1</v>
      </c>
    </row>
    <row r="41" spans="1:26" s="24" customFormat="1" hidden="1" outlineLevel="2" x14ac:dyDescent="0.25">
      <c r="A41" s="28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29"/>
        <v>0</v>
      </c>
      <c r="G41" s="2"/>
      <c r="H41" s="7">
        <v>2514.7800000000002</v>
      </c>
      <c r="I41" s="2"/>
      <c r="J41" s="6">
        <f t="shared" si="30"/>
        <v>2.6106026940039544E-2</v>
      </c>
      <c r="K41" s="2"/>
      <c r="L41" s="7">
        <f t="shared" si="31"/>
        <v>-2514.7800000000002</v>
      </c>
      <c r="M41" s="2"/>
      <c r="N41" s="6">
        <f t="shared" si="32"/>
        <v>-1</v>
      </c>
      <c r="O41" s="11"/>
      <c r="P41" s="7"/>
      <c r="Q41" s="2"/>
      <c r="R41" s="6">
        <f t="shared" si="33"/>
        <v>0</v>
      </c>
      <c r="S41" s="2"/>
      <c r="T41" s="7">
        <v>3779.52</v>
      </c>
      <c r="U41" s="2"/>
      <c r="V41" s="6">
        <f t="shared" si="34"/>
        <v>2.4456971714249608E-2</v>
      </c>
      <c r="W41" s="2"/>
      <c r="X41" s="7">
        <f t="shared" si="35"/>
        <v>-3779.52</v>
      </c>
      <c r="Y41" s="2"/>
      <c r="Z41" s="6">
        <f t="shared" si="36"/>
        <v>-1</v>
      </c>
    </row>
    <row r="42" spans="1:26" s="27" customFormat="1" outlineLevel="1" collapsed="1" x14ac:dyDescent="0.25">
      <c r="A42" s="29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1825.26</v>
      </c>
      <c r="E42" s="1"/>
      <c r="F42" s="5">
        <f t="shared" si="29"/>
        <v>0</v>
      </c>
      <c r="G42" s="1"/>
      <c r="H42" s="1">
        <f>SUM(OSRRefH22_5x_0)</f>
        <v>1647.59</v>
      </c>
      <c r="I42" s="1"/>
      <c r="J42" s="5">
        <f t="shared" si="30"/>
        <v>1.7103694528403973E-2</v>
      </c>
      <c r="K42" s="1"/>
      <c r="L42" s="1">
        <f t="shared" si="31"/>
        <v>177.67000000000007</v>
      </c>
      <c r="M42" s="1"/>
      <c r="N42" s="5">
        <f t="shared" si="32"/>
        <v>0.10783629422368433</v>
      </c>
      <c r="O42" s="14"/>
      <c r="P42" s="1">
        <f>SUM(OSRRefP22_5x_0)</f>
        <v>5622.57</v>
      </c>
      <c r="Q42" s="1"/>
      <c r="R42" s="5">
        <f t="shared" si="33"/>
        <v>5.7672708249992306</v>
      </c>
      <c r="S42" s="1"/>
      <c r="T42" s="1">
        <f>SUM(OSRRefT22_5x_0)</f>
        <v>4942.7700000000004</v>
      </c>
      <c r="U42" s="1"/>
      <c r="V42" s="5">
        <f t="shared" si="34"/>
        <v>3.1984269452216559E-2</v>
      </c>
      <c r="W42" s="1"/>
      <c r="X42" s="1">
        <f t="shared" si="35"/>
        <v>679.79999999999927</v>
      </c>
      <c r="Y42" s="1"/>
      <c r="Z42" s="5">
        <f t="shared" si="36"/>
        <v>0.13753421664370369</v>
      </c>
    </row>
    <row r="43" spans="1:26" s="24" customFormat="1" hidden="1" outlineLevel="2" x14ac:dyDescent="0.25">
      <c r="A43" s="28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1825.26</v>
      </c>
      <c r="E43" s="2"/>
      <c r="F43" s="6">
        <f t="shared" si="29"/>
        <v>0</v>
      </c>
      <c r="G43" s="2"/>
      <c r="H43" s="7">
        <v>1647.59</v>
      </c>
      <c r="I43" s="2"/>
      <c r="J43" s="6">
        <f t="shared" si="30"/>
        <v>1.7103694528403973E-2</v>
      </c>
      <c r="K43" s="2"/>
      <c r="L43" s="7">
        <f t="shared" si="31"/>
        <v>177.67000000000007</v>
      </c>
      <c r="M43" s="2"/>
      <c r="N43" s="6">
        <f t="shared" si="32"/>
        <v>0.10783629422368433</v>
      </c>
      <c r="O43" s="11"/>
      <c r="P43" s="7">
        <v>5622.57</v>
      </c>
      <c r="Q43" s="2"/>
      <c r="R43" s="6">
        <f t="shared" si="33"/>
        <v>5.7672708249992306</v>
      </c>
      <c r="S43" s="2"/>
      <c r="T43" s="7">
        <v>4942.7700000000004</v>
      </c>
      <c r="U43" s="2"/>
      <c r="V43" s="6">
        <f t="shared" si="34"/>
        <v>3.1984269452216559E-2</v>
      </c>
      <c r="W43" s="2"/>
      <c r="X43" s="7">
        <f t="shared" si="35"/>
        <v>679.79999999999927</v>
      </c>
      <c r="Y43" s="2"/>
      <c r="Z43" s="6">
        <f t="shared" si="36"/>
        <v>0.13753421664370369</v>
      </c>
    </row>
    <row r="44" spans="1:26" s="27" customFormat="1" outlineLevel="1" collapsed="1" x14ac:dyDescent="0.25">
      <c r="A44" s="29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SUM(OSRRefD22_6x_0)</f>
        <v>96.3</v>
      </c>
      <c r="E44" s="1"/>
      <c r="F44" s="5">
        <f t="shared" si="29"/>
        <v>0</v>
      </c>
      <c r="G44" s="1"/>
      <c r="H44" s="1">
        <f>SUM(OSRRefH22_6x_0)</f>
        <v>118.91</v>
      </c>
      <c r="I44" s="1"/>
      <c r="J44" s="5">
        <f t="shared" si="30"/>
        <v>1.234409237961214E-3</v>
      </c>
      <c r="K44" s="1"/>
      <c r="L44" s="1">
        <f t="shared" si="31"/>
        <v>-22.61</v>
      </c>
      <c r="M44" s="1"/>
      <c r="N44" s="5">
        <f t="shared" si="32"/>
        <v>-0.19014380624001345</v>
      </c>
      <c r="O44" s="14"/>
      <c r="P44" s="1">
        <f>SUM(OSRRefP22_6x_0)</f>
        <v>96.3</v>
      </c>
      <c r="Q44" s="1"/>
      <c r="R44" s="5">
        <f t="shared" si="33"/>
        <v>9.8778348770655749E-2</v>
      </c>
      <c r="S44" s="1"/>
      <c r="T44" s="1">
        <f>SUM(OSRRefT22_6x_0)</f>
        <v>356.73</v>
      </c>
      <c r="U44" s="1"/>
      <c r="V44" s="5">
        <f t="shared" si="34"/>
        <v>2.3083713063098655E-3</v>
      </c>
      <c r="W44" s="1"/>
      <c r="X44" s="1">
        <f t="shared" si="35"/>
        <v>-260.43</v>
      </c>
      <c r="Y44" s="1"/>
      <c r="Z44" s="5">
        <f t="shared" si="36"/>
        <v>-0.73004793541333779</v>
      </c>
    </row>
    <row r="45" spans="1:26" s="24" customFormat="1" hidden="1" outlineLevel="2" x14ac:dyDescent="0.25">
      <c r="A45" s="28"/>
      <c r="B45" s="11" t="str">
        <f>CONCATENATE("          ", "6351", " - ", "EQUIPMENT RENTAL")</f>
        <v xml:space="preserve">          6351 - EQUIPMENT RENTAL</v>
      </c>
      <c r="C45" s="11"/>
      <c r="D45" s="7">
        <v>96.3</v>
      </c>
      <c r="E45" s="2"/>
      <c r="F45" s="6">
        <f t="shared" si="29"/>
        <v>0</v>
      </c>
      <c r="G45" s="2"/>
      <c r="H45" s="7">
        <v>118.91</v>
      </c>
      <c r="I45" s="2"/>
      <c r="J45" s="6">
        <f t="shared" si="30"/>
        <v>1.234409237961214E-3</v>
      </c>
      <c r="K45" s="2"/>
      <c r="L45" s="7">
        <f t="shared" si="31"/>
        <v>-22.61</v>
      </c>
      <c r="M45" s="2"/>
      <c r="N45" s="6">
        <f t="shared" si="32"/>
        <v>-0.19014380624001345</v>
      </c>
      <c r="O45" s="11"/>
      <c r="P45" s="7">
        <v>96.3</v>
      </c>
      <c r="Q45" s="2"/>
      <c r="R45" s="6">
        <f t="shared" si="33"/>
        <v>9.8778348770655749E-2</v>
      </c>
      <c r="S45" s="2"/>
      <c r="T45" s="7">
        <v>356.73</v>
      </c>
      <c r="U45" s="2"/>
      <c r="V45" s="6">
        <f t="shared" si="34"/>
        <v>2.3083713063098655E-3</v>
      </c>
      <c r="W45" s="2"/>
      <c r="X45" s="7">
        <f t="shared" si="35"/>
        <v>-260.43</v>
      </c>
      <c r="Y45" s="2"/>
      <c r="Z45" s="6">
        <f t="shared" si="36"/>
        <v>-0.73004793541333779</v>
      </c>
    </row>
    <row r="46" spans="1:26" s="27" customFormat="1" outlineLevel="1" collapsed="1" x14ac:dyDescent="0.25">
      <c r="A46" s="29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SUM(OSRRefD22_7x_0)</f>
        <v>0</v>
      </c>
      <c r="E46" s="1"/>
      <c r="F46" s="5">
        <f t="shared" si="29"/>
        <v>0</v>
      </c>
      <c r="G46" s="1"/>
      <c r="H46" s="1">
        <f>SUM(OSRRefH22_7x_0)</f>
        <v>967.23</v>
      </c>
      <c r="I46" s="1"/>
      <c r="J46" s="5">
        <f t="shared" si="30"/>
        <v>1.0040851461048063E-2</v>
      </c>
      <c r="K46" s="1"/>
      <c r="L46" s="1">
        <f t="shared" si="31"/>
        <v>-967.23</v>
      </c>
      <c r="M46" s="1"/>
      <c r="N46" s="5">
        <f t="shared" si="32"/>
        <v>-1</v>
      </c>
      <c r="O46" s="14"/>
      <c r="P46" s="1">
        <f>SUM(OSRRefP22_7x_0)</f>
        <v>7.28</v>
      </c>
      <c r="Q46" s="1"/>
      <c r="R46" s="5">
        <f t="shared" si="33"/>
        <v>7.467355961063073E-3</v>
      </c>
      <c r="S46" s="1"/>
      <c r="T46" s="1">
        <f>SUM(OSRRefT22_7x_0)</f>
        <v>2736.74</v>
      </c>
      <c r="U46" s="1"/>
      <c r="V46" s="5">
        <f t="shared" si="34"/>
        <v>1.7709225713650269E-2</v>
      </c>
      <c r="W46" s="1"/>
      <c r="X46" s="1">
        <f t="shared" si="35"/>
        <v>-2729.4599999999996</v>
      </c>
      <c r="Y46" s="1"/>
      <c r="Z46" s="5">
        <f t="shared" si="36"/>
        <v>-0.99733990075783585</v>
      </c>
    </row>
    <row r="47" spans="1:26" s="24" customFormat="1" hidden="1" outlineLevel="2" x14ac:dyDescent="0.25">
      <c r="A47" s="28"/>
      <c r="B47" s="11" t="str">
        <f>CONCATENATE("          ", "6279", " - ", "GENERAL EXPENSE")</f>
        <v xml:space="preserve">          6279 - GENERAL EXPENSE</v>
      </c>
      <c r="C47" s="11"/>
      <c r="D47" s="7"/>
      <c r="E47" s="2"/>
      <c r="F47" s="6">
        <f t="shared" si="29"/>
        <v>0</v>
      </c>
      <c r="G47" s="2"/>
      <c r="H47" s="7">
        <v>967.23</v>
      </c>
      <c r="I47" s="2"/>
      <c r="J47" s="6">
        <f t="shared" si="30"/>
        <v>1.0040851461048063E-2</v>
      </c>
      <c r="K47" s="2"/>
      <c r="L47" s="7">
        <f t="shared" si="31"/>
        <v>-967.23</v>
      </c>
      <c r="M47" s="2"/>
      <c r="N47" s="6">
        <f t="shared" si="32"/>
        <v>-1</v>
      </c>
      <c r="O47" s="11"/>
      <c r="P47" s="7">
        <v>7.28</v>
      </c>
      <c r="Q47" s="2"/>
      <c r="R47" s="6">
        <f t="shared" si="33"/>
        <v>7.467355961063073E-3</v>
      </c>
      <c r="S47" s="2"/>
      <c r="T47" s="7">
        <v>2736.74</v>
      </c>
      <c r="U47" s="2"/>
      <c r="V47" s="6">
        <f t="shared" si="34"/>
        <v>1.7709225713650269E-2</v>
      </c>
      <c r="W47" s="2"/>
      <c r="X47" s="7">
        <f t="shared" si="35"/>
        <v>-2729.4599999999996</v>
      </c>
      <c r="Y47" s="2"/>
      <c r="Z47" s="6">
        <f t="shared" si="36"/>
        <v>-0.99733990075783585</v>
      </c>
    </row>
    <row r="48" spans="1:26" s="27" customFormat="1" outlineLevel="1" collapsed="1" x14ac:dyDescent="0.25">
      <c r="A48" s="29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329.58000000000004</v>
      </c>
      <c r="E48" s="1"/>
      <c r="F48" s="5">
        <f t="shared" si="29"/>
        <v>0</v>
      </c>
      <c r="G48" s="1"/>
      <c r="H48" s="1">
        <f>SUM(OSRRefH22_8x_0)</f>
        <v>410.33</v>
      </c>
      <c r="I48" s="1"/>
      <c r="J48" s="5">
        <f t="shared" si="30"/>
        <v>4.2596513549123284E-3</v>
      </c>
      <c r="K48" s="1"/>
      <c r="L48" s="1">
        <f t="shared" si="31"/>
        <v>-80.749999999999943</v>
      </c>
      <c r="M48" s="1"/>
      <c r="N48" s="5">
        <f t="shared" si="32"/>
        <v>-0.19679282528696401</v>
      </c>
      <c r="O48" s="14"/>
      <c r="P48" s="1">
        <f>SUM(OSRRefP22_8x_0)</f>
        <v>368.88</v>
      </c>
      <c r="Q48" s="1"/>
      <c r="R48" s="5">
        <f t="shared" si="33"/>
        <v>0.37837338831276734</v>
      </c>
      <c r="S48" s="1"/>
      <c r="T48" s="1">
        <f>SUM(OSRRefT22_8x_0)</f>
        <v>3594.63</v>
      </c>
      <c r="U48" s="1"/>
      <c r="V48" s="5">
        <f t="shared" si="34"/>
        <v>2.3260563307825614E-2</v>
      </c>
      <c r="W48" s="1"/>
      <c r="X48" s="1">
        <f t="shared" si="35"/>
        <v>-3225.75</v>
      </c>
      <c r="Y48" s="1"/>
      <c r="Z48" s="5">
        <f t="shared" si="36"/>
        <v>-0.8973802588861719</v>
      </c>
    </row>
    <row r="49" spans="1:26" s="24" customFormat="1" hidden="1" outlineLevel="2" x14ac:dyDescent="0.25">
      <c r="A49" s="28"/>
      <c r="B49" s="11" t="str">
        <f>CONCATENATE("          ", "6373", " - ", "MAINTENANCE CONTRACTS")</f>
        <v xml:space="preserve">          6373 - MAINTENANCE CONTRACTS</v>
      </c>
      <c r="C49" s="11"/>
      <c r="D49" s="7">
        <v>129.58000000000001</v>
      </c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129.58000000000001</v>
      </c>
      <c r="M49" s="2"/>
      <c r="N49" s="6">
        <f t="shared" si="32"/>
        <v>0</v>
      </c>
      <c r="O49" s="11"/>
      <c r="P49" s="7">
        <v>168.88</v>
      </c>
      <c r="Q49" s="2"/>
      <c r="R49" s="6">
        <f t="shared" si="33"/>
        <v>0.17322624652532029</v>
      </c>
      <c r="S49" s="2"/>
      <c r="T49" s="7"/>
      <c r="U49" s="2"/>
      <c r="V49" s="6">
        <f t="shared" si="34"/>
        <v>0</v>
      </c>
      <c r="W49" s="2"/>
      <c r="X49" s="7">
        <f t="shared" si="35"/>
        <v>168.88</v>
      </c>
      <c r="Y49" s="2"/>
      <c r="Z49" s="6">
        <f t="shared" si="36"/>
        <v>0</v>
      </c>
    </row>
    <row r="50" spans="1:26" s="24" customFormat="1" hidden="1" outlineLevel="2" x14ac:dyDescent="0.25">
      <c r="A50" s="28"/>
      <c r="B50" s="11" t="str">
        <f>CONCATENATE("          ", "6375", " - ", "OUTSIDE REPAIRS &amp; MAINTENANCE")</f>
        <v xml:space="preserve">          6375 - OUTSIDE REPAIRS &amp; MAINTENANCE</v>
      </c>
      <c r="C50" s="11"/>
      <c r="D50" s="7">
        <v>200</v>
      </c>
      <c r="E50" s="2"/>
      <c r="F50" s="6">
        <f t="shared" si="29"/>
        <v>0</v>
      </c>
      <c r="G50" s="2"/>
      <c r="H50" s="7">
        <v>410.33</v>
      </c>
      <c r="I50" s="2"/>
      <c r="J50" s="6">
        <f t="shared" si="30"/>
        <v>4.2596513549123284E-3</v>
      </c>
      <c r="K50" s="2"/>
      <c r="L50" s="7">
        <f t="shared" si="31"/>
        <v>-210.32999999999998</v>
      </c>
      <c r="M50" s="2"/>
      <c r="N50" s="6">
        <f t="shared" si="32"/>
        <v>-0.51258742962981019</v>
      </c>
      <c r="O50" s="11"/>
      <c r="P50" s="7">
        <v>200</v>
      </c>
      <c r="Q50" s="2"/>
      <c r="R50" s="6">
        <f t="shared" si="33"/>
        <v>0.20514714178744706</v>
      </c>
      <c r="S50" s="2"/>
      <c r="T50" s="7">
        <v>3594.63</v>
      </c>
      <c r="U50" s="2"/>
      <c r="V50" s="6">
        <f t="shared" si="34"/>
        <v>2.3260563307825614E-2</v>
      </c>
      <c r="W50" s="2"/>
      <c r="X50" s="7">
        <f t="shared" si="35"/>
        <v>-3394.63</v>
      </c>
      <c r="Y50" s="2"/>
      <c r="Z50" s="6">
        <f t="shared" si="36"/>
        <v>-0.94436145027443719</v>
      </c>
    </row>
    <row r="51" spans="1:26" s="27" customFormat="1" outlineLevel="1" collapsed="1" x14ac:dyDescent="0.25">
      <c r="A51" s="29"/>
      <c r="B51" s="14" t="str">
        <f>CONCATENATE("     ","Royalty &amp; Commissions                             ")</f>
        <v xml:space="preserve">     Royalty &amp; Commissions                             </v>
      </c>
      <c r="C51" s="14"/>
      <c r="D51" s="1">
        <f>SUM(OSRRefD22_9x_0)</f>
        <v>0</v>
      </c>
      <c r="E51" s="1"/>
      <c r="F51" s="5">
        <f t="shared" ref="F51:F64" si="37">IF(D$12=0,0,D51/D$12)</f>
        <v>0</v>
      </c>
      <c r="G51" s="1"/>
      <c r="H51" s="1">
        <f>SUM(OSRRefH22_9x_0)</f>
        <v>7706.32</v>
      </c>
      <c r="I51" s="1"/>
      <c r="J51" s="5">
        <f t="shared" ref="J51:J64" si="38">IF(H$12=0,0,H51/H$12)</f>
        <v>7.9999601368137774E-2</v>
      </c>
      <c r="K51" s="1"/>
      <c r="L51" s="1">
        <f t="shared" ref="L51:L64" si="39">+D51-H51</f>
        <v>-7706.32</v>
      </c>
      <c r="M51" s="1"/>
      <c r="N51" s="5">
        <f t="shared" ref="N51:N64" si="40">IF(H51=0,0,L51/H51)</f>
        <v>-1</v>
      </c>
      <c r="O51" s="14"/>
      <c r="P51" s="1">
        <f>SUM(OSRRefP22_9x_0)</f>
        <v>0</v>
      </c>
      <c r="Q51" s="1"/>
      <c r="R51" s="5">
        <f t="shared" ref="R51:R64" si="41">IF(P$12=0,0,P51/P$12)</f>
        <v>0</v>
      </c>
      <c r="S51" s="1"/>
      <c r="T51" s="1">
        <f>SUM(OSRRefT22_9x_0)</f>
        <v>9143.2000000000007</v>
      </c>
      <c r="U51" s="1"/>
      <c r="V51" s="5">
        <f t="shared" ref="V51:V64" si="42">IF(T$12=0,0,T51/T$12)</f>
        <v>5.9164916121022516E-2</v>
      </c>
      <c r="W51" s="1"/>
      <c r="X51" s="1">
        <f t="shared" ref="X51:X64" si="43">+P51-T51</f>
        <v>-9143.2000000000007</v>
      </c>
      <c r="Y51" s="1"/>
      <c r="Z51" s="5">
        <f t="shared" ref="Z51:Z64" si="44">IF(T51=0,0,X51/T51)</f>
        <v>-1</v>
      </c>
    </row>
    <row r="52" spans="1:26" s="24" customFormat="1" hidden="1" outlineLevel="2" x14ac:dyDescent="0.25">
      <c r="A52" s="28"/>
      <c r="B52" s="11" t="str">
        <f>CONCATENATE("          ", "6259", " - ", "ROYALTY &amp; COMMISSIONS")</f>
        <v xml:space="preserve">          6259 - ROYALTY &amp; COMMISSIONS</v>
      </c>
      <c r="C52" s="11"/>
      <c r="D52" s="7"/>
      <c r="E52" s="2"/>
      <c r="F52" s="6">
        <f t="shared" si="37"/>
        <v>0</v>
      </c>
      <c r="G52" s="2"/>
      <c r="H52" s="7">
        <v>7706.32</v>
      </c>
      <c r="I52" s="2"/>
      <c r="J52" s="6">
        <f t="shared" si="38"/>
        <v>7.9999601368137774E-2</v>
      </c>
      <c r="K52" s="2"/>
      <c r="L52" s="7">
        <f t="shared" si="39"/>
        <v>-7706.32</v>
      </c>
      <c r="M52" s="2"/>
      <c r="N52" s="6">
        <f t="shared" si="40"/>
        <v>-1</v>
      </c>
      <c r="O52" s="11"/>
      <c r="P52" s="7"/>
      <c r="Q52" s="2"/>
      <c r="R52" s="6">
        <f t="shared" si="41"/>
        <v>0</v>
      </c>
      <c r="S52" s="2"/>
      <c r="T52" s="7">
        <v>9143.2000000000007</v>
      </c>
      <c r="U52" s="2"/>
      <c r="V52" s="6">
        <f t="shared" si="42"/>
        <v>5.9164916121022516E-2</v>
      </c>
      <c r="W52" s="2"/>
      <c r="X52" s="7">
        <f t="shared" si="43"/>
        <v>-9143.2000000000007</v>
      </c>
      <c r="Y52" s="2"/>
      <c r="Z52" s="6">
        <f t="shared" si="44"/>
        <v>-1</v>
      </c>
    </row>
    <row r="53" spans="1:26" s="27" customFormat="1" outlineLevel="1" collapsed="1" x14ac:dyDescent="0.25">
      <c r="A53" s="29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0</v>
      </c>
      <c r="E53" s="1"/>
      <c r="F53" s="5">
        <f t="shared" si="37"/>
        <v>0</v>
      </c>
      <c r="G53" s="1"/>
      <c r="H53" s="1">
        <f>SUM(OSRRefH22_10x_0)</f>
        <v>0</v>
      </c>
      <c r="I53" s="1"/>
      <c r="J53" s="5">
        <f t="shared" si="38"/>
        <v>0</v>
      </c>
      <c r="K53" s="1"/>
      <c r="L53" s="1">
        <f t="shared" si="39"/>
        <v>0</v>
      </c>
      <c r="M53" s="1"/>
      <c r="N53" s="5">
        <f t="shared" si="40"/>
        <v>0</v>
      </c>
      <c r="O53" s="14"/>
      <c r="P53" s="1">
        <f>SUM(OSRRefP22_10x_0)</f>
        <v>0</v>
      </c>
      <c r="Q53" s="1"/>
      <c r="R53" s="5">
        <f t="shared" si="41"/>
        <v>0</v>
      </c>
      <c r="S53" s="1"/>
      <c r="T53" s="1">
        <f>SUM(OSRRefT22_10x_0)</f>
        <v>86.1</v>
      </c>
      <c r="U53" s="1"/>
      <c r="V53" s="5">
        <f t="shared" si="42"/>
        <v>5.571462155503585E-4</v>
      </c>
      <c r="W53" s="1"/>
      <c r="X53" s="1">
        <f t="shared" si="43"/>
        <v>-86.1</v>
      </c>
      <c r="Y53" s="1"/>
      <c r="Z53" s="5">
        <f t="shared" si="44"/>
        <v>-1</v>
      </c>
    </row>
    <row r="54" spans="1:26" s="24" customFormat="1" hidden="1" outlineLevel="2" x14ac:dyDescent="0.25">
      <c r="A54" s="28"/>
      <c r="B54" s="11" t="str">
        <f>CONCATENATE("          ", "6286", " - ", "LAUNDRY EXPENSE")</f>
        <v xml:space="preserve">          6286 - LAUNDRY EXPENSE</v>
      </c>
      <c r="C54" s="11"/>
      <c r="D54" s="7"/>
      <c r="E54" s="2"/>
      <c r="F54" s="6">
        <f t="shared" si="37"/>
        <v>0</v>
      </c>
      <c r="G54" s="2"/>
      <c r="H54" s="7"/>
      <c r="I54" s="2"/>
      <c r="J54" s="6">
        <f t="shared" si="38"/>
        <v>0</v>
      </c>
      <c r="K54" s="2"/>
      <c r="L54" s="7">
        <f t="shared" si="39"/>
        <v>0</v>
      </c>
      <c r="M54" s="2"/>
      <c r="N54" s="6">
        <f t="shared" si="40"/>
        <v>0</v>
      </c>
      <c r="O54" s="11"/>
      <c r="P54" s="7"/>
      <c r="Q54" s="2"/>
      <c r="R54" s="6">
        <f t="shared" si="41"/>
        <v>0</v>
      </c>
      <c r="S54" s="2"/>
      <c r="T54" s="7">
        <v>86.1</v>
      </c>
      <c r="U54" s="2"/>
      <c r="V54" s="6">
        <f t="shared" si="42"/>
        <v>5.571462155503585E-4</v>
      </c>
      <c r="W54" s="2"/>
      <c r="X54" s="7">
        <f t="shared" si="43"/>
        <v>-86.1</v>
      </c>
      <c r="Y54" s="2"/>
      <c r="Z54" s="6">
        <f t="shared" si="44"/>
        <v>-1</v>
      </c>
    </row>
    <row r="55" spans="1:26" s="27" customFormat="1" outlineLevel="1" collapsed="1" x14ac:dyDescent="0.25">
      <c r="A55" s="29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0</v>
      </c>
      <c r="E55" s="1"/>
      <c r="F55" s="5">
        <f t="shared" si="37"/>
        <v>0</v>
      </c>
      <c r="G55" s="1"/>
      <c r="H55" s="1">
        <f>SUM(OSRRefH22_11x_0)</f>
        <v>30.68</v>
      </c>
      <c r="I55" s="1"/>
      <c r="J55" s="5">
        <f t="shared" si="38"/>
        <v>3.1849024826044947E-4</v>
      </c>
      <c r="K55" s="1"/>
      <c r="L55" s="1">
        <f t="shared" si="39"/>
        <v>-30.68</v>
      </c>
      <c r="M55" s="1"/>
      <c r="N55" s="5">
        <f t="shared" si="40"/>
        <v>-1</v>
      </c>
      <c r="O55" s="14"/>
      <c r="P55" s="1">
        <f>SUM(OSRRefP22_11x_0)</f>
        <v>0</v>
      </c>
      <c r="Q55" s="1"/>
      <c r="R55" s="5">
        <f t="shared" si="41"/>
        <v>0</v>
      </c>
      <c r="S55" s="1"/>
      <c r="T55" s="1">
        <f>SUM(OSRRefT22_11x_0)</f>
        <v>61.36</v>
      </c>
      <c r="U55" s="1"/>
      <c r="V55" s="5">
        <f t="shared" si="42"/>
        <v>3.9705565373019747E-4</v>
      </c>
      <c r="W55" s="1"/>
      <c r="X55" s="1">
        <f t="shared" si="43"/>
        <v>-61.36</v>
      </c>
      <c r="Y55" s="1"/>
      <c r="Z55" s="5">
        <f t="shared" si="44"/>
        <v>-1</v>
      </c>
    </row>
    <row r="56" spans="1:26" s="24" customFormat="1" hidden="1" outlineLevel="2" x14ac:dyDescent="0.25">
      <c r="A56" s="28"/>
      <c r="B56" s="11" t="str">
        <f>CONCATENATE("          ", "6275", " - ", "SUBSCRIPTIONS")</f>
        <v xml:space="preserve">          6275 - SUBSCRIPTIONS</v>
      </c>
      <c r="C56" s="11"/>
      <c r="D56" s="7"/>
      <c r="E56" s="2"/>
      <c r="F56" s="6">
        <f t="shared" si="37"/>
        <v>0</v>
      </c>
      <c r="G56" s="2"/>
      <c r="H56" s="7">
        <v>30.68</v>
      </c>
      <c r="I56" s="2"/>
      <c r="J56" s="6">
        <f t="shared" si="38"/>
        <v>3.1849024826044947E-4</v>
      </c>
      <c r="K56" s="2"/>
      <c r="L56" s="7">
        <f t="shared" si="39"/>
        <v>-30.68</v>
      </c>
      <c r="M56" s="2"/>
      <c r="N56" s="6">
        <f t="shared" si="40"/>
        <v>-1</v>
      </c>
      <c r="O56" s="11"/>
      <c r="P56" s="7"/>
      <c r="Q56" s="2"/>
      <c r="R56" s="6">
        <f t="shared" si="41"/>
        <v>0</v>
      </c>
      <c r="S56" s="2"/>
      <c r="T56" s="7">
        <v>61.36</v>
      </c>
      <c r="U56" s="2"/>
      <c r="V56" s="6">
        <f t="shared" si="42"/>
        <v>3.9705565373019747E-4</v>
      </c>
      <c r="W56" s="2"/>
      <c r="X56" s="7">
        <f t="shared" si="43"/>
        <v>-61.36</v>
      </c>
      <c r="Y56" s="2"/>
      <c r="Z56" s="6">
        <f t="shared" si="44"/>
        <v>-1</v>
      </c>
    </row>
    <row r="57" spans="1:26" s="27" customFormat="1" outlineLevel="1" collapsed="1" x14ac:dyDescent="0.25">
      <c r="A57" s="29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0</v>
      </c>
      <c r="E57" s="1"/>
      <c r="F57" s="5">
        <f t="shared" si="37"/>
        <v>0</v>
      </c>
      <c r="G57" s="1"/>
      <c r="H57" s="1">
        <f>SUM(OSRRefH22_12x_0)</f>
        <v>692.48</v>
      </c>
      <c r="I57" s="1"/>
      <c r="J57" s="5">
        <f t="shared" si="38"/>
        <v>7.1886612488721007E-3</v>
      </c>
      <c r="K57" s="1"/>
      <c r="L57" s="1">
        <f t="shared" si="39"/>
        <v>-692.48</v>
      </c>
      <c r="M57" s="1"/>
      <c r="N57" s="5">
        <f t="shared" si="40"/>
        <v>-1</v>
      </c>
      <c r="O57" s="14"/>
      <c r="P57" s="1">
        <f>SUM(OSRRefP22_12x_0)</f>
        <v>0</v>
      </c>
      <c r="Q57" s="1"/>
      <c r="R57" s="5">
        <f t="shared" si="41"/>
        <v>0</v>
      </c>
      <c r="S57" s="1"/>
      <c r="T57" s="1">
        <f>SUM(OSRRefT22_12x_0)</f>
        <v>5366.15</v>
      </c>
      <c r="U57" s="1"/>
      <c r="V57" s="5">
        <f t="shared" si="42"/>
        <v>3.4723927579274755E-2</v>
      </c>
      <c r="W57" s="1"/>
      <c r="X57" s="1">
        <f t="shared" si="43"/>
        <v>-5366.15</v>
      </c>
      <c r="Y57" s="1"/>
      <c r="Z57" s="5">
        <f t="shared" si="44"/>
        <v>-1</v>
      </c>
    </row>
    <row r="58" spans="1:26" s="24" customFormat="1" hidden="1" outlineLevel="2" x14ac:dyDescent="0.25">
      <c r="A58" s="28"/>
      <c r="B58" s="11" t="str">
        <f>CONCATENATE("          ", "6237", " - ", "JANITORIAL SUPPLIES")</f>
        <v xml:space="preserve">          6237 - JANITORIAL SUPPLIES</v>
      </c>
      <c r="C58" s="11"/>
      <c r="D58" s="7"/>
      <c r="E58" s="2"/>
      <c r="F58" s="6">
        <f t="shared" si="37"/>
        <v>0</v>
      </c>
      <c r="G58" s="2"/>
      <c r="H58" s="7">
        <v>-12.34</v>
      </c>
      <c r="I58" s="2"/>
      <c r="J58" s="6">
        <f t="shared" si="38"/>
        <v>-1.2810200989354453E-4</v>
      </c>
      <c r="K58" s="2"/>
      <c r="L58" s="7">
        <f t="shared" si="39"/>
        <v>12.34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105.29</v>
      </c>
      <c r="U58" s="2"/>
      <c r="V58" s="6">
        <f t="shared" si="42"/>
        <v>6.8132317114166384E-4</v>
      </c>
      <c r="W58" s="2"/>
      <c r="X58" s="7">
        <f t="shared" si="43"/>
        <v>-105.29</v>
      </c>
      <c r="Y58" s="2"/>
      <c r="Z58" s="6">
        <f t="shared" si="44"/>
        <v>-1</v>
      </c>
    </row>
    <row r="59" spans="1:26" s="24" customFormat="1" hidden="1" outlineLevel="2" x14ac:dyDescent="0.25">
      <c r="A59" s="28"/>
      <c r="B59" s="11" t="str">
        <f>CONCATENATE("          ", "6239", " - ", "KITCHEN SUPPLIES")</f>
        <v xml:space="preserve">          6239 - KITCHEN SUPPLIES</v>
      </c>
      <c r="C59" s="11"/>
      <c r="D59" s="7"/>
      <c r="E59" s="2"/>
      <c r="F59" s="6">
        <f t="shared" si="37"/>
        <v>0</v>
      </c>
      <c r="G59" s="2"/>
      <c r="H59" s="7">
        <v>238.37</v>
      </c>
      <c r="I59" s="2"/>
      <c r="J59" s="6">
        <f t="shared" si="38"/>
        <v>2.4745280468658195E-3</v>
      </c>
      <c r="K59" s="2"/>
      <c r="L59" s="7">
        <f t="shared" si="39"/>
        <v>-238.37</v>
      </c>
      <c r="M59" s="2"/>
      <c r="N59" s="6">
        <f t="shared" si="40"/>
        <v>-1</v>
      </c>
      <c r="O59" s="11"/>
      <c r="P59" s="7"/>
      <c r="Q59" s="2"/>
      <c r="R59" s="6">
        <f t="shared" si="41"/>
        <v>0</v>
      </c>
      <c r="S59" s="2"/>
      <c r="T59" s="7">
        <v>1905.7</v>
      </c>
      <c r="U59" s="2"/>
      <c r="V59" s="6">
        <f t="shared" si="42"/>
        <v>1.2331632322582093E-2</v>
      </c>
      <c r="W59" s="2"/>
      <c r="X59" s="7">
        <f t="shared" si="43"/>
        <v>-1905.7</v>
      </c>
      <c r="Y59" s="2"/>
      <c r="Z59" s="6">
        <f t="shared" si="44"/>
        <v>-1</v>
      </c>
    </row>
    <row r="60" spans="1:26" s="24" customFormat="1" hidden="1" outlineLevel="2" x14ac:dyDescent="0.25">
      <c r="A60" s="28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/>
      <c r="Q60" s="2"/>
      <c r="R60" s="6">
        <f t="shared" si="41"/>
        <v>0</v>
      </c>
      <c r="S60" s="2"/>
      <c r="T60" s="7">
        <v>1074.28</v>
      </c>
      <c r="U60" s="2"/>
      <c r="V60" s="6">
        <f t="shared" si="42"/>
        <v>6.9515799818982479E-3</v>
      </c>
      <c r="W60" s="2"/>
      <c r="X60" s="7">
        <f t="shared" si="43"/>
        <v>-1074.28</v>
      </c>
      <c r="Y60" s="2"/>
      <c r="Z60" s="6">
        <f t="shared" si="44"/>
        <v>-1</v>
      </c>
    </row>
    <row r="61" spans="1:26" s="24" customFormat="1" hidden="1" outlineLevel="2" x14ac:dyDescent="0.25">
      <c r="A61" s="28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37"/>
        <v>0</v>
      </c>
      <c r="G61" s="2"/>
      <c r="H61" s="7">
        <v>274.39</v>
      </c>
      <c r="I61" s="2"/>
      <c r="J61" s="6">
        <f t="shared" si="38"/>
        <v>2.8484530384675594E-3</v>
      </c>
      <c r="K61" s="2"/>
      <c r="L61" s="7">
        <f t="shared" si="39"/>
        <v>-274.39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1160.8800000000001</v>
      </c>
      <c r="U61" s="2"/>
      <c r="V61" s="6">
        <f t="shared" si="42"/>
        <v>7.5119616574692251E-3</v>
      </c>
      <c r="W61" s="2"/>
      <c r="X61" s="7">
        <f t="shared" si="43"/>
        <v>-1160.8800000000001</v>
      </c>
      <c r="Y61" s="2"/>
      <c r="Z61" s="6">
        <f t="shared" si="44"/>
        <v>-1</v>
      </c>
    </row>
    <row r="62" spans="1:26" s="24" customFormat="1" hidden="1" outlineLevel="2" x14ac:dyDescent="0.25">
      <c r="A62" s="28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7"/>
        <v>0</v>
      </c>
      <c r="G62" s="2"/>
      <c r="H62" s="7">
        <v>6.22</v>
      </c>
      <c r="I62" s="2"/>
      <c r="J62" s="6">
        <f t="shared" si="38"/>
        <v>6.4570056850716937E-5</v>
      </c>
      <c r="K62" s="2"/>
      <c r="L62" s="7">
        <f t="shared" si="39"/>
        <v>-6.22</v>
      </c>
      <c r="M62" s="2"/>
      <c r="N62" s="6">
        <f t="shared" si="40"/>
        <v>-1</v>
      </c>
      <c r="O62" s="11"/>
      <c r="P62" s="7"/>
      <c r="Q62" s="2"/>
      <c r="R62" s="6">
        <f t="shared" si="41"/>
        <v>0</v>
      </c>
      <c r="S62" s="2"/>
      <c r="T62" s="7">
        <v>154.13</v>
      </c>
      <c r="U62" s="2"/>
      <c r="V62" s="6">
        <f t="shared" si="42"/>
        <v>9.9736290595559538E-4</v>
      </c>
      <c r="W62" s="2"/>
      <c r="X62" s="7">
        <f t="shared" si="43"/>
        <v>-154.13</v>
      </c>
      <c r="Y62" s="2"/>
      <c r="Z62" s="6">
        <f t="shared" si="44"/>
        <v>-1</v>
      </c>
    </row>
    <row r="63" spans="1:26" s="24" customFormat="1" hidden="1" outlineLevel="2" x14ac:dyDescent="0.25">
      <c r="A63" s="28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7"/>
        <v>0</v>
      </c>
      <c r="G63" s="2"/>
      <c r="H63" s="7">
        <v>185.84</v>
      </c>
      <c r="I63" s="2"/>
      <c r="J63" s="6">
        <f t="shared" si="38"/>
        <v>1.9292121165815491E-3</v>
      </c>
      <c r="K63" s="2"/>
      <c r="L63" s="7">
        <f t="shared" si="39"/>
        <v>-185.84</v>
      </c>
      <c r="M63" s="2"/>
      <c r="N63" s="6">
        <f t="shared" si="40"/>
        <v>-1</v>
      </c>
      <c r="O63" s="11"/>
      <c r="P63" s="7"/>
      <c r="Q63" s="2"/>
      <c r="R63" s="6">
        <f t="shared" si="41"/>
        <v>0</v>
      </c>
      <c r="S63" s="2"/>
      <c r="T63" s="7">
        <v>875.02</v>
      </c>
      <c r="U63" s="2"/>
      <c r="V63" s="6">
        <f t="shared" si="42"/>
        <v>5.6621844544817038E-3</v>
      </c>
      <c r="W63" s="2"/>
      <c r="X63" s="7">
        <f t="shared" si="43"/>
        <v>-875.02</v>
      </c>
      <c r="Y63" s="2"/>
      <c r="Z63" s="6">
        <f t="shared" si="44"/>
        <v>-1</v>
      </c>
    </row>
    <row r="64" spans="1:26" s="24" customFormat="1" hidden="1" outlineLevel="2" x14ac:dyDescent="0.25">
      <c r="A64" s="28"/>
      <c r="B64" s="11" t="str">
        <f>CONCATENATE("          ", "6248", " - ", "UNIFORMS")</f>
        <v xml:space="preserve">          6248 - UNIFORMS</v>
      </c>
      <c r="C64" s="11"/>
      <c r="D64" s="7"/>
      <c r="E64" s="2"/>
      <c r="F64" s="6">
        <f t="shared" si="37"/>
        <v>0</v>
      </c>
      <c r="G64" s="2"/>
      <c r="H64" s="7"/>
      <c r="I64" s="2"/>
      <c r="J64" s="6">
        <f t="shared" si="38"/>
        <v>0</v>
      </c>
      <c r="K64" s="2"/>
      <c r="L64" s="7">
        <f t="shared" si="39"/>
        <v>0</v>
      </c>
      <c r="M64" s="2"/>
      <c r="N64" s="6">
        <f t="shared" si="40"/>
        <v>0</v>
      </c>
      <c r="O64" s="11"/>
      <c r="P64" s="7"/>
      <c r="Q64" s="2"/>
      <c r="R64" s="6">
        <f t="shared" si="41"/>
        <v>0</v>
      </c>
      <c r="S64" s="2"/>
      <c r="T64" s="7">
        <v>90.85</v>
      </c>
      <c r="U64" s="2"/>
      <c r="V64" s="6">
        <f t="shared" si="42"/>
        <v>5.8788308574622618E-4</v>
      </c>
      <c r="W64" s="2"/>
      <c r="X64" s="7">
        <f t="shared" si="43"/>
        <v>-90.85</v>
      </c>
      <c r="Y64" s="2"/>
      <c r="Z64" s="6">
        <f t="shared" si="44"/>
        <v>-1</v>
      </c>
    </row>
    <row r="65" spans="1:26" s="27" customFormat="1" outlineLevel="1" collapsed="1" x14ac:dyDescent="0.25">
      <c r="A65" s="29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SUM(OSRRefD22_13x_0)</f>
        <v>0</v>
      </c>
      <c r="E65" s="1"/>
      <c r="F65" s="5">
        <f t="shared" ref="F65:F68" si="45">IF(D$12=0,0,D65/D$12)</f>
        <v>0</v>
      </c>
      <c r="G65" s="1"/>
      <c r="H65" s="1">
        <f>SUM(OSRRefH22_13x_0)</f>
        <v>50</v>
      </c>
      <c r="I65" s="1"/>
      <c r="J65" s="5">
        <f t="shared" ref="J65:J68" si="46">IF(H$12=0,0,H65/H$12)</f>
        <v>5.1905190394466996E-4</v>
      </c>
      <c r="K65" s="1"/>
      <c r="L65" s="1">
        <f t="shared" ref="L65:L68" si="47">+D65-H65</f>
        <v>-50</v>
      </c>
      <c r="M65" s="1"/>
      <c r="N65" s="5">
        <f t="shared" ref="N65:N68" si="48">IF(H65=0,0,L65/H65)</f>
        <v>-1</v>
      </c>
      <c r="O65" s="14"/>
      <c r="P65" s="1">
        <f>SUM(OSRRefP22_13x_0)</f>
        <v>0</v>
      </c>
      <c r="Q65" s="1"/>
      <c r="R65" s="5">
        <f t="shared" ref="R65:R68" si="49">IF(P$12=0,0,P65/P$12)</f>
        <v>0</v>
      </c>
      <c r="S65" s="1"/>
      <c r="T65" s="1">
        <f>SUM(OSRRefT22_13x_0)</f>
        <v>-45</v>
      </c>
      <c r="U65" s="1"/>
      <c r="V65" s="5">
        <f t="shared" ref="V65:V68" si="50">IF(T$12=0,0,T65/T$12)</f>
        <v>-2.9119140185558808E-4</v>
      </c>
      <c r="W65" s="1"/>
      <c r="X65" s="1">
        <f t="shared" ref="X65:X68" si="51">+P65-T65</f>
        <v>45</v>
      </c>
      <c r="Y65" s="1"/>
      <c r="Z65" s="5">
        <f t="shared" ref="Z65:Z68" si="52">IF(T65=0,0,X65/T65)</f>
        <v>-1</v>
      </c>
    </row>
    <row r="66" spans="1:26" s="24" customFormat="1" hidden="1" outlineLevel="2" x14ac:dyDescent="0.25">
      <c r="A66" s="28"/>
      <c r="B66" s="11" t="str">
        <f>CONCATENATE("          ", "6309", " - ", "TELEPHONE")</f>
        <v xml:space="preserve">          6309 - TELEPHONE</v>
      </c>
      <c r="C66" s="11"/>
      <c r="D66" s="7"/>
      <c r="E66" s="2"/>
      <c r="F66" s="6">
        <f t="shared" si="45"/>
        <v>0</v>
      </c>
      <c r="G66" s="2"/>
      <c r="H66" s="7">
        <v>50</v>
      </c>
      <c r="I66" s="2"/>
      <c r="J66" s="6">
        <f t="shared" si="46"/>
        <v>5.1905190394466996E-4</v>
      </c>
      <c r="K66" s="2"/>
      <c r="L66" s="7">
        <f t="shared" si="47"/>
        <v>-50</v>
      </c>
      <c r="M66" s="2"/>
      <c r="N66" s="6">
        <f t="shared" si="48"/>
        <v>-1</v>
      </c>
      <c r="O66" s="11"/>
      <c r="P66" s="7"/>
      <c r="Q66" s="2"/>
      <c r="R66" s="6">
        <f t="shared" si="49"/>
        <v>0</v>
      </c>
      <c r="S66" s="2"/>
      <c r="T66" s="7">
        <v>-45</v>
      </c>
      <c r="U66" s="2"/>
      <c r="V66" s="6">
        <f t="shared" si="50"/>
        <v>-2.9119140185558808E-4</v>
      </c>
      <c r="W66" s="2"/>
      <c r="X66" s="7">
        <f t="shared" si="51"/>
        <v>45</v>
      </c>
      <c r="Y66" s="2"/>
      <c r="Z66" s="6">
        <f t="shared" si="52"/>
        <v>-1</v>
      </c>
    </row>
    <row r="67" spans="1:26" s="27" customFormat="1" outlineLevel="1" collapsed="1" x14ac:dyDescent="0.25">
      <c r="A67" s="29"/>
      <c r="B67" s="14" t="str">
        <f>CONCATENATE("     ","Training                                          ")</f>
        <v xml:space="preserve">     Training                                          </v>
      </c>
      <c r="C67" s="14"/>
      <c r="D67" s="1">
        <f>SUM(OSRRefD22_14x_0)</f>
        <v>0</v>
      </c>
      <c r="E67" s="1"/>
      <c r="F67" s="5">
        <f t="shared" si="45"/>
        <v>0</v>
      </c>
      <c r="G67" s="1"/>
      <c r="H67" s="1">
        <f>SUM(OSRRefH22_14x_0)</f>
        <v>96</v>
      </c>
      <c r="I67" s="1"/>
      <c r="J67" s="5">
        <f t="shared" si="46"/>
        <v>9.9657965557376632E-4</v>
      </c>
      <c r="K67" s="1"/>
      <c r="L67" s="1">
        <f t="shared" si="47"/>
        <v>-96</v>
      </c>
      <c r="M67" s="1"/>
      <c r="N67" s="5">
        <f t="shared" si="48"/>
        <v>-1</v>
      </c>
      <c r="O67" s="14"/>
      <c r="P67" s="1">
        <f>SUM(OSRRefP22_14x_0)</f>
        <v>0</v>
      </c>
      <c r="Q67" s="1"/>
      <c r="R67" s="5">
        <f t="shared" si="49"/>
        <v>0</v>
      </c>
      <c r="S67" s="1"/>
      <c r="T67" s="1">
        <f>SUM(OSRRefT22_14x_0)</f>
        <v>96</v>
      </c>
      <c r="U67" s="1"/>
      <c r="V67" s="5">
        <f t="shared" si="50"/>
        <v>6.2120832395858798E-4</v>
      </c>
      <c r="W67" s="1"/>
      <c r="X67" s="1">
        <f t="shared" si="51"/>
        <v>-96</v>
      </c>
      <c r="Y67" s="1"/>
      <c r="Z67" s="5">
        <f t="shared" si="52"/>
        <v>-1</v>
      </c>
    </row>
    <row r="68" spans="1:26" s="24" customFormat="1" hidden="1" outlineLevel="2" x14ac:dyDescent="0.25">
      <c r="A68" s="28"/>
      <c r="B68" s="11" t="str">
        <f>CONCATENATE("          ", "6376", " - ", "TRAINING")</f>
        <v xml:space="preserve">          6376 - TRAINING</v>
      </c>
      <c r="C68" s="11"/>
      <c r="D68" s="7"/>
      <c r="E68" s="2"/>
      <c r="F68" s="6">
        <f t="shared" si="45"/>
        <v>0</v>
      </c>
      <c r="G68" s="2"/>
      <c r="H68" s="7">
        <v>96</v>
      </c>
      <c r="I68" s="2"/>
      <c r="J68" s="6">
        <f t="shared" si="46"/>
        <v>9.9657965557376632E-4</v>
      </c>
      <c r="K68" s="2"/>
      <c r="L68" s="7">
        <f t="shared" si="47"/>
        <v>-96</v>
      </c>
      <c r="M68" s="2"/>
      <c r="N68" s="6">
        <f t="shared" si="48"/>
        <v>-1</v>
      </c>
      <c r="O68" s="11"/>
      <c r="P68" s="7"/>
      <c r="Q68" s="2"/>
      <c r="R68" s="6">
        <f t="shared" si="49"/>
        <v>0</v>
      </c>
      <c r="S68" s="2"/>
      <c r="T68" s="7">
        <v>96</v>
      </c>
      <c r="U68" s="2"/>
      <c r="V68" s="6">
        <f t="shared" si="50"/>
        <v>6.2120832395858798E-4</v>
      </c>
      <c r="W68" s="2"/>
      <c r="X68" s="7">
        <f t="shared" si="51"/>
        <v>-96</v>
      </c>
      <c r="Y68" s="2"/>
      <c r="Z68" s="6">
        <f t="shared" si="52"/>
        <v>-1</v>
      </c>
    </row>
    <row r="69" spans="1:26" s="60" customFormat="1" x14ac:dyDescent="0.25">
      <c r="A69" s="37"/>
      <c r="B69" s="37"/>
      <c r="C69" s="37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6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5" t="s">
        <v>3</v>
      </c>
      <c r="C72" s="25"/>
      <c r="D72" s="22">
        <f>+D20-D22+D70</f>
        <v>-2251.14</v>
      </c>
      <c r="E72" s="13"/>
      <c r="F72" s="21">
        <f>IF(D$12=0,0,D72/D$12)</f>
        <v>0</v>
      </c>
      <c r="G72" s="13"/>
      <c r="H72" s="22">
        <f>+H20-H22+H70</f>
        <v>15289.829999999994</v>
      </c>
      <c r="I72" s="13"/>
      <c r="J72" s="21">
        <f>IF(H$12=0,0,H72/H$12)</f>
        <v>0.15872430744980659</v>
      </c>
      <c r="K72" s="15"/>
      <c r="L72" s="22">
        <f>+D72-H72</f>
        <v>-17540.969999999994</v>
      </c>
      <c r="M72" s="15"/>
      <c r="N72" s="21">
        <f>IF(H72=0,0,L72/H72)</f>
        <v>-1.1472311987772263</v>
      </c>
      <c r="O72" s="26"/>
      <c r="P72" s="22">
        <f>+P20-P22+P70</f>
        <v>-5822.63</v>
      </c>
      <c r="Q72" s="13"/>
      <c r="R72" s="21">
        <f>IF(P$12=0,0,P72/P$12)</f>
        <v>-5.9724795109292144</v>
      </c>
      <c r="S72" s="13"/>
      <c r="T72" s="22">
        <f>+T20-T22+T70</f>
        <v>936.40999999998894</v>
      </c>
      <c r="U72" s="13"/>
      <c r="V72" s="21">
        <f>IF(T$12=0,0,T72/T$12)</f>
        <v>6.0594342358130668E-3</v>
      </c>
      <c r="W72" s="15"/>
      <c r="X72" s="22">
        <f>+P72-T72</f>
        <v>-6759.039999999989</v>
      </c>
      <c r="Y72" s="15"/>
      <c r="Z72" s="21">
        <f>IF(T72=0,0,X72/T72)</f>
        <v>-7.2180348351684289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>
        <v>16.010000000000002</v>
      </c>
      <c r="E74" s="4"/>
      <c r="F74" s="12">
        <f>IF(D$12=0,0,D74/D$12)</f>
        <v>0</v>
      </c>
      <c r="G74" s="4"/>
      <c r="H74" s="4">
        <v>9341.9</v>
      </c>
      <c r="I74" s="4"/>
      <c r="J74" s="12">
        <f>IF(H$12=0,0,H74/H$12)</f>
        <v>9.6978619629214238E-2</v>
      </c>
      <c r="K74" s="4"/>
      <c r="L74" s="4">
        <f>+D74-H74</f>
        <v>-9325.89</v>
      </c>
      <c r="M74" s="4"/>
      <c r="N74" s="12">
        <f>IF(H74=0,0,L74/H74)</f>
        <v>-0.99828621586615141</v>
      </c>
      <c r="O74" s="10"/>
      <c r="P74" s="4">
        <v>180.61</v>
      </c>
      <c r="Q74" s="4"/>
      <c r="R74" s="12">
        <f>IF(P$12=0,0,P74/P$12)</f>
        <v>0.18525812639115408</v>
      </c>
      <c r="S74" s="4"/>
      <c r="T74" s="4">
        <v>16599.38</v>
      </c>
      <c r="U74" s="4"/>
      <c r="V74" s="12">
        <f>IF(T$12=0,0,T74/T$12)</f>
        <v>0.10741326071408026</v>
      </c>
      <c r="W74" s="4"/>
      <c r="X74" s="4">
        <f>+P74-T74</f>
        <v>-16418.77</v>
      </c>
      <c r="Y74" s="4"/>
      <c r="Z74" s="12">
        <f>IF(T74=0,0,X74/T74)</f>
        <v>-0.98911947313694848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5" t="s">
        <v>4</v>
      </c>
      <c r="C76" s="25"/>
      <c r="D76" s="33">
        <f>+D72-D74</f>
        <v>-2267.15</v>
      </c>
      <c r="E76" s="13"/>
      <c r="F76" s="32">
        <f>IF(D$12=0,0,D76/D$12)</f>
        <v>0</v>
      </c>
      <c r="G76" s="13"/>
      <c r="H76" s="33">
        <f>+H72-H74</f>
        <v>5947.9299999999948</v>
      </c>
      <c r="I76" s="13"/>
      <c r="J76" s="32">
        <f>IF(H$12=0,0,H76/H$12)</f>
        <v>6.1745687820592358E-2</v>
      </c>
      <c r="K76" s="15"/>
      <c r="L76" s="33">
        <f>D76-H76</f>
        <v>-8215.0799999999945</v>
      </c>
      <c r="M76" s="15"/>
      <c r="N76" s="32">
        <f>IF(H76=0,0,L76/H76)</f>
        <v>-1.3811662208533055</v>
      </c>
      <c r="O76" s="26"/>
      <c r="P76" s="33">
        <f>+P72-P74</f>
        <v>-6003.24</v>
      </c>
      <c r="Q76" s="13"/>
      <c r="R76" s="32">
        <f>IF(P$12=0,0,P76/P$12)</f>
        <v>-6.1577376373203681</v>
      </c>
      <c r="S76" s="13"/>
      <c r="T76" s="33">
        <f>+T72-T74</f>
        <v>-15662.970000000012</v>
      </c>
      <c r="U76" s="13"/>
      <c r="V76" s="32">
        <f>IF(T$12=0,0,T76/T$12)</f>
        <v>-0.1013538264782672</v>
      </c>
      <c r="W76" s="15"/>
      <c r="X76" s="33">
        <f>P76-T76</f>
        <v>9659.7300000000123</v>
      </c>
      <c r="Y76" s="15"/>
      <c r="Z76" s="32">
        <f>IF(T76=0,0,X76/T76)</f>
        <v>-0.6167240312661012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5</v>
      </c>
      <c r="C79" s="25"/>
      <c r="D79" s="34">
        <f>SUM(D76:D78)</f>
        <v>-2267.15</v>
      </c>
      <c r="E79" s="13"/>
      <c r="F79" s="31">
        <f>IF(D$12=0,0,D79/D$12)</f>
        <v>0</v>
      </c>
      <c r="G79" s="13"/>
      <c r="H79" s="34">
        <f>SUM(H76:H78)</f>
        <v>5947.9299999999948</v>
      </c>
      <c r="I79" s="13"/>
      <c r="J79" s="31">
        <f>IF(H$12=0,0,H79/H$12)</f>
        <v>6.1745687820592358E-2</v>
      </c>
      <c r="K79" s="15"/>
      <c r="L79" s="34">
        <f>+D79-H79</f>
        <v>-8215.0799999999945</v>
      </c>
      <c r="M79" s="15"/>
      <c r="N79" s="31">
        <f>IF(H79=0,0,L79/H79)</f>
        <v>-1.3811662208533055</v>
      </c>
      <c r="O79" s="26"/>
      <c r="P79" s="34">
        <f>SUM(P76:P78)</f>
        <v>-6003.24</v>
      </c>
      <c r="Q79" s="13"/>
      <c r="R79" s="31">
        <f>IF(P$12=0,0,P79/P$12)</f>
        <v>-6.1577376373203681</v>
      </c>
      <c r="S79" s="13"/>
      <c r="T79" s="34">
        <f>SUM(T76:T78)</f>
        <v>-15662.970000000012</v>
      </c>
      <c r="U79" s="13"/>
      <c r="V79" s="31">
        <f>IF(T$12=0,0,T79/T$12)</f>
        <v>-0.1013538264782672</v>
      </c>
      <c r="W79" s="15"/>
      <c r="X79" s="34">
        <f>+P79-T79</f>
        <v>9659.7300000000123</v>
      </c>
      <c r="Y79" s="15"/>
      <c r="Z79" s="31">
        <f>IF(T79=0,0,X79/T79)</f>
        <v>-0.6167240312661012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2"/>
      <c r="K80" s="18"/>
      <c r="L80" s="18"/>
      <c r="M80" s="18"/>
      <c r="P80" s="18"/>
      <c r="Q80" s="18"/>
      <c r="R80" s="42"/>
      <c r="S80" s="18"/>
      <c r="T80" s="18"/>
      <c r="U80" s="18"/>
      <c r="V80" s="42"/>
      <c r="W80" s="18"/>
      <c r="X80" s="18"/>
    </row>
    <row r="81" spans="1:24" x14ac:dyDescent="0.25">
      <c r="A81" s="9"/>
      <c r="B81" s="54">
        <v>44123.565636724539</v>
      </c>
      <c r="D81" s="18"/>
      <c r="E81" s="18"/>
      <c r="G81" s="18"/>
      <c r="H81" s="18"/>
      <c r="I81" s="18"/>
      <c r="J81" s="42"/>
      <c r="K81" s="18"/>
      <c r="L81" s="18"/>
      <c r="M81" s="18"/>
      <c r="P81" s="18"/>
      <c r="Q81" s="18"/>
      <c r="R81" s="42"/>
      <c r="S81" s="18"/>
      <c r="T81" s="18"/>
      <c r="U81" s="18"/>
      <c r="V81" s="42"/>
      <c r="W81" s="18"/>
      <c r="X81" s="18"/>
    </row>
    <row r="82" spans="1:24" x14ac:dyDescent="0.25">
      <c r="A82" s="9"/>
      <c r="B82" s="59" t="s">
        <v>313</v>
      </c>
      <c r="D82" s="18"/>
      <c r="E82" s="18"/>
      <c r="G82" s="18"/>
      <c r="H82" s="18"/>
      <c r="I82" s="18"/>
      <c r="J82" s="42"/>
      <c r="K82" s="18"/>
      <c r="L82" s="18"/>
      <c r="M82" s="18"/>
      <c r="P82" s="18"/>
      <c r="Q82" s="18"/>
      <c r="R82" s="42"/>
      <c r="S82" s="18"/>
      <c r="T82" s="18"/>
      <c r="U82" s="18"/>
      <c r="V82" s="42"/>
      <c r="W82" s="18"/>
      <c r="X82" s="18"/>
    </row>
    <row r="83" spans="1:24" x14ac:dyDescent="0.25">
      <c r="A83" s="9"/>
      <c r="B83" s="58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4" x14ac:dyDescent="0.25"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8677.65</v>
      </c>
      <c r="E12" s="4"/>
      <c r="F12" s="12"/>
      <c r="G12" s="4"/>
      <c r="H12" s="4">
        <f>SUM(OSRRefH13x_0)</f>
        <v>105265.63999999998</v>
      </c>
      <c r="I12" s="4"/>
      <c r="J12" s="12"/>
      <c r="K12" s="4"/>
      <c r="L12" s="4">
        <f t="shared" ref="L12:L14" si="0">+D12-H12</f>
        <v>-96587.989999999991</v>
      </c>
      <c r="M12" s="4"/>
      <c r="N12" s="12">
        <f t="shared" ref="N12:N14" si="1">IF(H12=0,0,L12/H12)</f>
        <v>-0.9175642688345409</v>
      </c>
      <c r="O12" s="10"/>
      <c r="P12" s="4">
        <f>SUM(OSRRefP13x_0)</f>
        <v>13396.59</v>
      </c>
      <c r="Q12" s="4"/>
      <c r="R12" s="12"/>
      <c r="S12" s="4"/>
      <c r="T12" s="4">
        <f>SUM(OSRRefT13x_0)</f>
        <v>173060.99</v>
      </c>
      <c r="U12" s="4"/>
      <c r="V12" s="12"/>
      <c r="W12" s="4"/>
      <c r="X12" s="4">
        <f t="shared" ref="X12:X14" si="2">+P12-T12</f>
        <v>-159664.4</v>
      </c>
      <c r="Y12" s="4"/>
      <c r="Z12" s="12">
        <f t="shared" ref="Z12:Z14" si="3">IF(T12=0,0,X12/T12)</f>
        <v>-0.92259035383999599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--4141.96</f>
        <v>4141.96</v>
      </c>
      <c r="E13" s="2"/>
      <c r="F13" s="19"/>
      <c r="G13" s="2"/>
      <c r="H13" s="2">
        <f>--30450.21</f>
        <v>30450.21</v>
      </c>
      <c r="I13" s="2"/>
      <c r="J13" s="19"/>
      <c r="K13" s="2"/>
      <c r="L13" s="2">
        <f t="shared" si="0"/>
        <v>-26308.25</v>
      </c>
      <c r="M13" s="2"/>
      <c r="N13" s="19">
        <f t="shared" si="1"/>
        <v>-0.86397597914759872</v>
      </c>
      <c r="O13" s="11"/>
      <c r="P13" s="2">
        <f>--6652.68</f>
        <v>6652.68</v>
      </c>
      <c r="Q13" s="2"/>
      <c r="R13" s="19"/>
      <c r="S13" s="2"/>
      <c r="T13" s="2">
        <f>--56880.05</f>
        <v>56880.05</v>
      </c>
      <c r="U13" s="2"/>
      <c r="V13" s="19"/>
      <c r="W13" s="2"/>
      <c r="X13" s="2">
        <f t="shared" si="2"/>
        <v>-50227.37</v>
      </c>
      <c r="Y13" s="2"/>
      <c r="Z13" s="19">
        <f t="shared" si="3"/>
        <v>-0.88304018720096067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--4535.69</f>
        <v>4535.6899999999996</v>
      </c>
      <c r="E14" s="2"/>
      <c r="F14" s="19"/>
      <c r="G14" s="2"/>
      <c r="H14" s="2">
        <f>--74815.43</f>
        <v>74815.429999999993</v>
      </c>
      <c r="I14" s="2"/>
      <c r="J14" s="19"/>
      <c r="K14" s="2"/>
      <c r="L14" s="2">
        <f t="shared" si="0"/>
        <v>-70279.739999999991</v>
      </c>
      <c r="M14" s="2"/>
      <c r="N14" s="19">
        <f t="shared" si="1"/>
        <v>-0.93937493910012948</v>
      </c>
      <c r="O14" s="11"/>
      <c r="P14" s="2">
        <f>--6743.91</f>
        <v>6743.91</v>
      </c>
      <c r="Q14" s="2"/>
      <c r="R14" s="19"/>
      <c r="S14" s="2"/>
      <c r="T14" s="2">
        <f>--116180.94</f>
        <v>116180.94</v>
      </c>
      <c r="U14" s="2"/>
      <c r="V14" s="19"/>
      <c r="W14" s="2"/>
      <c r="X14" s="2">
        <f t="shared" si="2"/>
        <v>-109437.03</v>
      </c>
      <c r="Y14" s="2"/>
      <c r="Z14" s="19">
        <f t="shared" si="3"/>
        <v>-0.94195338753499491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1770.46</v>
      </c>
      <c r="E16" s="4"/>
      <c r="F16" s="12">
        <f t="shared" ref="F16:F18" si="4">IF(D$12=0,0,D16/D$12)</f>
        <v>0.20402528334284054</v>
      </c>
      <c r="G16" s="4"/>
      <c r="H16" s="4">
        <f>SUM(OSRRefH16x_0)</f>
        <v>38790.519999999997</v>
      </c>
      <c r="I16" s="4"/>
      <c r="J16" s="12">
        <f t="shared" ref="J16:J18" si="5">IF(H$12=0,0,H16/H$12)</f>
        <v>0.36850125074050755</v>
      </c>
      <c r="K16" s="4"/>
      <c r="L16" s="4">
        <f t="shared" ref="L16:L18" si="6">+D16-H16</f>
        <v>-37020.06</v>
      </c>
      <c r="M16" s="4"/>
      <c r="N16" s="12">
        <f t="shared" ref="N16:N18" si="7">IF(H16=0,0,L16/H16)</f>
        <v>-0.95435843603024662</v>
      </c>
      <c r="O16" s="10"/>
      <c r="P16" s="4">
        <f>SUM(OSRRefP16x_0)</f>
        <v>6016.4</v>
      </c>
      <c r="Q16" s="4"/>
      <c r="R16" s="12">
        <f t="shared" ref="R16:R18" si="8">IF(P$12=0,0,P16/P$12)</f>
        <v>0.4490993603596139</v>
      </c>
      <c r="S16" s="4"/>
      <c r="T16" s="4">
        <f>SUM(OSRRefT16x_0)</f>
        <v>61432.800000000003</v>
      </c>
      <c r="U16" s="4"/>
      <c r="V16" s="12">
        <f t="shared" ref="V16:V18" si="9">IF(T$12=0,0,T16/T$12)</f>
        <v>0.35497774512904384</v>
      </c>
      <c r="W16" s="4"/>
      <c r="X16" s="4">
        <f t="shared" ref="X16:X18" si="10">+P16-T16</f>
        <v>-55416.4</v>
      </c>
      <c r="Y16" s="4"/>
      <c r="Z16" s="12">
        <f t="shared" ref="Z16:Z18" si="11">IF(T16=0,0,X16/T16)</f>
        <v>-0.90206534619942436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1229.4000000000001</v>
      </c>
      <c r="E17" s="2"/>
      <c r="F17" s="19">
        <f t="shared" si="4"/>
        <v>0.14167430122210509</v>
      </c>
      <c r="G17" s="2"/>
      <c r="H17" s="2">
        <v>33793.519999999997</v>
      </c>
      <c r="I17" s="2"/>
      <c r="J17" s="19">
        <f t="shared" si="5"/>
        <v>0.32103087009208325</v>
      </c>
      <c r="K17" s="2"/>
      <c r="L17" s="2">
        <f t="shared" si="6"/>
        <v>-32564.119999999995</v>
      </c>
      <c r="M17" s="2"/>
      <c r="N17" s="19">
        <f t="shared" si="7"/>
        <v>-0.96362024435453897</v>
      </c>
      <c r="O17" s="11"/>
      <c r="P17" s="2">
        <v>5430.34</v>
      </c>
      <c r="Q17" s="2"/>
      <c r="R17" s="19">
        <f t="shared" si="8"/>
        <v>0.40535240684383117</v>
      </c>
      <c r="S17" s="2"/>
      <c r="T17" s="2">
        <v>58017.8</v>
      </c>
      <c r="U17" s="2"/>
      <c r="V17" s="19">
        <f t="shared" si="9"/>
        <v>0.33524481744846141</v>
      </c>
      <c r="W17" s="2"/>
      <c r="X17" s="2">
        <f t="shared" si="10"/>
        <v>-52587.460000000006</v>
      </c>
      <c r="Y17" s="2"/>
      <c r="Z17" s="19">
        <f t="shared" si="11"/>
        <v>-0.90640217312617855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541.05999999999995</v>
      </c>
      <c r="E18" s="2"/>
      <c r="F18" s="19">
        <f t="shared" si="4"/>
        <v>6.2350982120735449E-2</v>
      </c>
      <c r="G18" s="2"/>
      <c r="H18" s="2">
        <v>4997</v>
      </c>
      <c r="I18" s="2"/>
      <c r="J18" s="19">
        <f t="shared" si="5"/>
        <v>4.7470380648424314E-2</v>
      </c>
      <c r="K18" s="2"/>
      <c r="L18" s="2">
        <f t="shared" si="6"/>
        <v>-4455.9400000000005</v>
      </c>
      <c r="M18" s="2"/>
      <c r="N18" s="19">
        <f t="shared" si="7"/>
        <v>-0.89172303382029228</v>
      </c>
      <c r="O18" s="11"/>
      <c r="P18" s="2">
        <v>586.05999999999995</v>
      </c>
      <c r="Q18" s="2"/>
      <c r="R18" s="19">
        <f t="shared" si="8"/>
        <v>4.3746953515782741E-2</v>
      </c>
      <c r="S18" s="2"/>
      <c r="T18" s="2">
        <v>3415</v>
      </c>
      <c r="U18" s="2"/>
      <c r="V18" s="19">
        <f t="shared" si="9"/>
        <v>1.9732927680582435E-2</v>
      </c>
      <c r="W18" s="2"/>
      <c r="X18" s="2">
        <f t="shared" si="10"/>
        <v>-2828.94</v>
      </c>
      <c r="Y18" s="2"/>
      <c r="Z18" s="19">
        <f t="shared" si="11"/>
        <v>-0.82838653001464135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6907.19</v>
      </c>
      <c r="E20" s="13"/>
      <c r="F20" s="21">
        <f>IF(D$12=0,0,D20/D$12)</f>
        <v>0.79597471665715946</v>
      </c>
      <c r="G20" s="13"/>
      <c r="H20" s="22">
        <f>H12-H16</f>
        <v>66475.12</v>
      </c>
      <c r="I20" s="13"/>
      <c r="J20" s="21">
        <f>IF(H$12=0,0,H20/H$12)</f>
        <v>0.63149874925949245</v>
      </c>
      <c r="K20" s="15"/>
      <c r="L20" s="22">
        <f>+D20-H20</f>
        <v>-59567.929999999993</v>
      </c>
      <c r="M20" s="15"/>
      <c r="N20" s="21">
        <f>IF(H20=0,0,L20/H20)</f>
        <v>-0.89609360614918776</v>
      </c>
      <c r="O20" s="26"/>
      <c r="P20" s="22">
        <f>P12-P16</f>
        <v>7380.1900000000005</v>
      </c>
      <c r="Q20" s="13"/>
      <c r="R20" s="21">
        <f>IF(P$12=0,0,P20/P$12)</f>
        <v>0.55090063964038616</v>
      </c>
      <c r="S20" s="13"/>
      <c r="T20" s="22">
        <f>T12-T16</f>
        <v>111628.18999999999</v>
      </c>
      <c r="U20" s="13"/>
      <c r="V20" s="21">
        <f>IF(T$12=0,0,T20/T$12)</f>
        <v>0.6450222548709561</v>
      </c>
      <c r="W20" s="15"/>
      <c r="X20" s="22">
        <f>+P20-T20</f>
        <v>-104247.99999999999</v>
      </c>
      <c r="Y20" s="15"/>
      <c r="Z20" s="21">
        <f>IF(T20=0,0,X20/T20)</f>
        <v>-0.93388596554329151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65605.72</v>
      </c>
      <c r="E22" s="20"/>
      <c r="F22" s="36">
        <f t="shared" ref="F22:F31" si="12">IF(D$12=0,0,D22/D$12)</f>
        <v>7.5603095308061521</v>
      </c>
      <c r="G22" s="20"/>
      <c r="H22" s="20">
        <f>SUM(OSRRefH22x_0)</f>
        <v>70957.510000000009</v>
      </c>
      <c r="I22" s="20"/>
      <c r="J22" s="36">
        <f t="shared" ref="J22:J31" si="13">IF(H$12=0,0,H22/H$12)</f>
        <v>0.6740804501829849</v>
      </c>
      <c r="K22" s="4"/>
      <c r="L22" s="20">
        <f t="shared" ref="L22:L31" si="14">+D22-H22</f>
        <v>-5351.7900000000081</v>
      </c>
      <c r="M22" s="4"/>
      <c r="N22" s="36">
        <f t="shared" ref="N22:N31" si="15">IF(H22=0,0,L22/H22)</f>
        <v>-7.5422460568303581E-2</v>
      </c>
      <c r="O22" s="10"/>
      <c r="P22" s="20">
        <f>SUM(OSRRefP22x_0)</f>
        <v>190044.42999999996</v>
      </c>
      <c r="Q22" s="20"/>
      <c r="R22" s="36">
        <f t="shared" ref="R22:R31" si="16">IF(P$12=0,0,P22/P$12)</f>
        <v>14.186030176335915</v>
      </c>
      <c r="S22" s="20"/>
      <c r="T22" s="20">
        <f>SUM(OSRRefT22x_0)</f>
        <v>196969.86000000002</v>
      </c>
      <c r="U22" s="20"/>
      <c r="V22" s="36">
        <f t="shared" ref="V22:V31" si="17">IF(T$12=0,0,T22/T$12)</f>
        <v>1.1381528558226786</v>
      </c>
      <c r="W22" s="4"/>
      <c r="X22" s="20">
        <f t="shared" ref="X22:X31" si="18">+P22-T22</f>
        <v>-6925.4300000000512</v>
      </c>
      <c r="Y22" s="4"/>
      <c r="Z22" s="36">
        <f t="shared" ref="Z22:Z31" si="19">IF(T22=0,0,X22/T22)</f>
        <v>-3.5159846283081331E-2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15801.559999999998</v>
      </c>
      <c r="E23" s="1"/>
      <c r="F23" s="5">
        <f t="shared" si="12"/>
        <v>1.8209492201229593</v>
      </c>
      <c r="G23" s="1"/>
      <c r="H23" s="1">
        <f>SUM(OSRRefH22_0x_0)</f>
        <v>7531.1500000000015</v>
      </c>
      <c r="I23" s="1"/>
      <c r="J23" s="5">
        <f t="shared" si="13"/>
        <v>7.1544237986868292E-2</v>
      </c>
      <c r="K23" s="1"/>
      <c r="L23" s="1">
        <f t="shared" si="14"/>
        <v>8270.4099999999962</v>
      </c>
      <c r="M23" s="1"/>
      <c r="N23" s="5">
        <f t="shared" si="15"/>
        <v>1.0981603075227548</v>
      </c>
      <c r="O23" s="14"/>
      <c r="P23" s="1">
        <f>SUM(OSRRefP22_0x_0)</f>
        <v>39194.49</v>
      </c>
      <c r="Q23" s="1"/>
      <c r="R23" s="5">
        <f t="shared" si="16"/>
        <v>2.9257064670934914</v>
      </c>
      <c r="S23" s="1"/>
      <c r="T23" s="1">
        <f>SUM(OSRRefT22_0x_0)</f>
        <v>26234.91</v>
      </c>
      <c r="U23" s="1"/>
      <c r="V23" s="5">
        <f t="shared" si="17"/>
        <v>0.15159343535478448</v>
      </c>
      <c r="W23" s="1"/>
      <c r="X23" s="1">
        <f t="shared" si="18"/>
        <v>12959.579999999998</v>
      </c>
      <c r="Y23" s="1"/>
      <c r="Z23" s="5">
        <f t="shared" si="19"/>
        <v>0.49398225494198372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>
        <v>1519.52</v>
      </c>
      <c r="E24" s="2"/>
      <c r="F24" s="6">
        <f t="shared" si="12"/>
        <v>0.17510731592078502</v>
      </c>
      <c r="G24" s="2"/>
      <c r="H24" s="7">
        <v>1303.67</v>
      </c>
      <c r="I24" s="2"/>
      <c r="J24" s="6">
        <f t="shared" si="13"/>
        <v>1.2384572971769328E-2</v>
      </c>
      <c r="K24" s="2"/>
      <c r="L24" s="7">
        <f t="shared" si="14"/>
        <v>215.84999999999991</v>
      </c>
      <c r="M24" s="2"/>
      <c r="N24" s="6">
        <f t="shared" si="15"/>
        <v>0.16557104175136339</v>
      </c>
      <c r="O24" s="11"/>
      <c r="P24" s="7">
        <v>4123.41</v>
      </c>
      <c r="Q24" s="2"/>
      <c r="R24" s="6">
        <f t="shared" si="16"/>
        <v>0.3077954912406814</v>
      </c>
      <c r="S24" s="2"/>
      <c r="T24" s="7">
        <v>3811.65</v>
      </c>
      <c r="U24" s="2"/>
      <c r="V24" s="6">
        <f t="shared" si="17"/>
        <v>2.2024894229485226E-2</v>
      </c>
      <c r="W24" s="2"/>
      <c r="X24" s="7">
        <f t="shared" si="18"/>
        <v>311.75999999999976</v>
      </c>
      <c r="Y24" s="2"/>
      <c r="Z24" s="6">
        <f t="shared" si="19"/>
        <v>8.1791350202668076E-2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>
        <v>788.19</v>
      </c>
      <c r="E25" s="2"/>
      <c r="F25" s="6">
        <f t="shared" si="12"/>
        <v>9.0829890580975278E-2</v>
      </c>
      <c r="G25" s="2"/>
      <c r="H25" s="7">
        <v>1035.51</v>
      </c>
      <c r="I25" s="2"/>
      <c r="J25" s="6">
        <f t="shared" si="13"/>
        <v>9.837113040874498E-3</v>
      </c>
      <c r="K25" s="2"/>
      <c r="L25" s="7">
        <f t="shared" si="14"/>
        <v>-247.31999999999994</v>
      </c>
      <c r="M25" s="2"/>
      <c r="N25" s="6">
        <f t="shared" si="15"/>
        <v>-0.23883883303879241</v>
      </c>
      <c r="O25" s="11"/>
      <c r="P25" s="7">
        <v>1808.67</v>
      </c>
      <c r="Q25" s="2"/>
      <c r="R25" s="6">
        <f t="shared" si="16"/>
        <v>0.13500973008802986</v>
      </c>
      <c r="S25" s="2"/>
      <c r="T25" s="7">
        <v>2345.39</v>
      </c>
      <c r="U25" s="2"/>
      <c r="V25" s="6">
        <f t="shared" si="17"/>
        <v>1.3552389825113101E-2</v>
      </c>
      <c r="W25" s="2"/>
      <c r="X25" s="7">
        <f t="shared" si="18"/>
        <v>-536.7199999999998</v>
      </c>
      <c r="Y25" s="2"/>
      <c r="Z25" s="6">
        <f t="shared" si="19"/>
        <v>-0.22884040607319031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>
        <v>8711.43</v>
      </c>
      <c r="E26" s="2"/>
      <c r="F26" s="6">
        <f t="shared" si="12"/>
        <v>1.0038927589842872</v>
      </c>
      <c r="G26" s="2"/>
      <c r="H26" s="7">
        <v>3090.11</v>
      </c>
      <c r="I26" s="2"/>
      <c r="J26" s="6">
        <f t="shared" si="13"/>
        <v>2.9355352800780964E-2</v>
      </c>
      <c r="K26" s="2"/>
      <c r="L26" s="7">
        <f t="shared" si="14"/>
        <v>5621.32</v>
      </c>
      <c r="M26" s="2"/>
      <c r="N26" s="6">
        <f t="shared" si="15"/>
        <v>1.8191326522356808</v>
      </c>
      <c r="O26" s="11"/>
      <c r="P26" s="7">
        <v>20794.670000000002</v>
      </c>
      <c r="Q26" s="2"/>
      <c r="R26" s="6">
        <f t="shared" si="16"/>
        <v>1.5522360541003346</v>
      </c>
      <c r="S26" s="2"/>
      <c r="T26" s="7">
        <v>9270.33</v>
      </c>
      <c r="U26" s="2"/>
      <c r="V26" s="6">
        <f t="shared" si="17"/>
        <v>5.3566837910727312E-2</v>
      </c>
      <c r="W26" s="2"/>
      <c r="X26" s="7">
        <f t="shared" si="18"/>
        <v>11524.340000000002</v>
      </c>
      <c r="Y26" s="2"/>
      <c r="Z26" s="6">
        <f t="shared" si="19"/>
        <v>1.2431423692576211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>
        <v>62.52</v>
      </c>
      <c r="E27" s="2"/>
      <c r="F27" s="6">
        <f t="shared" si="12"/>
        <v>7.2047155623930449E-3</v>
      </c>
      <c r="G27" s="2"/>
      <c r="H27" s="7">
        <v>69.39</v>
      </c>
      <c r="I27" s="2"/>
      <c r="J27" s="6">
        <f t="shared" si="13"/>
        <v>6.591894563126202E-4</v>
      </c>
      <c r="K27" s="2"/>
      <c r="L27" s="7">
        <f t="shared" si="14"/>
        <v>-6.8699999999999974</v>
      </c>
      <c r="M27" s="2"/>
      <c r="N27" s="6">
        <f t="shared" si="15"/>
        <v>-9.9005620406398584E-2</v>
      </c>
      <c r="O27" s="11"/>
      <c r="P27" s="7">
        <v>166.18</v>
      </c>
      <c r="Q27" s="2"/>
      <c r="R27" s="6">
        <f t="shared" si="16"/>
        <v>1.2404649242829706E-2</v>
      </c>
      <c r="S27" s="2"/>
      <c r="T27" s="7">
        <v>157.16</v>
      </c>
      <c r="U27" s="2"/>
      <c r="V27" s="6">
        <f t="shared" si="17"/>
        <v>9.0811915498692107E-4</v>
      </c>
      <c r="W27" s="2"/>
      <c r="X27" s="7">
        <f t="shared" si="18"/>
        <v>9.0200000000000102</v>
      </c>
      <c r="Y27" s="2"/>
      <c r="Z27" s="6">
        <f t="shared" si="19"/>
        <v>5.7393738864851176E-2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>
        <v>1527.3</v>
      </c>
      <c r="E28" s="2"/>
      <c r="F28" s="6">
        <f t="shared" si="12"/>
        <v>0.1760038720160412</v>
      </c>
      <c r="G28" s="2"/>
      <c r="H28" s="7">
        <v>581.80999999999995</v>
      </c>
      <c r="I28" s="2"/>
      <c r="J28" s="6">
        <f t="shared" si="13"/>
        <v>5.5270646718150393E-3</v>
      </c>
      <c r="K28" s="2"/>
      <c r="L28" s="7">
        <f t="shared" si="14"/>
        <v>945.49</v>
      </c>
      <c r="M28" s="2"/>
      <c r="N28" s="6">
        <f t="shared" si="15"/>
        <v>1.6250837902408004</v>
      </c>
      <c r="O28" s="11"/>
      <c r="P28" s="7">
        <v>4139.8500000000004</v>
      </c>
      <c r="Q28" s="2"/>
      <c r="R28" s="6">
        <f t="shared" si="16"/>
        <v>0.30902266920164012</v>
      </c>
      <c r="S28" s="2"/>
      <c r="T28" s="7">
        <v>1745.43</v>
      </c>
      <c r="U28" s="2"/>
      <c r="V28" s="6">
        <f t="shared" si="17"/>
        <v>1.0085635127824013E-2</v>
      </c>
      <c r="W28" s="2"/>
      <c r="X28" s="7">
        <f t="shared" si="18"/>
        <v>2394.42</v>
      </c>
      <c r="Y28" s="2"/>
      <c r="Z28" s="6">
        <f t="shared" si="19"/>
        <v>1.3718224162527286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>
        <v>1539.3</v>
      </c>
      <c r="E29" s="2"/>
      <c r="F29" s="6">
        <f t="shared" si="12"/>
        <v>0.17738673488790169</v>
      </c>
      <c r="G29" s="2"/>
      <c r="H29" s="7">
        <v>714.17</v>
      </c>
      <c r="I29" s="2"/>
      <c r="J29" s="6">
        <f t="shared" si="13"/>
        <v>6.7844550225505691E-3</v>
      </c>
      <c r="K29" s="2"/>
      <c r="L29" s="7">
        <f t="shared" si="14"/>
        <v>825.13</v>
      </c>
      <c r="M29" s="2"/>
      <c r="N29" s="6">
        <f t="shared" si="15"/>
        <v>1.1553691698055086</v>
      </c>
      <c r="O29" s="11"/>
      <c r="P29" s="7">
        <v>3993.71</v>
      </c>
      <c r="Q29" s="2"/>
      <c r="R29" s="6">
        <f t="shared" si="16"/>
        <v>0.29811392302070899</v>
      </c>
      <c r="S29" s="2"/>
      <c r="T29" s="7">
        <v>3317.97</v>
      </c>
      <c r="U29" s="2"/>
      <c r="V29" s="6">
        <f t="shared" si="17"/>
        <v>1.9172258288826384E-2</v>
      </c>
      <c r="W29" s="2"/>
      <c r="X29" s="7">
        <f t="shared" si="18"/>
        <v>675.74000000000024</v>
      </c>
      <c r="Y29" s="2"/>
      <c r="Z29" s="6">
        <f t="shared" si="19"/>
        <v>0.20366067203742055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>
        <v>986.74</v>
      </c>
      <c r="E30" s="2"/>
      <c r="F30" s="6">
        <f t="shared" si="12"/>
        <v>0.11371050918163328</v>
      </c>
      <c r="G30" s="2"/>
      <c r="H30" s="7">
        <v>392.9</v>
      </c>
      <c r="I30" s="2"/>
      <c r="J30" s="6">
        <f t="shared" si="13"/>
        <v>3.7324619885463102E-3</v>
      </c>
      <c r="K30" s="2"/>
      <c r="L30" s="7">
        <f t="shared" si="14"/>
        <v>593.84</v>
      </c>
      <c r="M30" s="2"/>
      <c r="N30" s="6">
        <f t="shared" si="15"/>
        <v>1.5114278442351745</v>
      </c>
      <c r="O30" s="11"/>
      <c r="P30" s="7">
        <v>2583.2800000000002</v>
      </c>
      <c r="Q30" s="2"/>
      <c r="R30" s="6">
        <f t="shared" si="16"/>
        <v>0.19283116076553811</v>
      </c>
      <c r="S30" s="2"/>
      <c r="T30" s="7">
        <v>4621.63</v>
      </c>
      <c r="U30" s="2"/>
      <c r="V30" s="6">
        <f t="shared" si="17"/>
        <v>2.6705209533355843E-2</v>
      </c>
      <c r="W30" s="2"/>
      <c r="X30" s="7">
        <f t="shared" si="18"/>
        <v>-2038.35</v>
      </c>
      <c r="Y30" s="2"/>
      <c r="Z30" s="6">
        <f t="shared" si="19"/>
        <v>-0.44104569167155305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>
        <v>666.56</v>
      </c>
      <c r="E31" s="2"/>
      <c r="F31" s="6">
        <f t="shared" si="12"/>
        <v>7.681342298894285E-2</v>
      </c>
      <c r="G31" s="2"/>
      <c r="H31" s="7">
        <v>343.59</v>
      </c>
      <c r="I31" s="2"/>
      <c r="J31" s="6">
        <f t="shared" si="13"/>
        <v>3.2640280342189532E-3</v>
      </c>
      <c r="K31" s="2"/>
      <c r="L31" s="7">
        <f t="shared" si="14"/>
        <v>322.96999999999997</v>
      </c>
      <c r="M31" s="2"/>
      <c r="N31" s="6">
        <f t="shared" si="15"/>
        <v>0.93998661195028954</v>
      </c>
      <c r="O31" s="11"/>
      <c r="P31" s="7">
        <v>1584.72</v>
      </c>
      <c r="Q31" s="2"/>
      <c r="R31" s="6">
        <f t="shared" si="16"/>
        <v>0.11829278943372903</v>
      </c>
      <c r="S31" s="2"/>
      <c r="T31" s="7">
        <v>965.35</v>
      </c>
      <c r="U31" s="2"/>
      <c r="V31" s="6">
        <f t="shared" si="17"/>
        <v>5.5780912844656675E-3</v>
      </c>
      <c r="W31" s="2"/>
      <c r="X31" s="7">
        <f t="shared" si="18"/>
        <v>619.37</v>
      </c>
      <c r="Y31" s="2"/>
      <c r="Z31" s="6">
        <f t="shared" si="19"/>
        <v>0.64160149168695291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18949.330000000002</v>
      </c>
      <c r="E32" s="1"/>
      <c r="F32" s="5">
        <f t="shared" ref="F32:F37" si="20">IF(D$12=0,0,D32/D$12)</f>
        <v>2.1836937419693121</v>
      </c>
      <c r="G32" s="1"/>
      <c r="H32" s="1">
        <f>SUM(OSRRefH22_1x_0)</f>
        <v>26914.43</v>
      </c>
      <c r="I32" s="1"/>
      <c r="J32" s="5">
        <f t="shared" ref="J32:J37" si="21">IF(H$12=0,0,H32/H$12)</f>
        <v>0.25568105604069857</v>
      </c>
      <c r="K32" s="1"/>
      <c r="L32" s="1">
        <f t="shared" ref="L32:L37" si="22">+D32-H32</f>
        <v>-7965.0999999999985</v>
      </c>
      <c r="M32" s="1"/>
      <c r="N32" s="5">
        <f t="shared" ref="N32:N37" si="23">IF(H32=0,0,L32/H32)</f>
        <v>-0.29594161942125463</v>
      </c>
      <c r="O32" s="14"/>
      <c r="P32" s="1">
        <f>SUM(OSRRefP22_1x_0)</f>
        <v>55972.209999999992</v>
      </c>
      <c r="Q32" s="1"/>
      <c r="R32" s="5">
        <f t="shared" ref="R32:R37" si="24">IF(P$12=0,0,P32/P$12)</f>
        <v>4.178093828354827</v>
      </c>
      <c r="S32" s="1"/>
      <c r="T32" s="1">
        <f>SUM(OSRRefT22_1x_0)</f>
        <v>65479.59</v>
      </c>
      <c r="U32" s="1"/>
      <c r="V32" s="5">
        <f t="shared" ref="V32:V37" si="25">IF(T$12=0,0,T32/T$12)</f>
        <v>0.37836135110517977</v>
      </c>
      <c r="W32" s="1"/>
      <c r="X32" s="1">
        <f t="shared" ref="X32:X37" si="26">+P32-T32</f>
        <v>-9507.3800000000047</v>
      </c>
      <c r="Y32" s="1"/>
      <c r="Z32" s="5">
        <f t="shared" ref="Z32:Z37" si="27">IF(T32=0,0,X32/T32)</f>
        <v>-0.14519608323754021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>
        <v>15148.26</v>
      </c>
      <c r="E33" s="2"/>
      <c r="F33" s="6">
        <f t="shared" si="20"/>
        <v>1.7456638606074226</v>
      </c>
      <c r="G33" s="2"/>
      <c r="H33" s="7">
        <v>4838.4399999999996</v>
      </c>
      <c r="I33" s="2"/>
      <c r="J33" s="6">
        <f t="shared" si="21"/>
        <v>4.5964096166612393E-2</v>
      </c>
      <c r="K33" s="2"/>
      <c r="L33" s="7">
        <f t="shared" si="22"/>
        <v>10309.82</v>
      </c>
      <c r="M33" s="2"/>
      <c r="N33" s="6">
        <f t="shared" si="23"/>
        <v>2.1308148907499112</v>
      </c>
      <c r="O33" s="11"/>
      <c r="P33" s="7">
        <v>43020.84</v>
      </c>
      <c r="Q33" s="2"/>
      <c r="R33" s="6">
        <f t="shared" si="24"/>
        <v>3.2113276587549517</v>
      </c>
      <c r="S33" s="2"/>
      <c r="T33" s="7">
        <v>15511.710000000001</v>
      </c>
      <c r="U33" s="2"/>
      <c r="V33" s="6">
        <f t="shared" si="25"/>
        <v>8.9631464606784006E-2</v>
      </c>
      <c r="W33" s="2"/>
      <c r="X33" s="7">
        <f t="shared" si="26"/>
        <v>27509.129999999997</v>
      </c>
      <c r="Y33" s="2"/>
      <c r="Z33" s="6">
        <f t="shared" si="27"/>
        <v>1.7734427732338984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>
        <v>3115.4</v>
      </c>
      <c r="E34" s="2"/>
      <c r="F34" s="6">
        <f t="shared" si="20"/>
        <v>0.35901424924950881</v>
      </c>
      <c r="G34" s="2"/>
      <c r="H34" s="7">
        <v>3432.34</v>
      </c>
      <c r="I34" s="2"/>
      <c r="J34" s="6">
        <f t="shared" si="21"/>
        <v>3.2606461139646332E-2</v>
      </c>
      <c r="K34" s="2"/>
      <c r="L34" s="7">
        <f t="shared" si="22"/>
        <v>-316.94000000000005</v>
      </c>
      <c r="M34" s="2"/>
      <c r="N34" s="6">
        <f t="shared" si="23"/>
        <v>-9.2339337012067577E-2</v>
      </c>
      <c r="O34" s="11"/>
      <c r="P34" s="7">
        <v>10705.6</v>
      </c>
      <c r="Q34" s="2"/>
      <c r="R34" s="6">
        <f t="shared" si="24"/>
        <v>0.79912873350606384</v>
      </c>
      <c r="S34" s="2"/>
      <c r="T34" s="7">
        <v>9620.6299999999992</v>
      </c>
      <c r="U34" s="2"/>
      <c r="V34" s="6">
        <f t="shared" si="25"/>
        <v>5.5590979804287489E-2</v>
      </c>
      <c r="W34" s="2"/>
      <c r="X34" s="7">
        <f t="shared" si="26"/>
        <v>1084.9700000000012</v>
      </c>
      <c r="Y34" s="2"/>
      <c r="Z34" s="6">
        <f t="shared" si="27"/>
        <v>0.11277535878627504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>
        <v>1266.67</v>
      </c>
      <c r="E35" s="2"/>
      <c r="F35" s="6">
        <f t="shared" si="20"/>
        <v>0.14596924282495838</v>
      </c>
      <c r="G35" s="2"/>
      <c r="H35" s="7">
        <v>8316.7099999999991</v>
      </c>
      <c r="I35" s="2"/>
      <c r="J35" s="6">
        <f t="shared" si="21"/>
        <v>7.9006882017722019E-2</v>
      </c>
      <c r="K35" s="2"/>
      <c r="L35" s="7">
        <f t="shared" si="22"/>
        <v>-7050.0399999999991</v>
      </c>
      <c r="M35" s="2"/>
      <c r="N35" s="6">
        <f t="shared" si="23"/>
        <v>-0.84769578354902353</v>
      </c>
      <c r="O35" s="11"/>
      <c r="P35" s="7">
        <v>1421.77</v>
      </c>
      <c r="Q35" s="2"/>
      <c r="R35" s="6">
        <f t="shared" si="24"/>
        <v>0.10612924632313148</v>
      </c>
      <c r="S35" s="2"/>
      <c r="T35" s="7">
        <v>16313.809999999998</v>
      </c>
      <c r="U35" s="2"/>
      <c r="V35" s="6">
        <f t="shared" si="25"/>
        <v>9.4266246830091507E-2</v>
      </c>
      <c r="W35" s="2"/>
      <c r="X35" s="7">
        <f t="shared" si="26"/>
        <v>-14892.039999999997</v>
      </c>
      <c r="Y35" s="2"/>
      <c r="Z35" s="6">
        <f t="shared" si="27"/>
        <v>-0.91284868464203028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0</v>
      </c>
      <c r="M36" s="2"/>
      <c r="N36" s="6">
        <f t="shared" si="23"/>
        <v>0</v>
      </c>
      <c r="O36" s="11"/>
      <c r="P36" s="7"/>
      <c r="Q36" s="2"/>
      <c r="R36" s="6">
        <f t="shared" si="24"/>
        <v>0</v>
      </c>
      <c r="S36" s="2"/>
      <c r="T36" s="7">
        <v>200.5</v>
      </c>
      <c r="U36" s="2"/>
      <c r="V36" s="6">
        <f t="shared" si="25"/>
        <v>1.1585510980839761E-3</v>
      </c>
      <c r="W36" s="2"/>
      <c r="X36" s="7">
        <f t="shared" si="26"/>
        <v>-200.5</v>
      </c>
      <c r="Y36" s="2"/>
      <c r="Z36" s="6">
        <f t="shared" si="27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>
        <v>-581</v>
      </c>
      <c r="E37" s="2"/>
      <c r="F37" s="6">
        <f t="shared" si="20"/>
        <v>-6.6953610712577716E-2</v>
      </c>
      <c r="G37" s="2"/>
      <c r="H37" s="7">
        <v>10326.94</v>
      </c>
      <c r="I37" s="2"/>
      <c r="J37" s="6">
        <f t="shared" si="21"/>
        <v>9.8103616716717842E-2</v>
      </c>
      <c r="K37" s="2"/>
      <c r="L37" s="7">
        <f t="shared" si="22"/>
        <v>-10907.94</v>
      </c>
      <c r="M37" s="2"/>
      <c r="N37" s="6">
        <f t="shared" si="23"/>
        <v>-1.0562606154388425</v>
      </c>
      <c r="O37" s="11"/>
      <c r="P37" s="7">
        <v>824</v>
      </c>
      <c r="Q37" s="2"/>
      <c r="R37" s="6">
        <f t="shared" si="24"/>
        <v>6.1508189770680448E-2</v>
      </c>
      <c r="S37" s="2"/>
      <c r="T37" s="7">
        <v>23832.94</v>
      </c>
      <c r="U37" s="2"/>
      <c r="V37" s="6">
        <f t="shared" si="25"/>
        <v>0.13771410876593276</v>
      </c>
      <c r="W37" s="2"/>
      <c r="X37" s="7">
        <f t="shared" si="26"/>
        <v>-23008.94</v>
      </c>
      <c r="Y37" s="2"/>
      <c r="Z37" s="6">
        <f t="shared" si="27"/>
        <v>-0.96542600283473212</v>
      </c>
    </row>
    <row r="38" spans="1:26" s="27" customFormat="1" outlineLevel="1" collapsed="1" x14ac:dyDescent="0.25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49.61</v>
      </c>
      <c r="E38" s="1"/>
      <c r="F38" s="5">
        <f t="shared" ref="F38:F46" si="28">IF(D$12=0,0,D38/D$12)</f>
        <v>5.7169855894164895E-3</v>
      </c>
      <c r="G38" s="1"/>
      <c r="H38" s="1">
        <f>SUM(OSRRefH22_2x_0)</f>
        <v>13.41</v>
      </c>
      <c r="I38" s="1"/>
      <c r="J38" s="5">
        <f t="shared" ref="J38:J46" si="29">IF(H$12=0,0,H38/H$12)</f>
        <v>1.2739199609673206E-4</v>
      </c>
      <c r="K38" s="1"/>
      <c r="L38" s="1">
        <f t="shared" ref="L38:L46" si="30">+D38-H38</f>
        <v>36.200000000000003</v>
      </c>
      <c r="M38" s="1"/>
      <c r="N38" s="5">
        <f t="shared" ref="N38:N46" si="31">IF(H38=0,0,L38/H38)</f>
        <v>2.6994780014914244</v>
      </c>
      <c r="O38" s="14"/>
      <c r="P38" s="1">
        <f>SUM(OSRRefP22_2x_0)</f>
        <v>95.58</v>
      </c>
      <c r="Q38" s="1"/>
      <c r="R38" s="5">
        <f t="shared" ref="R38:R46" si="32">IF(P$12=0,0,P38/P$12)</f>
        <v>7.1346514299534432E-3</v>
      </c>
      <c r="S38" s="1"/>
      <c r="T38" s="1">
        <f>SUM(OSRRefT22_2x_0)</f>
        <v>2013.86</v>
      </c>
      <c r="U38" s="1"/>
      <c r="V38" s="5">
        <f t="shared" ref="V38:V46" si="33">IF(T$12=0,0,T38/T$12)</f>
        <v>1.1636706804924669E-2</v>
      </c>
      <c r="W38" s="1"/>
      <c r="X38" s="1">
        <f t="shared" ref="X38:X46" si="34">+P38-T38</f>
        <v>-1918.28</v>
      </c>
      <c r="Y38" s="1"/>
      <c r="Z38" s="5">
        <f t="shared" ref="Z38:Z46" si="35">IF(T38=0,0,X38/T38)</f>
        <v>-0.95253890538567731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7">
        <v>49.61</v>
      </c>
      <c r="E39" s="2"/>
      <c r="F39" s="6">
        <f t="shared" si="28"/>
        <v>5.7169855894164895E-3</v>
      </c>
      <c r="G39" s="2"/>
      <c r="H39" s="7">
        <v>13.41</v>
      </c>
      <c r="I39" s="2"/>
      <c r="J39" s="6">
        <f t="shared" si="29"/>
        <v>1.2739199609673206E-4</v>
      </c>
      <c r="K39" s="2"/>
      <c r="L39" s="7">
        <f t="shared" si="30"/>
        <v>36.200000000000003</v>
      </c>
      <c r="M39" s="2"/>
      <c r="N39" s="6">
        <f t="shared" si="31"/>
        <v>2.6994780014914244</v>
      </c>
      <c r="O39" s="11"/>
      <c r="P39" s="7">
        <v>95.58</v>
      </c>
      <c r="Q39" s="2"/>
      <c r="R39" s="6">
        <f t="shared" si="32"/>
        <v>7.1346514299534432E-3</v>
      </c>
      <c r="S39" s="2"/>
      <c r="T39" s="7">
        <v>2013.86</v>
      </c>
      <c r="U39" s="2"/>
      <c r="V39" s="6">
        <f t="shared" si="33"/>
        <v>1.1636706804924669E-2</v>
      </c>
      <c r="W39" s="2"/>
      <c r="X39" s="7">
        <f t="shared" si="34"/>
        <v>-1918.28</v>
      </c>
      <c r="Y39" s="2"/>
      <c r="Z39" s="6">
        <f t="shared" si="35"/>
        <v>-0.95253890538567731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-193.38</v>
      </c>
      <c r="E40" s="1"/>
      <c r="F40" s="5">
        <f t="shared" si="28"/>
        <v>-2.2284835180031461E-2</v>
      </c>
      <c r="G40" s="1"/>
      <c r="H40" s="1">
        <f>SUM(OSRRefH22_3x_0)</f>
        <v>20.239999999999998</v>
      </c>
      <c r="I40" s="1"/>
      <c r="J40" s="5">
        <f t="shared" si="29"/>
        <v>1.9227546614450833E-4</v>
      </c>
      <c r="K40" s="1"/>
      <c r="L40" s="1">
        <f t="shared" si="30"/>
        <v>-213.62</v>
      </c>
      <c r="M40" s="1"/>
      <c r="N40" s="5">
        <f t="shared" si="31"/>
        <v>-10.554347826086957</v>
      </c>
      <c r="O40" s="14"/>
      <c r="P40" s="1">
        <f>SUM(OSRRefP22_3x_0)</f>
        <v>-193.52</v>
      </c>
      <c r="Q40" s="1"/>
      <c r="R40" s="5">
        <f t="shared" si="32"/>
        <v>-1.4445467092745244E-2</v>
      </c>
      <c r="S40" s="1"/>
      <c r="T40" s="1">
        <f>SUM(OSRRefT22_3x_0)</f>
        <v>2.0299999999999998</v>
      </c>
      <c r="U40" s="1"/>
      <c r="V40" s="5">
        <f t="shared" si="33"/>
        <v>1.1729968723742999E-5</v>
      </c>
      <c r="W40" s="1"/>
      <c r="X40" s="1">
        <f t="shared" si="34"/>
        <v>-195.55</v>
      </c>
      <c r="Y40" s="1"/>
      <c r="Z40" s="5">
        <f t="shared" si="35"/>
        <v>-96.330049261083758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>
        <v>-193.38</v>
      </c>
      <c r="E41" s="2"/>
      <c r="F41" s="6">
        <f t="shared" si="28"/>
        <v>-2.2284835180031461E-2</v>
      </c>
      <c r="G41" s="2"/>
      <c r="H41" s="7">
        <v>20.239999999999998</v>
      </c>
      <c r="I41" s="2"/>
      <c r="J41" s="6">
        <f t="shared" si="29"/>
        <v>1.9227546614450833E-4</v>
      </c>
      <c r="K41" s="2"/>
      <c r="L41" s="7">
        <f t="shared" si="30"/>
        <v>-213.62</v>
      </c>
      <c r="M41" s="2"/>
      <c r="N41" s="6">
        <f t="shared" si="31"/>
        <v>-10.554347826086957</v>
      </c>
      <c r="O41" s="11"/>
      <c r="P41" s="7">
        <v>-193.52</v>
      </c>
      <c r="Q41" s="2"/>
      <c r="R41" s="6">
        <f t="shared" si="32"/>
        <v>-1.4445467092745244E-2</v>
      </c>
      <c r="S41" s="2"/>
      <c r="T41" s="7">
        <v>2.0299999999999998</v>
      </c>
      <c r="U41" s="2"/>
      <c r="V41" s="6">
        <f t="shared" si="33"/>
        <v>1.1729968723742999E-5</v>
      </c>
      <c r="W41" s="2"/>
      <c r="X41" s="7">
        <f t="shared" si="34"/>
        <v>-195.55</v>
      </c>
      <c r="Y41" s="2"/>
      <c r="Z41" s="6">
        <f t="shared" si="35"/>
        <v>-96.330049261083758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64.25</v>
      </c>
      <c r="E42" s="1"/>
      <c r="F42" s="5">
        <f t="shared" si="28"/>
        <v>7.4040782930862624E-3</v>
      </c>
      <c r="G42" s="1"/>
      <c r="H42" s="1">
        <f>SUM(OSRRefH22_4x_0)</f>
        <v>3924.28</v>
      </c>
      <c r="I42" s="1"/>
      <c r="J42" s="5">
        <f t="shared" si="29"/>
        <v>3.7279780942765378E-2</v>
      </c>
      <c r="K42" s="1"/>
      <c r="L42" s="1">
        <f t="shared" si="30"/>
        <v>-3860.03</v>
      </c>
      <c r="M42" s="1"/>
      <c r="N42" s="5">
        <f t="shared" si="31"/>
        <v>-0.98362756989817235</v>
      </c>
      <c r="O42" s="14"/>
      <c r="P42" s="1">
        <f>SUM(OSRRefP22_4x_0)</f>
        <v>65.510000000000005</v>
      </c>
      <c r="Q42" s="1"/>
      <c r="R42" s="5">
        <f t="shared" si="32"/>
        <v>4.8900503784918403E-3</v>
      </c>
      <c r="S42" s="1"/>
      <c r="T42" s="1">
        <f>SUM(OSRRefT22_4x_0)</f>
        <v>6392.84</v>
      </c>
      <c r="U42" s="1"/>
      <c r="V42" s="5">
        <f t="shared" si="33"/>
        <v>3.6939809485661675E-2</v>
      </c>
      <c r="W42" s="1"/>
      <c r="X42" s="1">
        <f t="shared" si="34"/>
        <v>-6327.33</v>
      </c>
      <c r="Y42" s="1"/>
      <c r="Z42" s="5">
        <f t="shared" si="35"/>
        <v>-0.98975259821925776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>
        <v>64.25</v>
      </c>
      <c r="E43" s="2"/>
      <c r="F43" s="6">
        <f t="shared" si="28"/>
        <v>7.4040782930862624E-3</v>
      </c>
      <c r="G43" s="2"/>
      <c r="H43" s="7">
        <v>3924.28</v>
      </c>
      <c r="I43" s="2"/>
      <c r="J43" s="6">
        <f t="shared" si="29"/>
        <v>3.7279780942765378E-2</v>
      </c>
      <c r="K43" s="2"/>
      <c r="L43" s="7">
        <f t="shared" si="30"/>
        <v>-3860.03</v>
      </c>
      <c r="M43" s="2"/>
      <c r="N43" s="6">
        <f t="shared" si="31"/>
        <v>-0.98362756989817235</v>
      </c>
      <c r="O43" s="11"/>
      <c r="P43" s="7">
        <v>65.510000000000005</v>
      </c>
      <c r="Q43" s="2"/>
      <c r="R43" s="6">
        <f t="shared" si="32"/>
        <v>4.8900503784918403E-3</v>
      </c>
      <c r="S43" s="2"/>
      <c r="T43" s="7">
        <v>6392.84</v>
      </c>
      <c r="U43" s="2"/>
      <c r="V43" s="6">
        <f t="shared" si="33"/>
        <v>3.6939809485661675E-2</v>
      </c>
      <c r="W43" s="2"/>
      <c r="X43" s="7">
        <f t="shared" si="34"/>
        <v>-6327.33</v>
      </c>
      <c r="Y43" s="2"/>
      <c r="Z43" s="6">
        <f t="shared" si="35"/>
        <v>-0.98975259821925776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13959.7</v>
      </c>
      <c r="E44" s="1"/>
      <c r="F44" s="5">
        <f t="shared" si="28"/>
        <v>1.6086959026925494</v>
      </c>
      <c r="G44" s="1"/>
      <c r="H44" s="1">
        <f>SUM(OSRRefH22_5x_0)</f>
        <v>13266.91</v>
      </c>
      <c r="I44" s="1"/>
      <c r="J44" s="5">
        <f t="shared" si="29"/>
        <v>0.12603267314956715</v>
      </c>
      <c r="K44" s="1"/>
      <c r="L44" s="1">
        <f t="shared" si="30"/>
        <v>692.79000000000087</v>
      </c>
      <c r="M44" s="1"/>
      <c r="N44" s="5">
        <f t="shared" si="31"/>
        <v>5.2219393965889635E-2</v>
      </c>
      <c r="O44" s="14"/>
      <c r="P44" s="1">
        <f>SUM(OSRRefP22_5x_0)</f>
        <v>41614.879999999997</v>
      </c>
      <c r="Q44" s="1"/>
      <c r="R44" s="5">
        <f t="shared" si="32"/>
        <v>3.1063785635001144</v>
      </c>
      <c r="S44" s="1"/>
      <c r="T44" s="1">
        <f>SUM(OSRRefT22_5x_0)</f>
        <v>39800.729999999996</v>
      </c>
      <c r="U44" s="1"/>
      <c r="V44" s="5">
        <f t="shared" si="33"/>
        <v>0.2299809448680491</v>
      </c>
      <c r="W44" s="1"/>
      <c r="X44" s="1">
        <f t="shared" si="34"/>
        <v>1814.1500000000015</v>
      </c>
      <c r="Y44" s="1"/>
      <c r="Z44" s="5">
        <f t="shared" si="35"/>
        <v>4.5580822261300273E-2</v>
      </c>
    </row>
    <row r="45" spans="1:26" s="24" customFormat="1" hidden="1" outlineLevel="2" x14ac:dyDescent="0.25">
      <c r="A45" s="28"/>
      <c r="B45" s="11" t="str">
        <f>CONCATENATE("          ", "6321", " - ", "BUILDING DEPRECIATION")</f>
        <v xml:space="preserve">          6321 - BUILDING DEPRECIATION</v>
      </c>
      <c r="C45" s="11"/>
      <c r="D45" s="7">
        <v>10597.26</v>
      </c>
      <c r="E45" s="2"/>
      <c r="F45" s="6">
        <f t="shared" si="28"/>
        <v>1.2212131164543396</v>
      </c>
      <c r="G45" s="2"/>
      <c r="H45" s="7">
        <v>10612.46</v>
      </c>
      <c r="I45" s="2"/>
      <c r="J45" s="6">
        <f t="shared" si="29"/>
        <v>0.10081599275889075</v>
      </c>
      <c r="K45" s="2"/>
      <c r="L45" s="7">
        <f t="shared" si="30"/>
        <v>-15.199999999998909</v>
      </c>
      <c r="M45" s="2"/>
      <c r="N45" s="6">
        <f t="shared" si="31"/>
        <v>-1.4322786611208815E-3</v>
      </c>
      <c r="O45" s="11"/>
      <c r="P45" s="7">
        <v>31791.779999999995</v>
      </c>
      <c r="Q45" s="2"/>
      <c r="R45" s="6">
        <f t="shared" si="32"/>
        <v>2.3731248026550036</v>
      </c>
      <c r="S45" s="2"/>
      <c r="T45" s="7">
        <v>31837.379999999997</v>
      </c>
      <c r="U45" s="2"/>
      <c r="V45" s="6">
        <f t="shared" si="33"/>
        <v>0.18396624219010882</v>
      </c>
      <c r="W45" s="2"/>
      <c r="X45" s="7">
        <f t="shared" si="34"/>
        <v>-45.600000000002183</v>
      </c>
      <c r="Y45" s="2"/>
      <c r="Z45" s="6">
        <f t="shared" si="35"/>
        <v>-1.4322786611210528E-3</v>
      </c>
    </row>
    <row r="46" spans="1:26" s="24" customFormat="1" hidden="1" outlineLevel="2" x14ac:dyDescent="0.25">
      <c r="A46" s="28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3362.44</v>
      </c>
      <c r="E46" s="2"/>
      <c r="F46" s="6">
        <f t="shared" si="28"/>
        <v>0.3874827862382097</v>
      </c>
      <c r="G46" s="2"/>
      <c r="H46" s="7">
        <v>2654.45</v>
      </c>
      <c r="I46" s="2"/>
      <c r="J46" s="6">
        <f t="shared" si="29"/>
        <v>2.5216680390676389E-2</v>
      </c>
      <c r="K46" s="2"/>
      <c r="L46" s="7">
        <f t="shared" si="30"/>
        <v>707.99000000000024</v>
      </c>
      <c r="M46" s="2"/>
      <c r="N46" s="6">
        <f t="shared" si="31"/>
        <v>0.26671815253630704</v>
      </c>
      <c r="O46" s="11"/>
      <c r="P46" s="7">
        <v>9823.1</v>
      </c>
      <c r="Q46" s="2"/>
      <c r="R46" s="6">
        <f t="shared" si="32"/>
        <v>0.73325376084511062</v>
      </c>
      <c r="S46" s="2"/>
      <c r="T46" s="7">
        <v>7963.35</v>
      </c>
      <c r="U46" s="2"/>
      <c r="V46" s="6">
        <f t="shared" si="33"/>
        <v>4.6014702677940306E-2</v>
      </c>
      <c r="W46" s="2"/>
      <c r="X46" s="7">
        <f t="shared" si="34"/>
        <v>1859.75</v>
      </c>
      <c r="Y46" s="2"/>
      <c r="Z46" s="6">
        <f t="shared" si="35"/>
        <v>0.23353864893543547</v>
      </c>
    </row>
    <row r="47" spans="1:26" s="27" customFormat="1" outlineLevel="1" collapsed="1" x14ac:dyDescent="0.25">
      <c r="A47" s="29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60" si="36">IF(D$12=0,0,D47/D$12)</f>
        <v>0</v>
      </c>
      <c r="G47" s="1"/>
      <c r="H47" s="1">
        <f>SUM(OSRRefH22_6x_0)</f>
        <v>0</v>
      </c>
      <c r="I47" s="1"/>
      <c r="J47" s="5">
        <f t="shared" ref="J47:J60" si="37">IF(H$12=0,0,H47/H$12)</f>
        <v>0</v>
      </c>
      <c r="K47" s="1"/>
      <c r="L47" s="1">
        <f t="shared" ref="L47:L60" si="38">+D47-H47</f>
        <v>0</v>
      </c>
      <c r="M47" s="1"/>
      <c r="N47" s="5">
        <f t="shared" ref="N47:N60" si="39">IF(H47=0,0,L47/H47)</f>
        <v>0</v>
      </c>
      <c r="O47" s="14"/>
      <c r="P47" s="1">
        <f>SUM(OSRRefP22_6x_0)</f>
        <v>0</v>
      </c>
      <c r="Q47" s="1"/>
      <c r="R47" s="5">
        <f t="shared" ref="R47:R60" si="40">IF(P$12=0,0,P47/P$12)</f>
        <v>0</v>
      </c>
      <c r="S47" s="1"/>
      <c r="T47" s="1">
        <f>SUM(OSRRefT22_6x_0)</f>
        <v>15.35</v>
      </c>
      <c r="U47" s="1"/>
      <c r="V47" s="5">
        <f t="shared" ref="V47:V60" si="41">IF(T$12=0,0,T47/T$12)</f>
        <v>8.8697054142588695E-5</v>
      </c>
      <c r="W47" s="1"/>
      <c r="X47" s="1">
        <f t="shared" ref="X47:X60" si="42">+P47-T47</f>
        <v>-15.35</v>
      </c>
      <c r="Y47" s="1"/>
      <c r="Z47" s="5">
        <f t="shared" ref="Z47:Z60" si="43">IF(T47=0,0,X47/T47)</f>
        <v>-1</v>
      </c>
    </row>
    <row r="48" spans="1:26" s="24" customFormat="1" hidden="1" outlineLevel="2" x14ac:dyDescent="0.25">
      <c r="A48" s="28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6"/>
        <v>0</v>
      </c>
      <c r="G48" s="2"/>
      <c r="H48" s="7"/>
      <c r="I48" s="2"/>
      <c r="J48" s="6">
        <f t="shared" si="37"/>
        <v>0</v>
      </c>
      <c r="K48" s="2"/>
      <c r="L48" s="7">
        <f t="shared" si="38"/>
        <v>0</v>
      </c>
      <c r="M48" s="2"/>
      <c r="N48" s="6">
        <f t="shared" si="39"/>
        <v>0</v>
      </c>
      <c r="O48" s="11"/>
      <c r="P48" s="7"/>
      <c r="Q48" s="2"/>
      <c r="R48" s="6">
        <f t="shared" si="40"/>
        <v>0</v>
      </c>
      <c r="S48" s="2"/>
      <c r="T48" s="7">
        <v>15.35</v>
      </c>
      <c r="U48" s="2"/>
      <c r="V48" s="6">
        <f t="shared" si="41"/>
        <v>8.8697054142588695E-5</v>
      </c>
      <c r="W48" s="2"/>
      <c r="X48" s="7">
        <f t="shared" si="42"/>
        <v>-15.35</v>
      </c>
      <c r="Y48" s="2"/>
      <c r="Z48" s="6">
        <f t="shared" si="43"/>
        <v>-1</v>
      </c>
    </row>
    <row r="49" spans="1:26" s="27" customFormat="1" outlineLevel="1" collapsed="1" x14ac:dyDescent="0.25">
      <c r="A49" s="29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0</v>
      </c>
      <c r="E49" s="1"/>
      <c r="F49" s="5">
        <f t="shared" si="36"/>
        <v>0</v>
      </c>
      <c r="G49" s="1"/>
      <c r="H49" s="1">
        <f>SUM(OSRRefH22_7x_0)</f>
        <v>56.69</v>
      </c>
      <c r="I49" s="1"/>
      <c r="J49" s="5">
        <f t="shared" si="37"/>
        <v>5.3854230117253844E-4</v>
      </c>
      <c r="K49" s="1"/>
      <c r="L49" s="1">
        <f t="shared" si="38"/>
        <v>-56.69</v>
      </c>
      <c r="M49" s="1"/>
      <c r="N49" s="5">
        <f t="shared" si="39"/>
        <v>-1</v>
      </c>
      <c r="O49" s="14"/>
      <c r="P49" s="1">
        <f>SUM(OSRRefP22_7x_0)</f>
        <v>178.15</v>
      </c>
      <c r="Q49" s="1"/>
      <c r="R49" s="5">
        <f t="shared" si="40"/>
        <v>1.329816020345476E-2</v>
      </c>
      <c r="S49" s="1"/>
      <c r="T49" s="1">
        <f>SUM(OSRRefT22_7x_0)</f>
        <v>349.2</v>
      </c>
      <c r="U49" s="1"/>
      <c r="V49" s="5">
        <f t="shared" si="41"/>
        <v>2.0177857528724413E-3</v>
      </c>
      <c r="W49" s="1"/>
      <c r="X49" s="1">
        <f t="shared" si="42"/>
        <v>-171.04999999999998</v>
      </c>
      <c r="Y49" s="1"/>
      <c r="Z49" s="5">
        <f t="shared" si="43"/>
        <v>-0.48983390607101945</v>
      </c>
    </row>
    <row r="50" spans="1:26" s="24" customFormat="1" hidden="1" outlineLevel="2" x14ac:dyDescent="0.25">
      <c r="A50" s="28"/>
      <c r="B50" s="11" t="str">
        <f>CONCATENATE("          ", "6351", " - ", "EQUIPMENT RENTAL")</f>
        <v xml:space="preserve">          6351 - EQUIPMENT RENTAL</v>
      </c>
      <c r="C50" s="11"/>
      <c r="D50" s="7"/>
      <c r="E50" s="2"/>
      <c r="F50" s="6">
        <f t="shared" si="36"/>
        <v>0</v>
      </c>
      <c r="G50" s="2"/>
      <c r="H50" s="7">
        <v>56.69</v>
      </c>
      <c r="I50" s="2"/>
      <c r="J50" s="6">
        <f t="shared" si="37"/>
        <v>5.3854230117253844E-4</v>
      </c>
      <c r="K50" s="2"/>
      <c r="L50" s="7">
        <f t="shared" si="38"/>
        <v>-56.69</v>
      </c>
      <c r="M50" s="2"/>
      <c r="N50" s="6">
        <f t="shared" si="39"/>
        <v>-1</v>
      </c>
      <c r="O50" s="11"/>
      <c r="P50" s="7">
        <v>178.15</v>
      </c>
      <c r="Q50" s="2"/>
      <c r="R50" s="6">
        <f t="shared" si="40"/>
        <v>1.329816020345476E-2</v>
      </c>
      <c r="S50" s="2"/>
      <c r="T50" s="7">
        <v>349.2</v>
      </c>
      <c r="U50" s="2"/>
      <c r="V50" s="6">
        <f t="shared" si="41"/>
        <v>2.0177857528724413E-3</v>
      </c>
      <c r="W50" s="2"/>
      <c r="X50" s="7">
        <f t="shared" si="42"/>
        <v>-171.04999999999998</v>
      </c>
      <c r="Y50" s="2"/>
      <c r="Z50" s="6">
        <f t="shared" si="43"/>
        <v>-0.48983390607101945</v>
      </c>
    </row>
    <row r="51" spans="1:26" s="27" customFormat="1" outlineLevel="1" collapsed="1" x14ac:dyDescent="0.25">
      <c r="A51" s="29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550.52</v>
      </c>
      <c r="E51" s="1"/>
      <c r="F51" s="5">
        <f t="shared" si="36"/>
        <v>6.3441139018052123E-2</v>
      </c>
      <c r="G51" s="1"/>
      <c r="H51" s="1">
        <f>SUM(OSRRefH22_8x_0)</f>
        <v>0</v>
      </c>
      <c r="I51" s="1"/>
      <c r="J51" s="5">
        <f t="shared" si="37"/>
        <v>0</v>
      </c>
      <c r="K51" s="1"/>
      <c r="L51" s="1">
        <f t="shared" si="38"/>
        <v>550.52</v>
      </c>
      <c r="M51" s="1"/>
      <c r="N51" s="5">
        <f t="shared" si="39"/>
        <v>0</v>
      </c>
      <c r="O51" s="14"/>
      <c r="P51" s="1">
        <f>SUM(OSRRefP22_8x_0)</f>
        <v>1955.07</v>
      </c>
      <c r="Q51" s="1"/>
      <c r="R51" s="5">
        <f t="shared" si="40"/>
        <v>0.14593788419291776</v>
      </c>
      <c r="S51" s="1"/>
      <c r="T51" s="1">
        <f>SUM(OSRRefT22_8x_0)</f>
        <v>1354.55</v>
      </c>
      <c r="U51" s="1"/>
      <c r="V51" s="5">
        <f t="shared" si="41"/>
        <v>7.8270094259832914E-3</v>
      </c>
      <c r="W51" s="1"/>
      <c r="X51" s="1">
        <f t="shared" si="42"/>
        <v>600.52</v>
      </c>
      <c r="Y51" s="1"/>
      <c r="Z51" s="5">
        <f t="shared" si="43"/>
        <v>0.44333542504890922</v>
      </c>
    </row>
    <row r="52" spans="1:26" s="24" customFormat="1" hidden="1" outlineLevel="2" x14ac:dyDescent="0.25">
      <c r="A52" s="28"/>
      <c r="B52" s="11" t="str">
        <f>CONCATENATE("          ", "6279", " - ", "GENERAL EXPENSE")</f>
        <v xml:space="preserve">          6279 - GENERAL EXPENSE</v>
      </c>
      <c r="C52" s="11"/>
      <c r="D52" s="7">
        <v>550.52</v>
      </c>
      <c r="E52" s="2"/>
      <c r="F52" s="6">
        <f t="shared" si="36"/>
        <v>6.3441139018052123E-2</v>
      </c>
      <c r="G52" s="2"/>
      <c r="H52" s="7"/>
      <c r="I52" s="2"/>
      <c r="J52" s="6">
        <f t="shared" si="37"/>
        <v>0</v>
      </c>
      <c r="K52" s="2"/>
      <c r="L52" s="7">
        <f t="shared" si="38"/>
        <v>550.52</v>
      </c>
      <c r="M52" s="2"/>
      <c r="N52" s="6">
        <f t="shared" si="39"/>
        <v>0</v>
      </c>
      <c r="O52" s="11"/>
      <c r="P52" s="7">
        <v>1955.07</v>
      </c>
      <c r="Q52" s="2"/>
      <c r="R52" s="6">
        <f t="shared" si="40"/>
        <v>0.14593788419291776</v>
      </c>
      <c r="S52" s="2"/>
      <c r="T52" s="7">
        <v>1354.55</v>
      </c>
      <c r="U52" s="2"/>
      <c r="V52" s="6">
        <f t="shared" si="41"/>
        <v>7.8270094259832914E-3</v>
      </c>
      <c r="W52" s="2"/>
      <c r="X52" s="7">
        <f t="shared" si="42"/>
        <v>600.52</v>
      </c>
      <c r="Y52" s="2"/>
      <c r="Z52" s="6">
        <f t="shared" si="43"/>
        <v>0.44333542504890922</v>
      </c>
    </row>
    <row r="53" spans="1:26" s="27" customFormat="1" outlineLevel="1" collapsed="1" x14ac:dyDescent="0.25">
      <c r="A53" s="29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SUM(OSRRefD22_9x_0)</f>
        <v>641.28</v>
      </c>
      <c r="E53" s="1"/>
      <c r="F53" s="5">
        <f t="shared" si="36"/>
        <v>7.3900191872223464E-2</v>
      </c>
      <c r="G53" s="1"/>
      <c r="H53" s="1">
        <f>SUM(OSRRefH22_9x_0)</f>
        <v>641.28</v>
      </c>
      <c r="I53" s="1"/>
      <c r="J53" s="5">
        <f t="shared" si="37"/>
        <v>6.0920163502544613E-3</v>
      </c>
      <c r="K53" s="1"/>
      <c r="L53" s="1">
        <f t="shared" si="38"/>
        <v>0</v>
      </c>
      <c r="M53" s="1"/>
      <c r="N53" s="5">
        <f t="shared" si="39"/>
        <v>0</v>
      </c>
      <c r="O53" s="14"/>
      <c r="P53" s="1">
        <f>SUM(OSRRefP22_9x_0)</f>
        <v>1923.84</v>
      </c>
      <c r="Q53" s="1"/>
      <c r="R53" s="5">
        <f t="shared" si="40"/>
        <v>0.14360669394226441</v>
      </c>
      <c r="S53" s="1"/>
      <c r="T53" s="1">
        <f>SUM(OSRRefT22_9x_0)</f>
        <v>1923.84</v>
      </c>
      <c r="U53" s="1"/>
      <c r="V53" s="5">
        <f t="shared" si="41"/>
        <v>1.1116543364278687E-2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8"/>
      <c r="B54" s="11" t="str">
        <f>CONCATENATE("          ", "6314", " - ", "LIABILITY INSURANCE")</f>
        <v xml:space="preserve">          6314 - LIABILITY INSURANCE</v>
      </c>
      <c r="C54" s="11"/>
      <c r="D54" s="7">
        <v>641.28</v>
      </c>
      <c r="E54" s="2"/>
      <c r="F54" s="6">
        <f t="shared" si="36"/>
        <v>7.3900191872223464E-2</v>
      </c>
      <c r="G54" s="2"/>
      <c r="H54" s="7">
        <v>641.28</v>
      </c>
      <c r="I54" s="2"/>
      <c r="J54" s="6">
        <f t="shared" si="37"/>
        <v>6.0920163502544613E-3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1923.84</v>
      </c>
      <c r="Q54" s="2"/>
      <c r="R54" s="6">
        <f t="shared" si="40"/>
        <v>0.14360669394226441</v>
      </c>
      <c r="S54" s="2"/>
      <c r="T54" s="7">
        <v>1923.84</v>
      </c>
      <c r="U54" s="2"/>
      <c r="V54" s="6">
        <f t="shared" si="41"/>
        <v>1.1116543364278687E-2</v>
      </c>
      <c r="W54" s="2"/>
      <c r="X54" s="7">
        <f t="shared" si="42"/>
        <v>0</v>
      </c>
      <c r="Y54" s="2"/>
      <c r="Z54" s="6">
        <f t="shared" si="43"/>
        <v>0</v>
      </c>
    </row>
    <row r="55" spans="1:26" s="27" customFormat="1" outlineLevel="1" collapsed="1" x14ac:dyDescent="0.25">
      <c r="A55" s="29"/>
      <c r="B55" s="14" t="str">
        <f>CONCATENATE("     ","Interest                                          ")</f>
        <v xml:space="preserve">     Interest                                          </v>
      </c>
      <c r="C55" s="14"/>
      <c r="D55" s="1">
        <f>SUM(OSRRefD22_10x_0)</f>
        <v>7510</v>
      </c>
      <c r="E55" s="1"/>
      <c r="F55" s="5">
        <f t="shared" si="36"/>
        <v>0.86544168063934368</v>
      </c>
      <c r="G55" s="1"/>
      <c r="H55" s="1">
        <f>SUM(OSRRefH22_10x_0)</f>
        <v>7630</v>
      </c>
      <c r="I55" s="1"/>
      <c r="J55" s="5">
        <f t="shared" si="37"/>
        <v>7.2483290844001902E-2</v>
      </c>
      <c r="K55" s="1"/>
      <c r="L55" s="1">
        <f t="shared" si="38"/>
        <v>-120</v>
      </c>
      <c r="M55" s="1"/>
      <c r="N55" s="5">
        <f t="shared" si="39"/>
        <v>-1.5727391874180863E-2</v>
      </c>
      <c r="O55" s="14"/>
      <c r="P55" s="1">
        <f>SUM(OSRRefP22_10x_0)</f>
        <v>22530</v>
      </c>
      <c r="Q55" s="1"/>
      <c r="R55" s="5">
        <f t="shared" si="40"/>
        <v>1.6817712567153282</v>
      </c>
      <c r="S55" s="1"/>
      <c r="T55" s="1">
        <f>SUM(OSRRefT22_10x_0)</f>
        <v>22890</v>
      </c>
      <c r="U55" s="1"/>
      <c r="V55" s="5">
        <f t="shared" si="41"/>
        <v>0.13226550940220555</v>
      </c>
      <c r="W55" s="1"/>
      <c r="X55" s="1">
        <f t="shared" si="42"/>
        <v>-360</v>
      </c>
      <c r="Y55" s="1"/>
      <c r="Z55" s="5">
        <f t="shared" si="43"/>
        <v>-1.5727391874180863E-2</v>
      </c>
    </row>
    <row r="56" spans="1:26" s="24" customFormat="1" hidden="1" outlineLevel="2" x14ac:dyDescent="0.25">
      <c r="A56" s="28"/>
      <c r="B56" s="11" t="str">
        <f>CONCATENATE("          ", "6401", " - ", "INTEREST EXPENSE")</f>
        <v xml:space="preserve">          6401 - INTEREST EXPENSE</v>
      </c>
      <c r="C56" s="11"/>
      <c r="D56" s="7">
        <v>7510</v>
      </c>
      <c r="E56" s="2"/>
      <c r="F56" s="6">
        <f t="shared" si="36"/>
        <v>0.86544168063934368</v>
      </c>
      <c r="G56" s="2"/>
      <c r="H56" s="7">
        <v>7630</v>
      </c>
      <c r="I56" s="2"/>
      <c r="J56" s="6">
        <f t="shared" si="37"/>
        <v>7.2483290844001902E-2</v>
      </c>
      <c r="K56" s="2"/>
      <c r="L56" s="7">
        <f t="shared" si="38"/>
        <v>-120</v>
      </c>
      <c r="M56" s="2"/>
      <c r="N56" s="6">
        <f t="shared" si="39"/>
        <v>-1.5727391874180863E-2</v>
      </c>
      <c r="O56" s="11"/>
      <c r="P56" s="7">
        <v>22530</v>
      </c>
      <c r="Q56" s="2"/>
      <c r="R56" s="6">
        <f t="shared" si="40"/>
        <v>1.6817712567153282</v>
      </c>
      <c r="S56" s="2"/>
      <c r="T56" s="7">
        <v>22890</v>
      </c>
      <c r="U56" s="2"/>
      <c r="V56" s="6">
        <f t="shared" si="41"/>
        <v>0.13226550940220555</v>
      </c>
      <c r="W56" s="2"/>
      <c r="X56" s="7">
        <f t="shared" si="42"/>
        <v>-360</v>
      </c>
      <c r="Y56" s="2"/>
      <c r="Z56" s="6">
        <f t="shared" si="43"/>
        <v>-1.5727391874180863E-2</v>
      </c>
    </row>
    <row r="57" spans="1:26" s="27" customFormat="1" outlineLevel="1" collapsed="1" x14ac:dyDescent="0.25">
      <c r="A57" s="29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SUM(OSRRefD22_11x_0)</f>
        <v>1350.46</v>
      </c>
      <c r="E57" s="1"/>
      <c r="F57" s="5">
        <f t="shared" si="36"/>
        <v>0.15562508282772411</v>
      </c>
      <c r="G57" s="1"/>
      <c r="H57" s="1">
        <f>SUM(OSRRefH22_11x_0)</f>
        <v>2956.1400000000003</v>
      </c>
      <c r="I57" s="1"/>
      <c r="J57" s="5">
        <f t="shared" si="37"/>
        <v>2.8082667810693032E-2</v>
      </c>
      <c r="K57" s="1"/>
      <c r="L57" s="1">
        <f t="shared" si="38"/>
        <v>-1605.6800000000003</v>
      </c>
      <c r="M57" s="1"/>
      <c r="N57" s="5">
        <f t="shared" si="39"/>
        <v>-0.54316777960448426</v>
      </c>
      <c r="O57" s="14"/>
      <c r="P57" s="1">
        <f>SUM(OSRRefP22_11x_0)</f>
        <v>7838.96</v>
      </c>
      <c r="Q57" s="1"/>
      <c r="R57" s="5">
        <f t="shared" si="40"/>
        <v>0.58514592146210342</v>
      </c>
      <c r="S57" s="1"/>
      <c r="T57" s="1">
        <f>SUM(OSRRefT22_11x_0)</f>
        <v>4454.1499999999996</v>
      </c>
      <c r="U57" s="1"/>
      <c r="V57" s="5">
        <f t="shared" si="41"/>
        <v>2.5737458222098462E-2</v>
      </c>
      <c r="W57" s="1"/>
      <c r="X57" s="1">
        <f t="shared" si="42"/>
        <v>3384.8100000000004</v>
      </c>
      <c r="Y57" s="1"/>
      <c r="Z57" s="5">
        <f t="shared" si="43"/>
        <v>0.75992276865395203</v>
      </c>
    </row>
    <row r="58" spans="1:26" s="24" customFormat="1" hidden="1" outlineLevel="2" x14ac:dyDescent="0.25">
      <c r="A58" s="28"/>
      <c r="B58" s="11" t="str">
        <f>CONCATENATE("          ", "6371", " - ", "COMPUTER SOFTWARE MAINTENANCE")</f>
        <v xml:space="preserve">          6371 - COMPUTER SOFTWARE MAINTENANCE</v>
      </c>
      <c r="C58" s="11"/>
      <c r="D58" s="7"/>
      <c r="E58" s="2"/>
      <c r="F58" s="6">
        <f t="shared" si="36"/>
        <v>0</v>
      </c>
      <c r="G58" s="2"/>
      <c r="H58" s="7">
        <v>2623.84</v>
      </c>
      <c r="I58" s="2"/>
      <c r="J58" s="6">
        <f t="shared" si="37"/>
        <v>2.492589224746081E-2</v>
      </c>
      <c r="K58" s="2"/>
      <c r="L58" s="7">
        <f t="shared" si="38"/>
        <v>-2623.84</v>
      </c>
      <c r="M58" s="2"/>
      <c r="N58" s="6">
        <f t="shared" si="39"/>
        <v>-1</v>
      </c>
      <c r="O58" s="11"/>
      <c r="P58" s="7"/>
      <c r="Q58" s="2"/>
      <c r="R58" s="6">
        <f t="shared" si="40"/>
        <v>0</v>
      </c>
      <c r="S58" s="2"/>
      <c r="T58" s="7">
        <v>2623.84</v>
      </c>
      <c r="U58" s="2"/>
      <c r="V58" s="6">
        <f t="shared" si="41"/>
        <v>1.5161360165569376E-2</v>
      </c>
      <c r="W58" s="2"/>
      <c r="X58" s="7">
        <f t="shared" si="42"/>
        <v>-2623.84</v>
      </c>
      <c r="Y58" s="2"/>
      <c r="Z58" s="6">
        <f t="shared" si="43"/>
        <v>-1</v>
      </c>
    </row>
    <row r="59" spans="1:26" s="24" customFormat="1" hidden="1" outlineLevel="2" x14ac:dyDescent="0.25">
      <c r="A59" s="28"/>
      <c r="B59" s="11" t="str">
        <f>CONCATENATE("          ", "6373", " - ", "MAINTENANCE CONTRACTS")</f>
        <v xml:space="preserve">          6373 - MAINTENANCE CONTRACTS</v>
      </c>
      <c r="C59" s="11"/>
      <c r="D59" s="7">
        <v>798.64</v>
      </c>
      <c r="E59" s="2"/>
      <c r="F59" s="6">
        <f t="shared" si="36"/>
        <v>9.2034133665220424E-2</v>
      </c>
      <c r="G59" s="2"/>
      <c r="H59" s="7"/>
      <c r="I59" s="2"/>
      <c r="J59" s="6">
        <f t="shared" si="37"/>
        <v>0</v>
      </c>
      <c r="K59" s="2"/>
      <c r="L59" s="7">
        <f t="shared" si="38"/>
        <v>798.64</v>
      </c>
      <c r="M59" s="2"/>
      <c r="N59" s="6">
        <f t="shared" si="39"/>
        <v>0</v>
      </c>
      <c r="O59" s="11"/>
      <c r="P59" s="7">
        <v>3308.38</v>
      </c>
      <c r="Q59" s="2"/>
      <c r="R59" s="6">
        <f t="shared" si="40"/>
        <v>0.24695687484650947</v>
      </c>
      <c r="S59" s="2"/>
      <c r="T59" s="7"/>
      <c r="U59" s="2"/>
      <c r="V59" s="6">
        <f t="shared" si="41"/>
        <v>0</v>
      </c>
      <c r="W59" s="2"/>
      <c r="X59" s="7">
        <f t="shared" si="42"/>
        <v>3308.38</v>
      </c>
      <c r="Y59" s="2"/>
      <c r="Z59" s="6">
        <f t="shared" si="43"/>
        <v>0</v>
      </c>
    </row>
    <row r="60" spans="1:26" s="24" customFormat="1" hidden="1" outlineLevel="2" x14ac:dyDescent="0.25">
      <c r="A60" s="28"/>
      <c r="B60" s="11" t="str">
        <f>CONCATENATE("          ", "6375", " - ", "OUTSIDE REPAIRS &amp; MAINTENANCE")</f>
        <v xml:space="preserve">          6375 - OUTSIDE REPAIRS &amp; MAINTENANCE</v>
      </c>
      <c r="C60" s="11"/>
      <c r="D60" s="7">
        <v>551.82000000000005</v>
      </c>
      <c r="E60" s="2"/>
      <c r="F60" s="6">
        <f t="shared" si="36"/>
        <v>6.3590949162503685E-2</v>
      </c>
      <c r="G60" s="2"/>
      <c r="H60" s="7">
        <v>332.3</v>
      </c>
      <c r="I60" s="2"/>
      <c r="J60" s="6">
        <f t="shared" si="37"/>
        <v>3.1567755632322197E-3</v>
      </c>
      <c r="K60" s="2"/>
      <c r="L60" s="7">
        <f t="shared" si="38"/>
        <v>219.52000000000004</v>
      </c>
      <c r="M60" s="2"/>
      <c r="N60" s="6">
        <f t="shared" si="39"/>
        <v>0.66060788444176954</v>
      </c>
      <c r="O60" s="11"/>
      <c r="P60" s="7">
        <v>4530.58</v>
      </c>
      <c r="Q60" s="2"/>
      <c r="R60" s="6">
        <f t="shared" si="40"/>
        <v>0.33818904661559396</v>
      </c>
      <c r="S60" s="2"/>
      <c r="T60" s="7">
        <v>1830.31</v>
      </c>
      <c r="U60" s="2"/>
      <c r="V60" s="6">
        <f t="shared" si="41"/>
        <v>1.0576098056529089E-2</v>
      </c>
      <c r="W60" s="2"/>
      <c r="X60" s="7">
        <f t="shared" si="42"/>
        <v>2700.27</v>
      </c>
      <c r="Y60" s="2"/>
      <c r="Z60" s="6">
        <f t="shared" si="43"/>
        <v>1.475307461577547</v>
      </c>
    </row>
    <row r="61" spans="1:26" s="27" customFormat="1" outlineLevel="1" collapsed="1" x14ac:dyDescent="0.25">
      <c r="A61" s="29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4131.68</v>
      </c>
      <c r="E61" s="1"/>
      <c r="F61" s="5">
        <f t="shared" ref="F61:F66" si="44">IF(D$12=0,0,D61/D$12)</f>
        <v>0.476128905867372</v>
      </c>
      <c r="G61" s="1"/>
      <c r="H61" s="1">
        <f>SUM(OSRRefH22_12x_0)</f>
        <v>4299.68</v>
      </c>
      <c r="I61" s="1"/>
      <c r="J61" s="5">
        <f t="shared" ref="J61:J66" si="45">IF(H$12=0,0,H61/H$12)</f>
        <v>4.0845996851394256E-2</v>
      </c>
      <c r="K61" s="1"/>
      <c r="L61" s="1">
        <f t="shared" ref="L61:L66" si="46">+D61-H61</f>
        <v>-168</v>
      </c>
      <c r="M61" s="1"/>
      <c r="N61" s="5">
        <f t="shared" ref="N61:N66" si="47">IF(H61=0,0,L61/H61)</f>
        <v>-3.9072675175827035E-2</v>
      </c>
      <c r="O61" s="14"/>
      <c r="P61" s="1">
        <f>SUM(OSRRefP22_12x_0)</f>
        <v>9920.86</v>
      </c>
      <c r="Q61" s="1"/>
      <c r="R61" s="5">
        <f t="shared" ref="R61:R66" si="48">IF(P$12=0,0,P61/P$12)</f>
        <v>0.7405511402528554</v>
      </c>
      <c r="S61" s="1"/>
      <c r="T61" s="1">
        <f>SUM(OSRRefT22_12x_0)</f>
        <v>12257.34</v>
      </c>
      <c r="U61" s="1"/>
      <c r="V61" s="5">
        <f t="shared" ref="V61:V66" si="49">IF(T$12=0,0,T61/T$12)</f>
        <v>7.0826706815903459E-2</v>
      </c>
      <c r="W61" s="1"/>
      <c r="X61" s="1">
        <f t="shared" ref="X61:X66" si="50">+P61-T61</f>
        <v>-2336.4799999999996</v>
      </c>
      <c r="Y61" s="1"/>
      <c r="Z61" s="5">
        <f t="shared" ref="Z61:Z66" si="51">IF(T61=0,0,X61/T61)</f>
        <v>-0.19061884552439595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8.36</v>
      </c>
      <c r="E62" s="2"/>
      <c r="F62" s="6">
        <f t="shared" si="44"/>
        <v>9.6339446739612681E-4</v>
      </c>
      <c r="G62" s="2"/>
      <c r="H62" s="7">
        <v>328.54</v>
      </c>
      <c r="I62" s="2"/>
      <c r="J62" s="6">
        <f t="shared" si="45"/>
        <v>3.121056405489959E-3</v>
      </c>
      <c r="K62" s="2"/>
      <c r="L62" s="7">
        <f t="shared" si="46"/>
        <v>-320.18</v>
      </c>
      <c r="M62" s="2"/>
      <c r="N62" s="6">
        <f t="shared" si="47"/>
        <v>-0.97455408778230956</v>
      </c>
      <c r="O62" s="11"/>
      <c r="P62" s="7">
        <v>494.25</v>
      </c>
      <c r="Q62" s="2"/>
      <c r="R62" s="6">
        <f t="shared" si="48"/>
        <v>3.6893716983202443E-2</v>
      </c>
      <c r="S62" s="2"/>
      <c r="T62" s="7">
        <v>985.62</v>
      </c>
      <c r="U62" s="2"/>
      <c r="V62" s="6">
        <f t="shared" si="49"/>
        <v>5.6952176224116134E-3</v>
      </c>
      <c r="W62" s="2"/>
      <c r="X62" s="7">
        <f t="shared" si="50"/>
        <v>-491.37</v>
      </c>
      <c r="Y62" s="2"/>
      <c r="Z62" s="6">
        <f t="shared" si="51"/>
        <v>-0.49853899068606561</v>
      </c>
    </row>
    <row r="63" spans="1:26" s="24" customFormat="1" hidden="1" outlineLevel="2" x14ac:dyDescent="0.25">
      <c r="A63" s="28"/>
      <c r="B63" s="11" t="str">
        <f>CONCATENATE("          ", "6283", " - ", "PLANT SERVICE")</f>
        <v xml:space="preserve">          6283 - PLANT SERVICE</v>
      </c>
      <c r="C63" s="11"/>
      <c r="D63" s="7"/>
      <c r="E63" s="2"/>
      <c r="F63" s="6">
        <f t="shared" si="44"/>
        <v>0</v>
      </c>
      <c r="G63" s="2"/>
      <c r="H63" s="7">
        <v>61.55</v>
      </c>
      <c r="I63" s="2"/>
      <c r="J63" s="6">
        <f t="shared" si="45"/>
        <v>5.8471121250960911E-4</v>
      </c>
      <c r="K63" s="2"/>
      <c r="L63" s="7">
        <f t="shared" si="46"/>
        <v>-61.55</v>
      </c>
      <c r="M63" s="2"/>
      <c r="N63" s="6">
        <f t="shared" si="47"/>
        <v>-1</v>
      </c>
      <c r="O63" s="11"/>
      <c r="P63" s="7"/>
      <c r="Q63" s="2"/>
      <c r="R63" s="6">
        <f t="shared" si="48"/>
        <v>0</v>
      </c>
      <c r="S63" s="2"/>
      <c r="T63" s="7">
        <v>184.65</v>
      </c>
      <c r="U63" s="2"/>
      <c r="V63" s="6">
        <f t="shared" si="49"/>
        <v>1.0669648890833227E-3</v>
      </c>
      <c r="W63" s="2"/>
      <c r="X63" s="7">
        <f t="shared" si="50"/>
        <v>-184.65</v>
      </c>
      <c r="Y63" s="2"/>
      <c r="Z63" s="6">
        <f t="shared" si="51"/>
        <v>-1</v>
      </c>
    </row>
    <row r="64" spans="1:26" s="24" customFormat="1" hidden="1" outlineLevel="2" x14ac:dyDescent="0.25">
      <c r="A64" s="28"/>
      <c r="B64" s="11" t="str">
        <f>CONCATENATE("          ", "6284", " - ", "TRASH REMOVAL EXPENSE")</f>
        <v xml:space="preserve">          6284 - TRASH REMOVAL EXPENSE</v>
      </c>
      <c r="C64" s="11"/>
      <c r="D64" s="7">
        <v>761</v>
      </c>
      <c r="E64" s="2"/>
      <c r="F64" s="6">
        <f t="shared" si="44"/>
        <v>8.7696553790484758E-2</v>
      </c>
      <c r="G64" s="2"/>
      <c r="H64" s="7">
        <v>623</v>
      </c>
      <c r="I64" s="2"/>
      <c r="J64" s="6">
        <f t="shared" si="45"/>
        <v>5.9183604450607063E-3</v>
      </c>
      <c r="K64" s="2"/>
      <c r="L64" s="7">
        <f t="shared" si="46"/>
        <v>138</v>
      </c>
      <c r="M64" s="2"/>
      <c r="N64" s="6">
        <f t="shared" si="47"/>
        <v>0.22150882825040127</v>
      </c>
      <c r="O64" s="11"/>
      <c r="P64" s="7">
        <v>2761</v>
      </c>
      <c r="Q64" s="2"/>
      <c r="R64" s="6">
        <f t="shared" si="48"/>
        <v>0.2060972232486028</v>
      </c>
      <c r="S64" s="2"/>
      <c r="T64" s="7">
        <v>1246</v>
      </c>
      <c r="U64" s="2"/>
      <c r="V64" s="6">
        <f t="shared" si="49"/>
        <v>7.1997739062974273E-3</v>
      </c>
      <c r="W64" s="2"/>
      <c r="X64" s="7">
        <f t="shared" si="50"/>
        <v>1515</v>
      </c>
      <c r="Y64" s="2"/>
      <c r="Z64" s="6">
        <f t="shared" si="51"/>
        <v>1.2158908507223114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7">
        <v>3256.35</v>
      </c>
      <c r="E65" s="2"/>
      <c r="F65" s="6">
        <f t="shared" si="44"/>
        <v>0.37525712606523653</v>
      </c>
      <c r="G65" s="2"/>
      <c r="H65" s="7">
        <v>3040.95</v>
      </c>
      <c r="I65" s="2"/>
      <c r="J65" s="6">
        <f t="shared" si="45"/>
        <v>2.8888343812852896E-2</v>
      </c>
      <c r="K65" s="2"/>
      <c r="L65" s="7">
        <f t="shared" si="46"/>
        <v>215.40000000000009</v>
      </c>
      <c r="M65" s="2"/>
      <c r="N65" s="6">
        <f t="shared" si="47"/>
        <v>7.0833127805455573E-2</v>
      </c>
      <c r="O65" s="11"/>
      <c r="P65" s="7">
        <v>6411.93</v>
      </c>
      <c r="Q65" s="2"/>
      <c r="R65" s="6">
        <f t="shared" si="48"/>
        <v>0.47862403790815428</v>
      </c>
      <c r="S65" s="2"/>
      <c r="T65" s="7">
        <v>9122.85</v>
      </c>
      <c r="U65" s="2"/>
      <c r="V65" s="6">
        <f t="shared" si="49"/>
        <v>5.2714652793792525E-2</v>
      </c>
      <c r="W65" s="2"/>
      <c r="X65" s="7">
        <f t="shared" si="50"/>
        <v>-2710.92</v>
      </c>
      <c r="Y65" s="2"/>
      <c r="Z65" s="6">
        <f t="shared" si="51"/>
        <v>-0.29715713839425179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7">
        <v>105.97</v>
      </c>
      <c r="E66" s="2"/>
      <c r="F66" s="6">
        <f t="shared" si="44"/>
        <v>1.2211831544254493E-2</v>
      </c>
      <c r="G66" s="2"/>
      <c r="H66" s="7">
        <v>245.64</v>
      </c>
      <c r="I66" s="2"/>
      <c r="J66" s="6">
        <f t="shared" si="45"/>
        <v>2.3335249754810783E-3</v>
      </c>
      <c r="K66" s="2"/>
      <c r="L66" s="7">
        <f t="shared" si="46"/>
        <v>-139.66999999999999</v>
      </c>
      <c r="M66" s="2"/>
      <c r="N66" s="6">
        <f t="shared" si="47"/>
        <v>-0.56859631981761927</v>
      </c>
      <c r="O66" s="11"/>
      <c r="P66" s="7">
        <v>253.68</v>
      </c>
      <c r="Q66" s="2"/>
      <c r="R66" s="6">
        <f t="shared" si="48"/>
        <v>1.8936162112895893E-2</v>
      </c>
      <c r="S66" s="2"/>
      <c r="T66" s="7">
        <v>718.22</v>
      </c>
      <c r="U66" s="2"/>
      <c r="V66" s="6">
        <f t="shared" si="49"/>
        <v>4.1500976043185702E-3</v>
      </c>
      <c r="W66" s="2"/>
      <c r="X66" s="7">
        <f t="shared" si="50"/>
        <v>-464.54</v>
      </c>
      <c r="Y66" s="2"/>
      <c r="Z66" s="6">
        <f t="shared" si="51"/>
        <v>-0.64679346161343321</v>
      </c>
    </row>
    <row r="67" spans="1:26" s="27" customFormat="1" outlineLevel="1" collapsed="1" x14ac:dyDescent="0.25">
      <c r="A67" s="29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SUM(OSRRefD22_13x_0)</f>
        <v>131.34</v>
      </c>
      <c r="E67" s="1"/>
      <c r="F67" s="5">
        <f t="shared" ref="F67:F76" si="52">IF(D$12=0,0,D67/D$12)</f>
        <v>1.5135434132512835E-2</v>
      </c>
      <c r="G67" s="1"/>
      <c r="H67" s="1">
        <f>SUM(OSRRefH22_13x_0)</f>
        <v>196.71</v>
      </c>
      <c r="I67" s="1"/>
      <c r="J67" s="5">
        <f t="shared" ref="J67:J76" si="53">IF(H$12=0,0,H67/H$12)</f>
        <v>1.8687009360319287E-3</v>
      </c>
      <c r="K67" s="1"/>
      <c r="L67" s="1">
        <f t="shared" ref="L67:L76" si="54">+D67-H67</f>
        <v>-65.37</v>
      </c>
      <c r="M67" s="1"/>
      <c r="N67" s="5">
        <f t="shared" ref="N67:N76" si="55">IF(H67=0,0,L67/H67)</f>
        <v>-0.33231660820497178</v>
      </c>
      <c r="O67" s="14"/>
      <c r="P67" s="1">
        <f>SUM(OSRRefP22_13x_0)</f>
        <v>140.66</v>
      </c>
      <c r="Q67" s="1"/>
      <c r="R67" s="5">
        <f t="shared" ref="R67:R76" si="56">IF(P$12=0,0,P67/P$12)</f>
        <v>1.0499686860611543E-2</v>
      </c>
      <c r="S67" s="1"/>
      <c r="T67" s="1">
        <f>SUM(OSRRefT22_13x_0)</f>
        <v>590.13</v>
      </c>
      <c r="U67" s="1"/>
      <c r="V67" s="5">
        <f t="shared" ref="V67:V76" si="57">IF(T$12=0,0,T67/T$12)</f>
        <v>3.4099539127795354E-3</v>
      </c>
      <c r="W67" s="1"/>
      <c r="X67" s="1">
        <f t="shared" ref="X67:X76" si="58">+P67-T67</f>
        <v>-449.47</v>
      </c>
      <c r="Y67" s="1"/>
      <c r="Z67" s="5">
        <f t="shared" ref="Z67:Z76" si="59">IF(T67=0,0,X67/T67)</f>
        <v>-0.76164573907444133</v>
      </c>
    </row>
    <row r="68" spans="1:26" s="24" customFormat="1" hidden="1" outlineLevel="2" x14ac:dyDescent="0.25">
      <c r="A68" s="28"/>
      <c r="B68" s="11" t="str">
        <f>CONCATENATE("          ", "6275", " - ", "SUBSCRIPTIONS")</f>
        <v xml:space="preserve">          6275 - SUBSCRIPTIONS</v>
      </c>
      <c r="C68" s="11"/>
      <c r="D68" s="7">
        <v>131.34</v>
      </c>
      <c r="E68" s="2"/>
      <c r="F68" s="6">
        <f t="shared" si="52"/>
        <v>1.5135434132512835E-2</v>
      </c>
      <c r="G68" s="2"/>
      <c r="H68" s="7">
        <v>196.71</v>
      </c>
      <c r="I68" s="2"/>
      <c r="J68" s="6">
        <f t="shared" si="53"/>
        <v>1.8687009360319287E-3</v>
      </c>
      <c r="K68" s="2"/>
      <c r="L68" s="7">
        <f t="shared" si="54"/>
        <v>-65.37</v>
      </c>
      <c r="M68" s="2"/>
      <c r="N68" s="6">
        <f t="shared" si="55"/>
        <v>-0.33231660820497178</v>
      </c>
      <c r="O68" s="11"/>
      <c r="P68" s="7">
        <v>140.66</v>
      </c>
      <c r="Q68" s="2"/>
      <c r="R68" s="6">
        <f t="shared" si="56"/>
        <v>1.0499686860611543E-2</v>
      </c>
      <c r="S68" s="2"/>
      <c r="T68" s="7">
        <v>590.13</v>
      </c>
      <c r="U68" s="2"/>
      <c r="V68" s="6">
        <f t="shared" si="57"/>
        <v>3.4099539127795354E-3</v>
      </c>
      <c r="W68" s="2"/>
      <c r="X68" s="7">
        <f t="shared" si="58"/>
        <v>-449.47</v>
      </c>
      <c r="Y68" s="2"/>
      <c r="Z68" s="6">
        <f t="shared" si="59"/>
        <v>-0.76164573907444133</v>
      </c>
    </row>
    <row r="69" spans="1:26" s="27" customFormat="1" outlineLevel="1" collapsed="1" x14ac:dyDescent="0.25">
      <c r="A69" s="29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SUM(OSRRefD22_14x_0)</f>
        <v>9.3699999999999992</v>
      </c>
      <c r="E69" s="1"/>
      <c r="F69" s="5">
        <f t="shared" si="52"/>
        <v>1.0797854257777162E-3</v>
      </c>
      <c r="G69" s="1"/>
      <c r="H69" s="1">
        <f>SUM(OSRRefH22_14x_0)</f>
        <v>1179.5899999999999</v>
      </c>
      <c r="I69" s="1"/>
      <c r="J69" s="5">
        <f t="shared" si="53"/>
        <v>1.1205840766274733E-2</v>
      </c>
      <c r="K69" s="1"/>
      <c r="L69" s="1">
        <f t="shared" si="54"/>
        <v>-1170.22</v>
      </c>
      <c r="M69" s="1"/>
      <c r="N69" s="5">
        <f t="shared" si="55"/>
        <v>-0.99205656202578874</v>
      </c>
      <c r="O69" s="14"/>
      <c r="P69" s="1">
        <f>SUM(OSRRefP22_14x_0)</f>
        <v>1093.74</v>
      </c>
      <c r="Q69" s="1"/>
      <c r="R69" s="5">
        <f t="shared" si="56"/>
        <v>8.1643164417213629E-2</v>
      </c>
      <c r="S69" s="1"/>
      <c r="T69" s="1">
        <f>SUM(OSRRefT22_14x_0)</f>
        <v>8610.84</v>
      </c>
      <c r="U69" s="1"/>
      <c r="V69" s="5">
        <f t="shared" si="57"/>
        <v>4.975610043603703E-2</v>
      </c>
      <c r="W69" s="1"/>
      <c r="X69" s="1">
        <f t="shared" si="58"/>
        <v>-7517.1</v>
      </c>
      <c r="Y69" s="1"/>
      <c r="Z69" s="5">
        <f t="shared" si="59"/>
        <v>-0.87298103320930365</v>
      </c>
    </row>
    <row r="70" spans="1:26" s="24" customFormat="1" hidden="1" outlineLevel="2" x14ac:dyDescent="0.25">
      <c r="A70" s="28"/>
      <c r="B70" s="11" t="str">
        <f>CONCATENATE("          ", "6234", " - ", "EXPENDABLE SUPPLIES &amp; EQUIPMEN")</f>
        <v xml:space="preserve">          6234 - EXPENDABLE SUPPLIES &amp; EQUIPMEN</v>
      </c>
      <c r="C70" s="11"/>
      <c r="D70" s="7"/>
      <c r="E70" s="2"/>
      <c r="F70" s="6">
        <f t="shared" si="52"/>
        <v>0</v>
      </c>
      <c r="G70" s="2"/>
      <c r="H70" s="7"/>
      <c r="I70" s="2"/>
      <c r="J70" s="6">
        <f t="shared" si="53"/>
        <v>0</v>
      </c>
      <c r="K70" s="2"/>
      <c r="L70" s="7">
        <f t="shared" si="54"/>
        <v>0</v>
      </c>
      <c r="M70" s="2"/>
      <c r="N70" s="6">
        <f t="shared" si="55"/>
        <v>0</v>
      </c>
      <c r="O70" s="11"/>
      <c r="P70" s="7">
        <v>255.78</v>
      </c>
      <c r="Q70" s="2"/>
      <c r="R70" s="6">
        <f t="shared" si="56"/>
        <v>1.9092918421777481E-2</v>
      </c>
      <c r="S70" s="2"/>
      <c r="T70" s="7"/>
      <c r="U70" s="2"/>
      <c r="V70" s="6">
        <f t="shared" si="57"/>
        <v>0</v>
      </c>
      <c r="W70" s="2"/>
      <c r="X70" s="7">
        <f t="shared" si="58"/>
        <v>255.78</v>
      </c>
      <c r="Y70" s="2"/>
      <c r="Z70" s="6">
        <f t="shared" si="59"/>
        <v>0</v>
      </c>
    </row>
    <row r="71" spans="1:26" s="24" customFormat="1" hidden="1" outlineLevel="2" x14ac:dyDescent="0.25">
      <c r="A71" s="28"/>
      <c r="B71" s="11" t="str">
        <f>CONCATENATE("          ", "6235", " - ", "COVID-19 EXPENSES")</f>
        <v xml:space="preserve">          6235 - COVID-19 EXPENSES</v>
      </c>
      <c r="C71" s="11"/>
      <c r="D71" s="7"/>
      <c r="E71" s="2"/>
      <c r="F71" s="6">
        <f t="shared" si="52"/>
        <v>0</v>
      </c>
      <c r="G71" s="2"/>
      <c r="H71" s="7"/>
      <c r="I71" s="2"/>
      <c r="J71" s="6">
        <f t="shared" si="53"/>
        <v>0</v>
      </c>
      <c r="K71" s="2"/>
      <c r="L71" s="7">
        <f t="shared" si="54"/>
        <v>0</v>
      </c>
      <c r="M71" s="2"/>
      <c r="N71" s="6">
        <f t="shared" si="55"/>
        <v>0</v>
      </c>
      <c r="O71" s="11"/>
      <c r="P71" s="7">
        <v>821.97</v>
      </c>
      <c r="Q71" s="2"/>
      <c r="R71" s="6">
        <f t="shared" si="56"/>
        <v>6.1356658672094916E-2</v>
      </c>
      <c r="S71" s="2"/>
      <c r="T71" s="7"/>
      <c r="U71" s="2"/>
      <c r="V71" s="6">
        <f t="shared" si="57"/>
        <v>0</v>
      </c>
      <c r="W71" s="2"/>
      <c r="X71" s="7">
        <f t="shared" si="58"/>
        <v>821.97</v>
      </c>
      <c r="Y71" s="2"/>
      <c r="Z71" s="6">
        <f t="shared" si="59"/>
        <v>0</v>
      </c>
    </row>
    <row r="72" spans="1:26" s="24" customFormat="1" hidden="1" outlineLevel="2" x14ac:dyDescent="0.25">
      <c r="A72" s="28"/>
      <c r="B72" s="11" t="str">
        <f>CONCATENATE("          ", "6237", " - ", "JANITORIAL SUPPLIES")</f>
        <v xml:space="preserve">          6237 - JANITORIAL SUPPLIES</v>
      </c>
      <c r="C72" s="11"/>
      <c r="D72" s="7"/>
      <c r="E72" s="2"/>
      <c r="F72" s="6">
        <f t="shared" si="52"/>
        <v>0</v>
      </c>
      <c r="G72" s="2"/>
      <c r="H72" s="7">
        <v>261.43</v>
      </c>
      <c r="I72" s="2"/>
      <c r="J72" s="6">
        <f t="shared" si="53"/>
        <v>2.4835264384465818E-3</v>
      </c>
      <c r="K72" s="2"/>
      <c r="L72" s="7">
        <f t="shared" si="54"/>
        <v>-261.43</v>
      </c>
      <c r="M72" s="2"/>
      <c r="N72" s="6">
        <f t="shared" si="55"/>
        <v>-1</v>
      </c>
      <c r="O72" s="11"/>
      <c r="P72" s="7"/>
      <c r="Q72" s="2"/>
      <c r="R72" s="6">
        <f t="shared" si="56"/>
        <v>0</v>
      </c>
      <c r="S72" s="2"/>
      <c r="T72" s="7">
        <v>1502.95</v>
      </c>
      <c r="U72" s="2"/>
      <c r="V72" s="6">
        <f t="shared" si="57"/>
        <v>8.6845105878569171E-3</v>
      </c>
      <c r="W72" s="2"/>
      <c r="X72" s="7">
        <f t="shared" si="58"/>
        <v>-1502.95</v>
      </c>
      <c r="Y72" s="2"/>
      <c r="Z72" s="6">
        <f t="shared" si="59"/>
        <v>-1</v>
      </c>
    </row>
    <row r="73" spans="1:26" s="24" customFormat="1" hidden="1" outlineLevel="2" x14ac:dyDescent="0.25">
      <c r="A73" s="28"/>
      <c r="B73" s="11" t="str">
        <f>CONCATENATE("          ", "6239", " - ", "KITCHEN SUPPLIES")</f>
        <v xml:space="preserve">          6239 - KITCHEN SUPPLIES</v>
      </c>
      <c r="C73" s="11"/>
      <c r="D73" s="7"/>
      <c r="E73" s="2"/>
      <c r="F73" s="6">
        <f t="shared" si="52"/>
        <v>0</v>
      </c>
      <c r="G73" s="2"/>
      <c r="H73" s="7">
        <v>12.69</v>
      </c>
      <c r="I73" s="2"/>
      <c r="J73" s="6">
        <f t="shared" si="53"/>
        <v>1.2055215738012898E-4</v>
      </c>
      <c r="K73" s="2"/>
      <c r="L73" s="7">
        <f t="shared" si="54"/>
        <v>-12.69</v>
      </c>
      <c r="M73" s="2"/>
      <c r="N73" s="6">
        <f t="shared" si="55"/>
        <v>-1</v>
      </c>
      <c r="O73" s="11"/>
      <c r="P73" s="7"/>
      <c r="Q73" s="2"/>
      <c r="R73" s="6">
        <f t="shared" si="56"/>
        <v>0</v>
      </c>
      <c r="S73" s="2"/>
      <c r="T73" s="7">
        <v>148.44999999999999</v>
      </c>
      <c r="U73" s="2"/>
      <c r="V73" s="6">
        <f t="shared" si="57"/>
        <v>8.5779007735943265E-4</v>
      </c>
      <c r="W73" s="2"/>
      <c r="X73" s="7">
        <f t="shared" si="58"/>
        <v>-148.44999999999999</v>
      </c>
      <c r="Y73" s="2"/>
      <c r="Z73" s="6">
        <f t="shared" si="59"/>
        <v>-1</v>
      </c>
    </row>
    <row r="74" spans="1:26" s="24" customFormat="1" hidden="1" outlineLevel="2" x14ac:dyDescent="0.25">
      <c r="A74" s="28"/>
      <c r="B74" s="11" t="str">
        <f>CONCATENATE("          ", "6241", " - ", "OFFICE EXPENSE")</f>
        <v xml:space="preserve">          6241 - OFFICE EXPENSE</v>
      </c>
      <c r="C74" s="11"/>
      <c r="D74" s="7">
        <v>9.3699999999999992</v>
      </c>
      <c r="E74" s="2"/>
      <c r="F74" s="6">
        <f t="shared" si="52"/>
        <v>1.0797854257777162E-3</v>
      </c>
      <c r="G74" s="2"/>
      <c r="H74" s="7">
        <v>282.94</v>
      </c>
      <c r="I74" s="2"/>
      <c r="J74" s="6">
        <f t="shared" si="53"/>
        <v>2.6878666201050985E-3</v>
      </c>
      <c r="K74" s="2"/>
      <c r="L74" s="7">
        <f t="shared" si="54"/>
        <v>-273.57</v>
      </c>
      <c r="M74" s="2"/>
      <c r="N74" s="6">
        <f t="shared" si="55"/>
        <v>-0.96688343818477418</v>
      </c>
      <c r="O74" s="11"/>
      <c r="P74" s="7">
        <v>15.99</v>
      </c>
      <c r="Q74" s="2"/>
      <c r="R74" s="6">
        <f t="shared" si="56"/>
        <v>1.1935873233412384E-3</v>
      </c>
      <c r="S74" s="2"/>
      <c r="T74" s="7">
        <v>5066.95</v>
      </c>
      <c r="U74" s="2"/>
      <c r="V74" s="6">
        <f t="shared" si="57"/>
        <v>2.9278406416142655E-2</v>
      </c>
      <c r="W74" s="2"/>
      <c r="X74" s="7">
        <f t="shared" si="58"/>
        <v>-5050.96</v>
      </c>
      <c r="Y74" s="2"/>
      <c r="Z74" s="6">
        <f t="shared" si="59"/>
        <v>-0.99684425541992727</v>
      </c>
    </row>
    <row r="75" spans="1:26" s="24" customFormat="1" hidden="1" outlineLevel="2" x14ac:dyDescent="0.25">
      <c r="A75" s="28"/>
      <c r="B75" s="11" t="str">
        <f>CONCATENATE("          ", "6243", " - ", "PAPER SUPPLIES")</f>
        <v xml:space="preserve">          6243 - PAPER SUPPLIES</v>
      </c>
      <c r="C75" s="11"/>
      <c r="D75" s="7"/>
      <c r="E75" s="2"/>
      <c r="F75" s="6">
        <f t="shared" si="52"/>
        <v>0</v>
      </c>
      <c r="G75" s="2"/>
      <c r="H75" s="7">
        <v>622.53</v>
      </c>
      <c r="I75" s="2"/>
      <c r="J75" s="6">
        <f t="shared" si="53"/>
        <v>5.9138955503429238E-3</v>
      </c>
      <c r="K75" s="2"/>
      <c r="L75" s="7">
        <f t="shared" si="54"/>
        <v>-622.53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1481.93</v>
      </c>
      <c r="U75" s="2"/>
      <c r="V75" s="6">
        <f t="shared" si="57"/>
        <v>8.5630505176238752E-3</v>
      </c>
      <c r="W75" s="2"/>
      <c r="X75" s="7">
        <f t="shared" si="58"/>
        <v>-1481.93</v>
      </c>
      <c r="Y75" s="2"/>
      <c r="Z75" s="6">
        <f t="shared" si="59"/>
        <v>-1</v>
      </c>
    </row>
    <row r="76" spans="1:26" s="24" customFormat="1" hidden="1" outlineLevel="2" x14ac:dyDescent="0.25">
      <c r="A76" s="28"/>
      <c r="B76" s="11" t="str">
        <f>CONCATENATE("          ", "6247", " - ", "STORE SUPPLIES")</f>
        <v xml:space="preserve">          6247 - STORE SUPPLIES</v>
      </c>
      <c r="C76" s="11"/>
      <c r="D76" s="7"/>
      <c r="E76" s="2"/>
      <c r="F76" s="6">
        <f t="shared" si="52"/>
        <v>0</v>
      </c>
      <c r="G76" s="2"/>
      <c r="H76" s="7"/>
      <c r="I76" s="2"/>
      <c r="J76" s="6">
        <f t="shared" si="53"/>
        <v>0</v>
      </c>
      <c r="K76" s="2"/>
      <c r="L76" s="7">
        <f t="shared" si="54"/>
        <v>0</v>
      </c>
      <c r="M76" s="2"/>
      <c r="N76" s="6">
        <f t="shared" si="55"/>
        <v>0</v>
      </c>
      <c r="O76" s="11"/>
      <c r="P76" s="7"/>
      <c r="Q76" s="2"/>
      <c r="R76" s="6">
        <f t="shared" si="56"/>
        <v>0</v>
      </c>
      <c r="S76" s="2"/>
      <c r="T76" s="7">
        <v>410.56</v>
      </c>
      <c r="U76" s="2"/>
      <c r="V76" s="6">
        <f t="shared" si="57"/>
        <v>2.3723428370541508E-3</v>
      </c>
      <c r="W76" s="2"/>
      <c r="X76" s="7">
        <f t="shared" si="58"/>
        <v>-410.56</v>
      </c>
      <c r="Y76" s="2"/>
      <c r="Z76" s="6">
        <f t="shared" si="59"/>
        <v>-1</v>
      </c>
    </row>
    <row r="77" spans="1:26" s="27" customFormat="1" outlineLevel="1" collapsed="1" x14ac:dyDescent="0.25">
      <c r="A77" s="29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SUM(OSRRefD22_15x_0)</f>
        <v>350</v>
      </c>
      <c r="E77" s="1"/>
      <c r="F77" s="5">
        <f t="shared" ref="F77:F82" si="60">IF(D$12=0,0,D77/D$12)</f>
        <v>4.0333500429263681E-2</v>
      </c>
      <c r="G77" s="1"/>
      <c r="H77" s="1">
        <f>SUM(OSRRefH22_15x_0)</f>
        <v>200</v>
      </c>
      <c r="I77" s="1"/>
      <c r="J77" s="5">
        <f t="shared" ref="J77:J82" si="61">IF(H$12=0,0,H77/H$12)</f>
        <v>1.8999551990564066E-3</v>
      </c>
      <c r="K77" s="1"/>
      <c r="L77" s="1">
        <f t="shared" ref="L77:L82" si="62">+D77-H77</f>
        <v>150</v>
      </c>
      <c r="M77" s="1"/>
      <c r="N77" s="5">
        <f t="shared" ref="N77:N82" si="63">IF(H77=0,0,L77/H77)</f>
        <v>0.75</v>
      </c>
      <c r="O77" s="14"/>
      <c r="P77" s="1">
        <f>SUM(OSRRefP22_15x_0)</f>
        <v>814</v>
      </c>
      <c r="Q77" s="1"/>
      <c r="R77" s="5">
        <f t="shared" ref="R77:R82" si="64">IF(P$12=0,0,P77/P$12)</f>
        <v>6.0761731156958598E-2</v>
      </c>
      <c r="S77" s="1"/>
      <c r="T77" s="1">
        <f>SUM(OSRRefT22_15x_0)</f>
        <v>442.5</v>
      </c>
      <c r="U77" s="1"/>
      <c r="V77" s="5">
        <f t="shared" ref="V77:V82" si="65">IF(T$12=0,0,T77/T$12)</f>
        <v>2.5569020493873286E-3</v>
      </c>
      <c r="W77" s="1"/>
      <c r="X77" s="1">
        <f t="shared" ref="X77:X82" si="66">+P77-T77</f>
        <v>371.5</v>
      </c>
      <c r="Y77" s="1"/>
      <c r="Z77" s="5">
        <f t="shared" ref="Z77:Z82" si="67">IF(T77=0,0,X77/T77)</f>
        <v>0.83954802259887007</v>
      </c>
    </row>
    <row r="78" spans="1:26" s="24" customFormat="1" hidden="1" outlineLevel="2" x14ac:dyDescent="0.25">
      <c r="A78" s="28"/>
      <c r="B78" s="11" t="str">
        <f>CONCATENATE("          ", "6309", " - ", "TELEPHONE")</f>
        <v xml:space="preserve">          6309 - TELEPHONE</v>
      </c>
      <c r="C78" s="11"/>
      <c r="D78" s="7">
        <v>350</v>
      </c>
      <c r="E78" s="2"/>
      <c r="F78" s="6">
        <f t="shared" si="60"/>
        <v>4.0333500429263681E-2</v>
      </c>
      <c r="G78" s="2"/>
      <c r="H78" s="7">
        <v>200</v>
      </c>
      <c r="I78" s="2"/>
      <c r="J78" s="6">
        <f t="shared" si="61"/>
        <v>1.8999551990564066E-3</v>
      </c>
      <c r="K78" s="2"/>
      <c r="L78" s="7">
        <f t="shared" si="62"/>
        <v>150</v>
      </c>
      <c r="M78" s="2"/>
      <c r="N78" s="6">
        <f t="shared" si="63"/>
        <v>0.75</v>
      </c>
      <c r="O78" s="11"/>
      <c r="P78" s="7">
        <v>814</v>
      </c>
      <c r="Q78" s="2"/>
      <c r="R78" s="6">
        <f t="shared" si="64"/>
        <v>6.0761731156958598E-2</v>
      </c>
      <c r="S78" s="2"/>
      <c r="T78" s="7">
        <v>442.5</v>
      </c>
      <c r="U78" s="2"/>
      <c r="V78" s="6">
        <f t="shared" si="65"/>
        <v>2.5569020493873286E-3</v>
      </c>
      <c r="W78" s="2"/>
      <c r="X78" s="7">
        <f t="shared" si="66"/>
        <v>371.5</v>
      </c>
      <c r="Y78" s="2"/>
      <c r="Z78" s="6">
        <f t="shared" si="67"/>
        <v>0.83954802259887007</v>
      </c>
    </row>
    <row r="79" spans="1:26" s="27" customFormat="1" outlineLevel="1" collapsed="1" x14ac:dyDescent="0.25">
      <c r="A79" s="29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SUM(OSRRefD22_16x_0)</f>
        <v>0</v>
      </c>
      <c r="E79" s="1"/>
      <c r="F79" s="5">
        <f t="shared" si="60"/>
        <v>0</v>
      </c>
      <c r="G79" s="1"/>
      <c r="H79" s="1">
        <f>SUM(OSRRefH22_16x_0)</f>
        <v>96</v>
      </c>
      <c r="I79" s="1"/>
      <c r="J79" s="5">
        <f t="shared" si="61"/>
        <v>9.1197849554707508E-4</v>
      </c>
      <c r="K79" s="1"/>
      <c r="L79" s="1">
        <f t="shared" si="62"/>
        <v>-96</v>
      </c>
      <c r="M79" s="1"/>
      <c r="N79" s="5">
        <f t="shared" si="63"/>
        <v>-1</v>
      </c>
      <c r="O79" s="14"/>
      <c r="P79" s="1">
        <f>SUM(OSRRefP22_16x_0)</f>
        <v>0</v>
      </c>
      <c r="Q79" s="1"/>
      <c r="R79" s="5">
        <f t="shared" si="64"/>
        <v>0</v>
      </c>
      <c r="S79" s="1"/>
      <c r="T79" s="1">
        <f>SUM(OSRRefT22_16x_0)</f>
        <v>96</v>
      </c>
      <c r="U79" s="1"/>
      <c r="V79" s="5">
        <f t="shared" si="65"/>
        <v>5.5471773274843748E-4</v>
      </c>
      <c r="W79" s="1"/>
      <c r="X79" s="1">
        <f t="shared" si="66"/>
        <v>-96</v>
      </c>
      <c r="Y79" s="1"/>
      <c r="Z79" s="5">
        <f t="shared" si="67"/>
        <v>-1</v>
      </c>
    </row>
    <row r="80" spans="1:26" s="24" customFormat="1" hidden="1" outlineLevel="2" x14ac:dyDescent="0.25">
      <c r="A80" s="28"/>
      <c r="B80" s="11" t="str">
        <f>CONCATENATE("          ", "6376", " - ", "TRAINING")</f>
        <v xml:space="preserve">          6376 - TRAINING</v>
      </c>
      <c r="C80" s="11"/>
      <c r="D80" s="7"/>
      <c r="E80" s="2"/>
      <c r="F80" s="6">
        <f t="shared" si="60"/>
        <v>0</v>
      </c>
      <c r="G80" s="2"/>
      <c r="H80" s="7">
        <v>96</v>
      </c>
      <c r="I80" s="2"/>
      <c r="J80" s="6">
        <f t="shared" si="61"/>
        <v>9.1197849554707508E-4</v>
      </c>
      <c r="K80" s="2"/>
      <c r="L80" s="7">
        <f t="shared" si="62"/>
        <v>-96</v>
      </c>
      <c r="M80" s="2"/>
      <c r="N80" s="6">
        <f t="shared" si="63"/>
        <v>-1</v>
      </c>
      <c r="O80" s="11"/>
      <c r="P80" s="7"/>
      <c r="Q80" s="2"/>
      <c r="R80" s="6">
        <f t="shared" si="64"/>
        <v>0</v>
      </c>
      <c r="S80" s="2"/>
      <c r="T80" s="7">
        <v>96</v>
      </c>
      <c r="U80" s="2"/>
      <c r="V80" s="6">
        <f t="shared" si="65"/>
        <v>5.5471773274843748E-4</v>
      </c>
      <c r="W80" s="2"/>
      <c r="X80" s="7">
        <f t="shared" si="66"/>
        <v>-96</v>
      </c>
      <c r="Y80" s="2"/>
      <c r="Z80" s="6">
        <f t="shared" si="67"/>
        <v>-1</v>
      </c>
    </row>
    <row r="81" spans="1:26" s="27" customFormat="1" outlineLevel="1" collapsed="1" x14ac:dyDescent="0.25">
      <c r="A81" s="29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SUM(OSRRefD22_17x_0)</f>
        <v>2300</v>
      </c>
      <c r="E81" s="1"/>
      <c r="F81" s="5">
        <f t="shared" si="60"/>
        <v>0.26504871710658995</v>
      </c>
      <c r="G81" s="1"/>
      <c r="H81" s="1">
        <f>SUM(OSRRefH22_17x_0)</f>
        <v>2031</v>
      </c>
      <c r="I81" s="1"/>
      <c r="J81" s="5">
        <f t="shared" si="61"/>
        <v>1.929404504641781E-2</v>
      </c>
      <c r="K81" s="1"/>
      <c r="L81" s="1">
        <f t="shared" si="62"/>
        <v>269</v>
      </c>
      <c r="M81" s="1"/>
      <c r="N81" s="5">
        <f t="shared" si="63"/>
        <v>0.13244707040866568</v>
      </c>
      <c r="O81" s="14"/>
      <c r="P81" s="1">
        <f>SUM(OSRRefP22_17x_0)</f>
        <v>6900</v>
      </c>
      <c r="Q81" s="1"/>
      <c r="R81" s="5">
        <f t="shared" si="64"/>
        <v>0.51505644346807655</v>
      </c>
      <c r="S81" s="1"/>
      <c r="T81" s="1">
        <f>SUM(OSRRefT22_17x_0)</f>
        <v>4062</v>
      </c>
      <c r="U81" s="1"/>
      <c r="V81" s="5">
        <f t="shared" si="65"/>
        <v>2.3471494066918258E-2</v>
      </c>
      <c r="W81" s="1"/>
      <c r="X81" s="1">
        <f t="shared" si="66"/>
        <v>2838</v>
      </c>
      <c r="Y81" s="1"/>
      <c r="Z81" s="5">
        <f t="shared" si="67"/>
        <v>0.69867060561299854</v>
      </c>
    </row>
    <row r="82" spans="1:26" s="24" customFormat="1" hidden="1" outlineLevel="2" x14ac:dyDescent="0.25">
      <c r="A82" s="28"/>
      <c r="B82" s="11" t="str">
        <f>CONCATENATE("          ", "6274", " - ", "UTILITIES")</f>
        <v xml:space="preserve">          6274 - UTILITIES</v>
      </c>
      <c r="C82" s="11"/>
      <c r="D82" s="7">
        <v>2300</v>
      </c>
      <c r="E82" s="2"/>
      <c r="F82" s="6">
        <f t="shared" si="60"/>
        <v>0.26504871710658995</v>
      </c>
      <c r="G82" s="2"/>
      <c r="H82" s="7">
        <v>2031</v>
      </c>
      <c r="I82" s="2"/>
      <c r="J82" s="6">
        <f t="shared" si="61"/>
        <v>1.929404504641781E-2</v>
      </c>
      <c r="K82" s="2"/>
      <c r="L82" s="7">
        <f t="shared" si="62"/>
        <v>269</v>
      </c>
      <c r="M82" s="2"/>
      <c r="N82" s="6">
        <f t="shared" si="63"/>
        <v>0.13244707040866568</v>
      </c>
      <c r="O82" s="11"/>
      <c r="P82" s="7">
        <v>6900</v>
      </c>
      <c r="Q82" s="2"/>
      <c r="R82" s="6">
        <f t="shared" si="64"/>
        <v>0.51505644346807655</v>
      </c>
      <c r="S82" s="2"/>
      <c r="T82" s="7">
        <v>4062</v>
      </c>
      <c r="U82" s="2"/>
      <c r="V82" s="6">
        <f t="shared" si="65"/>
        <v>2.3471494066918258E-2</v>
      </c>
      <c r="W82" s="2"/>
      <c r="X82" s="7">
        <f t="shared" si="66"/>
        <v>2838</v>
      </c>
      <c r="Y82" s="2"/>
      <c r="Z82" s="6">
        <f t="shared" si="67"/>
        <v>0.69867060561299854</v>
      </c>
    </row>
    <row r="83" spans="1:26" s="60" customFormat="1" x14ac:dyDescent="0.25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6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5" t="s">
        <v>3</v>
      </c>
      <c r="C86" s="25"/>
      <c r="D86" s="22">
        <f>+D20-D22+D84</f>
        <v>-58698.53</v>
      </c>
      <c r="E86" s="13"/>
      <c r="F86" s="21">
        <f>IF(D$12=0,0,D86/D$12)</f>
        <v>-6.7643348141489925</v>
      </c>
      <c r="G86" s="13"/>
      <c r="H86" s="22">
        <f>+H20-H22+H84</f>
        <v>-4482.390000000014</v>
      </c>
      <c r="I86" s="13"/>
      <c r="J86" s="21">
        <f>IF(H$12=0,0,H86/H$12)</f>
        <v>-4.2581700923492366E-2</v>
      </c>
      <c r="K86" s="15"/>
      <c r="L86" s="22">
        <f>+D86-H86</f>
        <v>-54216.139999999985</v>
      </c>
      <c r="M86" s="15"/>
      <c r="N86" s="21">
        <f>IF(H86=0,0,L86/H86)</f>
        <v>12.095364303418448</v>
      </c>
      <c r="O86" s="26"/>
      <c r="P86" s="22">
        <f>+P20-P22+P84</f>
        <v>-182664.23999999996</v>
      </c>
      <c r="Q86" s="13"/>
      <c r="R86" s="21">
        <f>IF(P$12=0,0,P86/P$12)</f>
        <v>-13.63512953669553</v>
      </c>
      <c r="S86" s="13"/>
      <c r="T86" s="22">
        <f>+T20-T22+T84</f>
        <v>-85341.670000000027</v>
      </c>
      <c r="U86" s="13"/>
      <c r="V86" s="21">
        <f>IF(T$12=0,0,T86/T$12)</f>
        <v>-0.49313060095172245</v>
      </c>
      <c r="W86" s="15"/>
      <c r="X86" s="22">
        <f>+P86-T86</f>
        <v>-97322.569999999934</v>
      </c>
      <c r="Y86" s="15"/>
      <c r="Z86" s="21">
        <f>IF(T86=0,0,X86/T86)</f>
        <v>1.1403874566785475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1"/>
      <c r="B88" s="10" t="s">
        <v>13</v>
      </c>
      <c r="C88" s="10"/>
      <c r="D88" s="4">
        <v>1685.06</v>
      </c>
      <c r="E88" s="4"/>
      <c r="F88" s="12">
        <f>IF(D$12=0,0,D88/D$12)</f>
        <v>0.19418390923810017</v>
      </c>
      <c r="G88" s="4"/>
      <c r="H88" s="4">
        <v>10136.200000000001</v>
      </c>
      <c r="I88" s="4"/>
      <c r="J88" s="12">
        <f>IF(H$12=0,0,H88/H$12)</f>
        <v>9.6291629443377741E-2</v>
      </c>
      <c r="K88" s="4"/>
      <c r="L88" s="4">
        <f>+D88-H88</f>
        <v>-8451.1400000000012</v>
      </c>
      <c r="M88" s="4"/>
      <c r="N88" s="12">
        <f>IF(H88=0,0,L88/H88)</f>
        <v>-0.8337582131370731</v>
      </c>
      <c r="O88" s="10"/>
      <c r="P88" s="4">
        <v>2481.79</v>
      </c>
      <c r="Q88" s="4"/>
      <c r="R88" s="12">
        <f>IF(P$12=0,0,P88/P$12)</f>
        <v>0.18525535229487503</v>
      </c>
      <c r="S88" s="4"/>
      <c r="T88" s="4">
        <v>18589.04</v>
      </c>
      <c r="U88" s="4"/>
      <c r="V88" s="12">
        <f>IF(T$12=0,0,T88/T$12)</f>
        <v>0.10741323044552098</v>
      </c>
      <c r="W88" s="4"/>
      <c r="X88" s="4">
        <f>+P88-T88</f>
        <v>-16107.25</v>
      </c>
      <c r="Y88" s="4"/>
      <c r="Z88" s="12">
        <f>IF(T88=0,0,X88/T88)</f>
        <v>-0.86649176073643386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4</v>
      </c>
      <c r="C90" s="25"/>
      <c r="D90" s="33">
        <f>+D86-D88</f>
        <v>-60383.59</v>
      </c>
      <c r="E90" s="13"/>
      <c r="F90" s="32">
        <f>IF(D$12=0,0,D90/D$12)</f>
        <v>-6.9585187233870922</v>
      </c>
      <c r="G90" s="13"/>
      <c r="H90" s="33">
        <f>+H86-H88</f>
        <v>-14618.590000000015</v>
      </c>
      <c r="I90" s="13"/>
      <c r="J90" s="32">
        <f>IF(H$12=0,0,H90/H$12)</f>
        <v>-0.13887333036687011</v>
      </c>
      <c r="K90" s="15"/>
      <c r="L90" s="33">
        <f>D90-H90</f>
        <v>-45764.999999999985</v>
      </c>
      <c r="M90" s="15"/>
      <c r="N90" s="32">
        <f>IF(H90=0,0,L90/H90)</f>
        <v>3.1306028830413837</v>
      </c>
      <c r="O90" s="26"/>
      <c r="P90" s="33">
        <f>+P86-P88</f>
        <v>-185146.02999999997</v>
      </c>
      <c r="Q90" s="13"/>
      <c r="R90" s="32">
        <f>IF(P$12=0,0,P90/P$12)</f>
        <v>-13.820384888990406</v>
      </c>
      <c r="S90" s="13"/>
      <c r="T90" s="33">
        <f>+T86-T88</f>
        <v>-103930.71000000002</v>
      </c>
      <c r="U90" s="13"/>
      <c r="V90" s="32">
        <f>IF(T$12=0,0,T90/T$12)</f>
        <v>-0.60054383139724343</v>
      </c>
      <c r="W90" s="15"/>
      <c r="X90" s="33">
        <f>P90-T90</f>
        <v>-81215.319999999949</v>
      </c>
      <c r="Y90" s="15"/>
      <c r="Z90" s="32">
        <f>IF(T90=0,0,X90/T90)</f>
        <v>0.78143717097670107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5" t="s">
        <v>5</v>
      </c>
      <c r="C93" s="25"/>
      <c r="D93" s="34">
        <f>SUM(D90:D92)</f>
        <v>-60383.59</v>
      </c>
      <c r="E93" s="13"/>
      <c r="F93" s="31">
        <f>IF(D$12=0,0,D93/D$12)</f>
        <v>-6.9585187233870922</v>
      </c>
      <c r="G93" s="13"/>
      <c r="H93" s="34">
        <f>SUM(H90:H92)</f>
        <v>-14618.590000000015</v>
      </c>
      <c r="I93" s="13"/>
      <c r="J93" s="31">
        <f>IF(H$12=0,0,H93/H$12)</f>
        <v>-0.13887333036687011</v>
      </c>
      <c r="K93" s="15"/>
      <c r="L93" s="34">
        <f>+D93-H93</f>
        <v>-45764.999999999985</v>
      </c>
      <c r="M93" s="15"/>
      <c r="N93" s="31">
        <f>IF(H93=0,0,L93/H93)</f>
        <v>3.1306028830413837</v>
      </c>
      <c r="O93" s="26"/>
      <c r="P93" s="34">
        <f>SUM(P90:P92)</f>
        <v>-185146.02999999997</v>
      </c>
      <c r="Q93" s="13"/>
      <c r="R93" s="31">
        <f>IF(P$12=0,0,P93/P$12)</f>
        <v>-13.820384888990406</v>
      </c>
      <c r="S93" s="13"/>
      <c r="T93" s="34">
        <f>SUM(T90:T92)</f>
        <v>-103930.71000000002</v>
      </c>
      <c r="U93" s="13"/>
      <c r="V93" s="31">
        <f>IF(T$12=0,0,T93/T$12)</f>
        <v>-0.60054383139724343</v>
      </c>
      <c r="W93" s="15"/>
      <c r="X93" s="34">
        <f>+P93-T93</f>
        <v>-81215.319999999949</v>
      </c>
      <c r="Y93" s="15"/>
      <c r="Z93" s="31">
        <f>IF(T93=0,0,X93/T93)</f>
        <v>0.78143717097670107</v>
      </c>
    </row>
    <row r="94" spans="1:26" ht="15.75" thickTop="1" x14ac:dyDescent="0.25">
      <c r="A94" s="9"/>
      <c r="C94" s="9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4">
        <v>44123.565652314814</v>
      </c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A96" s="9"/>
      <c r="B96" s="59" t="s">
        <v>313</v>
      </c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  <row r="97" spans="1:24" x14ac:dyDescent="0.25">
      <c r="A97" s="9"/>
      <c r="B97" s="58"/>
      <c r="D97" s="18"/>
      <c r="E97" s="18"/>
      <c r="G97" s="18"/>
      <c r="H97" s="18"/>
      <c r="I97" s="18"/>
      <c r="J97" s="42"/>
      <c r="K97" s="18"/>
      <c r="L97" s="18"/>
      <c r="M97" s="18"/>
      <c r="P97" s="18"/>
      <c r="Q97" s="18"/>
      <c r="R97" s="42"/>
      <c r="S97" s="18"/>
      <c r="T97" s="18"/>
      <c r="U97" s="18"/>
      <c r="V97" s="42"/>
      <c r="W97" s="18"/>
      <c r="X97" s="18"/>
    </row>
    <row r="98" spans="1:24" x14ac:dyDescent="0.25"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179228.1</v>
      </c>
      <c r="I12" s="4"/>
      <c r="J12" s="12"/>
      <c r="K12" s="4"/>
      <c r="L12" s="4">
        <f t="shared" ref="L12:L14" si="0">+D12-H12</f>
        <v>-179228.1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293890.21999999997</v>
      </c>
      <c r="U12" s="4"/>
      <c r="V12" s="12"/>
      <c r="W12" s="4"/>
      <c r="X12" s="4">
        <f t="shared" ref="X12:X14" si="2">+P12-T12</f>
        <v>-293890.21999999997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--66898.61</f>
        <v>66898.61</v>
      </c>
      <c r="I13" s="2"/>
      <c r="J13" s="19"/>
      <c r="K13" s="2"/>
      <c r="L13" s="2">
        <f t="shared" si="0"/>
        <v>-66898.61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--110835.68</f>
        <v>110835.68</v>
      </c>
      <c r="U13" s="2"/>
      <c r="V13" s="19"/>
      <c r="W13" s="2"/>
      <c r="X13" s="2">
        <f t="shared" si="2"/>
        <v>-110835.68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--112329.49</f>
        <v>112329.49</v>
      </c>
      <c r="I14" s="2"/>
      <c r="J14" s="19"/>
      <c r="K14" s="2"/>
      <c r="L14" s="2">
        <f t="shared" si="0"/>
        <v>-112329.49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--183054.54</f>
        <v>183054.54</v>
      </c>
      <c r="U14" s="2"/>
      <c r="V14" s="19"/>
      <c r="W14" s="2"/>
      <c r="X14" s="2">
        <f t="shared" si="2"/>
        <v>-183054.54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69869.72</v>
      </c>
      <c r="I16" s="4"/>
      <c r="J16" s="12">
        <f t="shared" ref="J16:J18" si="7">IF(H$12=0,0,H16/H$12)</f>
        <v>0.38983686151892477</v>
      </c>
      <c r="K16" s="4"/>
      <c r="L16" s="4">
        <f t="shared" ref="L16:L18" si="8">+D16-H16</f>
        <v>-69869.72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108485.49</v>
      </c>
      <c r="U16" s="4"/>
      <c r="V16" s="12">
        <f t="shared" ref="V16:V18" si="11">IF(T$12=0,0,T16/T$12)</f>
        <v>0.36913610122854723</v>
      </c>
      <c r="W16" s="4"/>
      <c r="X16" s="4">
        <f t="shared" ref="X16:X18" si="12">+P16-T16</f>
        <v>-108485.49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57667.72</v>
      </c>
      <c r="I17" s="2"/>
      <c r="J17" s="19">
        <f t="shared" si="7"/>
        <v>0.32175601928492237</v>
      </c>
      <c r="K17" s="2"/>
      <c r="L17" s="2">
        <f t="shared" si="8"/>
        <v>-57667.72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109407.49</v>
      </c>
      <c r="U17" s="2"/>
      <c r="V17" s="19">
        <f t="shared" si="11"/>
        <v>0.37227332709472272</v>
      </c>
      <c r="W17" s="2"/>
      <c r="X17" s="2">
        <f t="shared" si="12"/>
        <v>-109407.49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12202</v>
      </c>
      <c r="I18" s="2"/>
      <c r="J18" s="19">
        <f t="shared" si="7"/>
        <v>6.8080842234002362E-2</v>
      </c>
      <c r="K18" s="2"/>
      <c r="L18" s="2">
        <f t="shared" si="8"/>
        <v>-12202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-922</v>
      </c>
      <c r="U18" s="2"/>
      <c r="V18" s="19">
        <f t="shared" si="11"/>
        <v>-3.1372258661754721E-3</v>
      </c>
      <c r="W18" s="2"/>
      <c r="X18" s="2">
        <f t="shared" si="12"/>
        <v>922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109358.38</v>
      </c>
      <c r="I20" s="13"/>
      <c r="J20" s="21">
        <f>IF(H$12=0,0,H20/H$12)</f>
        <v>0.61016313848107528</v>
      </c>
      <c r="K20" s="15"/>
      <c r="L20" s="22">
        <f>+D20-H20</f>
        <v>-109358.38</v>
      </c>
      <c r="M20" s="15"/>
      <c r="N20" s="21">
        <f>IF(H20=0,0,L20/H20)</f>
        <v>-1</v>
      </c>
      <c r="O20" s="26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185404.72999999998</v>
      </c>
      <c r="U20" s="13"/>
      <c r="V20" s="21">
        <f>IF(T$12=0,0,T20/T$12)</f>
        <v>0.63086389877145277</v>
      </c>
      <c r="W20" s="15"/>
      <c r="X20" s="22">
        <f>+P20-T20</f>
        <v>-185404.72999999998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7376.42</v>
      </c>
      <c r="E22" s="20"/>
      <c r="F22" s="36">
        <f t="shared" ref="F22:F31" si="14">IF(D$12=0,0,D22/D$12)</f>
        <v>0</v>
      </c>
      <c r="G22" s="20"/>
      <c r="H22" s="20">
        <f>SUM(OSRRefH22x_0)</f>
        <v>71915.180000000022</v>
      </c>
      <c r="I22" s="20"/>
      <c r="J22" s="36">
        <f t="shared" ref="J22:J31" si="15">IF(H$12=0,0,H22/H$12)</f>
        <v>0.40124946925175248</v>
      </c>
      <c r="K22" s="4"/>
      <c r="L22" s="20">
        <f t="shared" ref="L22:L31" si="16">+D22-H22</f>
        <v>-64538.760000000024</v>
      </c>
      <c r="M22" s="4"/>
      <c r="N22" s="36">
        <f t="shared" ref="N22:N31" si="17">IF(H22=0,0,L22/H22)</f>
        <v>-0.89742888775360086</v>
      </c>
      <c r="O22" s="10"/>
      <c r="P22" s="20">
        <f>SUM(OSRRefP22x_0)</f>
        <v>31806.040000000005</v>
      </c>
      <c r="Q22" s="20"/>
      <c r="R22" s="36">
        <f t="shared" ref="R22:R31" si="18">IF(P$12=0,0,P22/P$12)</f>
        <v>0</v>
      </c>
      <c r="S22" s="20"/>
      <c r="T22" s="20">
        <f>SUM(OSRRefT22x_0)</f>
        <v>154236.71999999997</v>
      </c>
      <c r="U22" s="20"/>
      <c r="V22" s="36">
        <f t="shared" ref="V22:V31" si="19">IF(T$12=0,0,T22/T$12)</f>
        <v>0.52481065889160916</v>
      </c>
      <c r="W22" s="4"/>
      <c r="X22" s="20">
        <f t="shared" ref="X22:X31" si="20">+P22-T22</f>
        <v>-122430.67999999996</v>
      </c>
      <c r="Y22" s="4"/>
      <c r="Z22" s="36">
        <f t="shared" ref="Z22:Z31" si="21">IF(T22=0,0,X22/T22)</f>
        <v>-0.79378425578552236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7911.23</v>
      </c>
      <c r="I23" s="1"/>
      <c r="J23" s="5">
        <f t="shared" si="15"/>
        <v>4.4140567243640919E-2</v>
      </c>
      <c r="K23" s="1"/>
      <c r="L23" s="1">
        <f t="shared" si="16"/>
        <v>-7911.23</v>
      </c>
      <c r="M23" s="1"/>
      <c r="N23" s="5">
        <f t="shared" si="17"/>
        <v>-1</v>
      </c>
      <c r="O23" s="14"/>
      <c r="P23" s="1">
        <f>SUM(OSRRefP22_0x_0)</f>
        <v>6083.9599999999991</v>
      </c>
      <c r="Q23" s="1"/>
      <c r="R23" s="5">
        <f t="shared" si="18"/>
        <v>0</v>
      </c>
      <c r="S23" s="1"/>
      <c r="T23" s="1">
        <f>SUM(OSRRefT22_0x_0)</f>
        <v>18820.34</v>
      </c>
      <c r="U23" s="1"/>
      <c r="V23" s="5">
        <f t="shared" si="19"/>
        <v>6.4038674032773191E-2</v>
      </c>
      <c r="W23" s="1"/>
      <c r="X23" s="1">
        <f t="shared" si="20"/>
        <v>-12736.380000000001</v>
      </c>
      <c r="Y23" s="1"/>
      <c r="Z23" s="5">
        <f t="shared" si="21"/>
        <v>-0.67673485176144543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1758.55</v>
      </c>
      <c r="I24" s="2"/>
      <c r="J24" s="6">
        <f t="shared" si="15"/>
        <v>9.8117984847242139E-3</v>
      </c>
      <c r="K24" s="2"/>
      <c r="L24" s="7">
        <f t="shared" si="16"/>
        <v>-1758.55</v>
      </c>
      <c r="M24" s="2"/>
      <c r="N24" s="6">
        <f t="shared" si="17"/>
        <v>-1</v>
      </c>
      <c r="O24" s="11"/>
      <c r="P24" s="7">
        <v>235.15</v>
      </c>
      <c r="Q24" s="2"/>
      <c r="R24" s="6">
        <f t="shared" si="18"/>
        <v>0</v>
      </c>
      <c r="S24" s="2"/>
      <c r="T24" s="7">
        <v>4088.84</v>
      </c>
      <c r="U24" s="2"/>
      <c r="V24" s="6">
        <f t="shared" si="19"/>
        <v>1.3912814111337221E-2</v>
      </c>
      <c r="W24" s="2"/>
      <c r="X24" s="7">
        <f t="shared" si="20"/>
        <v>-3853.69</v>
      </c>
      <c r="Y24" s="2"/>
      <c r="Z24" s="6">
        <f t="shared" si="21"/>
        <v>-0.94248980150849626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1565.06</v>
      </c>
      <c r="I25" s="2"/>
      <c r="J25" s="6">
        <f t="shared" si="15"/>
        <v>8.7322244670339083E-3</v>
      </c>
      <c r="K25" s="2"/>
      <c r="L25" s="7">
        <f t="shared" si="16"/>
        <v>-1565.06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2667.77</v>
      </c>
      <c r="U25" s="2"/>
      <c r="V25" s="6">
        <f t="shared" si="19"/>
        <v>9.077437146428351E-3</v>
      </c>
      <c r="W25" s="2"/>
      <c r="X25" s="7">
        <f t="shared" si="20"/>
        <v>-2667.77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2573.2800000000002</v>
      </c>
      <c r="I26" s="2"/>
      <c r="J26" s="6">
        <f t="shared" si="15"/>
        <v>1.4357570046214851E-2</v>
      </c>
      <c r="K26" s="2"/>
      <c r="L26" s="7">
        <f t="shared" si="16"/>
        <v>-2573.2800000000002</v>
      </c>
      <c r="M26" s="2"/>
      <c r="N26" s="6">
        <f t="shared" si="17"/>
        <v>-1</v>
      </c>
      <c r="O26" s="11"/>
      <c r="P26" s="7">
        <v>4780.67</v>
      </c>
      <c r="Q26" s="2"/>
      <c r="R26" s="6">
        <f t="shared" si="18"/>
        <v>0</v>
      </c>
      <c r="S26" s="2"/>
      <c r="T26" s="7">
        <v>7640.08</v>
      </c>
      <c r="U26" s="2"/>
      <c r="V26" s="6">
        <f t="shared" si="19"/>
        <v>2.5996373747993386E-2</v>
      </c>
      <c r="W26" s="2"/>
      <c r="X26" s="7">
        <f t="shared" si="20"/>
        <v>-2859.41</v>
      </c>
      <c r="Y26" s="2"/>
      <c r="Z26" s="6">
        <f t="shared" si="21"/>
        <v>-0.3742644056083182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104.87</v>
      </c>
      <c r="I27" s="2"/>
      <c r="J27" s="6">
        <f t="shared" si="15"/>
        <v>5.8512030200621448E-4</v>
      </c>
      <c r="K27" s="2"/>
      <c r="L27" s="7">
        <f t="shared" si="16"/>
        <v>-104.87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178.76</v>
      </c>
      <c r="U27" s="2"/>
      <c r="V27" s="6">
        <f t="shared" si="19"/>
        <v>6.0825433388018155E-4</v>
      </c>
      <c r="W27" s="2"/>
      <c r="X27" s="7">
        <f t="shared" si="20"/>
        <v>-178.76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512.70000000000005</v>
      </c>
      <c r="I28" s="2"/>
      <c r="J28" s="6">
        <f t="shared" si="15"/>
        <v>2.8606005419909044E-3</v>
      </c>
      <c r="K28" s="2"/>
      <c r="L28" s="7">
        <f t="shared" si="16"/>
        <v>-512.70000000000005</v>
      </c>
      <c r="M28" s="2"/>
      <c r="N28" s="6">
        <f t="shared" si="17"/>
        <v>-1</v>
      </c>
      <c r="O28" s="11"/>
      <c r="P28" s="7">
        <v>678.15</v>
      </c>
      <c r="Q28" s="2"/>
      <c r="R28" s="6">
        <f t="shared" si="18"/>
        <v>0</v>
      </c>
      <c r="S28" s="2"/>
      <c r="T28" s="7">
        <v>1049.1400000000001</v>
      </c>
      <c r="U28" s="2"/>
      <c r="V28" s="6">
        <f t="shared" si="19"/>
        <v>3.5698363831229234E-3</v>
      </c>
      <c r="W28" s="2"/>
      <c r="X28" s="7">
        <f t="shared" si="20"/>
        <v>-370.99000000000012</v>
      </c>
      <c r="Y28" s="2"/>
      <c r="Z28" s="6">
        <f t="shared" si="21"/>
        <v>-0.35361343576643733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521.64</v>
      </c>
      <c r="I29" s="2"/>
      <c r="J29" s="6">
        <f t="shared" si="15"/>
        <v>2.9104811131736596E-3</v>
      </c>
      <c r="K29" s="2"/>
      <c r="L29" s="7">
        <f t="shared" si="16"/>
        <v>-521.64</v>
      </c>
      <c r="M29" s="2"/>
      <c r="N29" s="6">
        <f t="shared" si="17"/>
        <v>-1</v>
      </c>
      <c r="O29" s="11"/>
      <c r="P29" s="7">
        <v>248.21</v>
      </c>
      <c r="Q29" s="2"/>
      <c r="R29" s="6">
        <f t="shared" si="18"/>
        <v>0</v>
      </c>
      <c r="S29" s="2"/>
      <c r="T29" s="7">
        <v>1218.29</v>
      </c>
      <c r="U29" s="2"/>
      <c r="V29" s="6">
        <f t="shared" si="19"/>
        <v>4.1453914322157441E-3</v>
      </c>
      <c r="W29" s="2"/>
      <c r="X29" s="7">
        <f t="shared" si="20"/>
        <v>-970.07999999999993</v>
      </c>
      <c r="Y29" s="2"/>
      <c r="Z29" s="6">
        <f t="shared" si="21"/>
        <v>-0.79626361539534918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536.96</v>
      </c>
      <c r="I30" s="2"/>
      <c r="J30" s="6">
        <f t="shared" si="15"/>
        <v>2.9959587810170392E-3</v>
      </c>
      <c r="K30" s="2"/>
      <c r="L30" s="7">
        <f t="shared" si="16"/>
        <v>-536.96</v>
      </c>
      <c r="M30" s="2"/>
      <c r="N30" s="6">
        <f t="shared" si="17"/>
        <v>-1</v>
      </c>
      <c r="O30" s="11"/>
      <c r="P30" s="7">
        <v>141.78</v>
      </c>
      <c r="Q30" s="2"/>
      <c r="R30" s="6">
        <f t="shared" si="18"/>
        <v>0</v>
      </c>
      <c r="S30" s="2"/>
      <c r="T30" s="7">
        <v>1169.04</v>
      </c>
      <c r="U30" s="2"/>
      <c r="V30" s="6">
        <f t="shared" si="19"/>
        <v>3.9778118509693856E-3</v>
      </c>
      <c r="W30" s="2"/>
      <c r="X30" s="7">
        <f t="shared" si="20"/>
        <v>-1027.26</v>
      </c>
      <c r="Y30" s="2"/>
      <c r="Z30" s="6">
        <f t="shared" si="21"/>
        <v>-0.87872100184766988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338.17</v>
      </c>
      <c r="I31" s="2"/>
      <c r="J31" s="6">
        <f t="shared" si="15"/>
        <v>1.886813507480133E-3</v>
      </c>
      <c r="K31" s="2"/>
      <c r="L31" s="7">
        <f t="shared" si="16"/>
        <v>-338.17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808.42</v>
      </c>
      <c r="U31" s="2"/>
      <c r="V31" s="6">
        <f t="shared" si="19"/>
        <v>2.7507550268260034E-3</v>
      </c>
      <c r="W31" s="2"/>
      <c r="X31" s="7">
        <f t="shared" si="20"/>
        <v>-808.42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8" si="22">IF(D$12=0,0,D32/D$12)</f>
        <v>0</v>
      </c>
      <c r="G32" s="1"/>
      <c r="H32" s="1">
        <f>SUM(OSRRefH22_1x_0)</f>
        <v>41784.789999999994</v>
      </c>
      <c r="I32" s="1"/>
      <c r="J32" s="5">
        <f t="shared" ref="J32:J38" si="23">IF(H$12=0,0,H32/H$12)</f>
        <v>0.23313749350687751</v>
      </c>
      <c r="K32" s="1"/>
      <c r="L32" s="1">
        <f t="shared" ref="L32:L38" si="24">+D32-H32</f>
        <v>-41784.789999999994</v>
      </c>
      <c r="M32" s="1"/>
      <c r="N32" s="5">
        <f t="shared" ref="N32:N38" si="25">IF(H32=0,0,L32/H32)</f>
        <v>-1</v>
      </c>
      <c r="O32" s="14"/>
      <c r="P32" s="1">
        <f>SUM(OSRRefP22_1x_0)</f>
        <v>2151.69</v>
      </c>
      <c r="Q32" s="1"/>
      <c r="R32" s="5">
        <f t="shared" ref="R32:R38" si="26">IF(P$12=0,0,P32/P$12)</f>
        <v>0</v>
      </c>
      <c r="S32" s="1"/>
      <c r="T32" s="1">
        <f>SUM(OSRRefT22_1x_0)</f>
        <v>78564.38</v>
      </c>
      <c r="U32" s="1"/>
      <c r="V32" s="5">
        <f t="shared" ref="V32:V38" si="27">IF(T$12=0,0,T32/T$12)</f>
        <v>0.2673256020564414</v>
      </c>
      <c r="W32" s="1"/>
      <c r="X32" s="1">
        <f t="shared" ref="X32:X38" si="28">+P32-T32</f>
        <v>-76412.69</v>
      </c>
      <c r="Y32" s="1"/>
      <c r="Z32" s="5">
        <f t="shared" ref="Z32:Z38" si="29">IF(T32=0,0,X32/T32)</f>
        <v>-0.97261239762854357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8590</v>
      </c>
      <c r="I33" s="2"/>
      <c r="J33" s="6">
        <f t="shared" si="23"/>
        <v>4.7927752400432747E-2</v>
      </c>
      <c r="K33" s="2"/>
      <c r="L33" s="7">
        <f t="shared" si="24"/>
        <v>-8590</v>
      </c>
      <c r="M33" s="2"/>
      <c r="N33" s="6">
        <f t="shared" si="25"/>
        <v>-1</v>
      </c>
      <c r="O33" s="11"/>
      <c r="P33" s="7">
        <v>2151.69</v>
      </c>
      <c r="Q33" s="2"/>
      <c r="R33" s="6">
        <f t="shared" si="26"/>
        <v>0</v>
      </c>
      <c r="S33" s="2"/>
      <c r="T33" s="7">
        <v>16078</v>
      </c>
      <c r="U33" s="2"/>
      <c r="V33" s="6">
        <f t="shared" si="27"/>
        <v>5.4707502685866854E-2</v>
      </c>
      <c r="W33" s="2"/>
      <c r="X33" s="7">
        <f t="shared" si="28"/>
        <v>-13926.31</v>
      </c>
      <c r="Y33" s="2"/>
      <c r="Z33" s="6">
        <f t="shared" si="29"/>
        <v>-0.86617178753576307</v>
      </c>
    </row>
    <row r="34" spans="1:26" s="24" customFormat="1" hidden="1" outlineLevel="2" x14ac:dyDescent="0.25">
      <c r="A34" s="28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>
        <v>2766.59</v>
      </c>
      <c r="I34" s="2"/>
      <c r="J34" s="6">
        <f t="shared" si="23"/>
        <v>1.5436139757102821E-2</v>
      </c>
      <c r="K34" s="2"/>
      <c r="L34" s="7">
        <f t="shared" si="24"/>
        <v>-2766.59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4653.29</v>
      </c>
      <c r="U34" s="2"/>
      <c r="V34" s="6">
        <f t="shared" si="27"/>
        <v>1.5833429230819592E-2</v>
      </c>
      <c r="W34" s="2"/>
      <c r="X34" s="7">
        <f t="shared" si="28"/>
        <v>-4653.29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11362.97</v>
      </c>
      <c r="I35" s="2"/>
      <c r="J35" s="6">
        <f t="shared" si="23"/>
        <v>6.3399489254196181E-2</v>
      </c>
      <c r="K35" s="2"/>
      <c r="L35" s="7">
        <f t="shared" si="24"/>
        <v>-11362.97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23063.79</v>
      </c>
      <c r="U35" s="2"/>
      <c r="V35" s="6">
        <f t="shared" si="27"/>
        <v>7.8477568937135783E-2</v>
      </c>
      <c r="W35" s="2"/>
      <c r="X35" s="7">
        <f t="shared" si="28"/>
        <v>-23063.79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2"/>
        <v>0</v>
      </c>
      <c r="G36" s="2"/>
      <c r="H36" s="7">
        <v>1517.75</v>
      </c>
      <c r="I36" s="2"/>
      <c r="J36" s="6">
        <f t="shared" si="23"/>
        <v>8.4682591624862386E-3</v>
      </c>
      <c r="K36" s="2"/>
      <c r="L36" s="7">
        <f t="shared" si="24"/>
        <v>-1517.75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3462.88</v>
      </c>
      <c r="U36" s="2"/>
      <c r="V36" s="6">
        <f t="shared" si="27"/>
        <v>1.1782903153429197E-2</v>
      </c>
      <c r="W36" s="2"/>
      <c r="X36" s="7">
        <f t="shared" si="28"/>
        <v>-3462.88</v>
      </c>
      <c r="Y36" s="2"/>
      <c r="Z36" s="6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2"/>
        <v>0</v>
      </c>
      <c r="G37" s="2"/>
      <c r="H37" s="7">
        <v>16767.48</v>
      </c>
      <c r="I37" s="2"/>
      <c r="J37" s="6">
        <f t="shared" si="23"/>
        <v>9.355385678919767E-2</v>
      </c>
      <c r="K37" s="2"/>
      <c r="L37" s="7">
        <f t="shared" si="24"/>
        <v>-16767.48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30526.42</v>
      </c>
      <c r="U37" s="2"/>
      <c r="V37" s="6">
        <f t="shared" si="27"/>
        <v>0.10387014579797858</v>
      </c>
      <c r="W37" s="2"/>
      <c r="X37" s="7">
        <f t="shared" si="28"/>
        <v>-30526.42</v>
      </c>
      <c r="Y37" s="2"/>
      <c r="Z37" s="6">
        <f t="shared" si="29"/>
        <v>-1</v>
      </c>
    </row>
    <row r="38" spans="1:26" s="24" customFormat="1" hidden="1" outlineLevel="2" x14ac:dyDescent="0.25">
      <c r="A38" s="28"/>
      <c r="B38" s="11" t="str">
        <f>CONCATENATE("          ", "6008", " - ", "STUDENT HOURLY-FICA EXEMPT")</f>
        <v xml:space="preserve">          6008 - STUDENT HOURLY-FICA EXEMPT</v>
      </c>
      <c r="C38" s="11"/>
      <c r="D38" s="7"/>
      <c r="E38" s="2"/>
      <c r="F38" s="6">
        <f t="shared" si="22"/>
        <v>0</v>
      </c>
      <c r="G38" s="2"/>
      <c r="H38" s="7">
        <v>780</v>
      </c>
      <c r="I38" s="2"/>
      <c r="J38" s="6">
        <f t="shared" si="23"/>
        <v>4.351996143461879E-3</v>
      </c>
      <c r="K38" s="2"/>
      <c r="L38" s="7">
        <f t="shared" si="24"/>
        <v>-780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780</v>
      </c>
      <c r="U38" s="2"/>
      <c r="V38" s="6">
        <f t="shared" si="27"/>
        <v>2.6540522512113539E-3</v>
      </c>
      <c r="W38" s="2"/>
      <c r="X38" s="7">
        <f t="shared" si="28"/>
        <v>-780</v>
      </c>
      <c r="Y38" s="2"/>
      <c r="Z38" s="6">
        <f t="shared" si="29"/>
        <v>-1</v>
      </c>
    </row>
    <row r="39" spans="1:26" s="27" customFormat="1" outlineLevel="1" collapsed="1" x14ac:dyDescent="0.25">
      <c r="A39" s="29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7" si="30">IF(D$12=0,0,D39/D$12)</f>
        <v>0</v>
      </c>
      <c r="G39" s="1"/>
      <c r="H39" s="1">
        <f>SUM(OSRRefH22_2x_0)</f>
        <v>67.03</v>
      </c>
      <c r="I39" s="1"/>
      <c r="J39" s="5">
        <f t="shared" ref="J39:J47" si="31">IF(H$12=0,0,H39/H$12)</f>
        <v>3.7399269422596119E-4</v>
      </c>
      <c r="K39" s="1"/>
      <c r="L39" s="1">
        <f t="shared" ref="L39:L47" si="32">+D39-H39</f>
        <v>-67.03</v>
      </c>
      <c r="M39" s="1"/>
      <c r="N39" s="5">
        <f t="shared" ref="N39:N47" si="33">IF(H39=0,0,L39/H39)</f>
        <v>-1</v>
      </c>
      <c r="O39" s="14"/>
      <c r="P39" s="1">
        <f>SUM(OSRRefP22_2x_0)</f>
        <v>0</v>
      </c>
      <c r="Q39" s="1"/>
      <c r="R39" s="5">
        <f t="shared" ref="R39:R47" si="34">IF(P$12=0,0,P39/P$12)</f>
        <v>0</v>
      </c>
      <c r="S39" s="1"/>
      <c r="T39" s="1">
        <f>SUM(OSRRefT22_2x_0)</f>
        <v>1503.93</v>
      </c>
      <c r="U39" s="1"/>
      <c r="V39" s="5">
        <f t="shared" ref="V39:V47" si="35">IF(T$12=0,0,T39/T$12)</f>
        <v>5.1173189771337073E-3</v>
      </c>
      <c r="W39" s="1"/>
      <c r="X39" s="1">
        <f t="shared" ref="X39:X47" si="36">+P39-T39</f>
        <v>-1503.93</v>
      </c>
      <c r="Y39" s="1"/>
      <c r="Z39" s="5">
        <f t="shared" ref="Z39:Z47" si="37">IF(T39=0,0,X39/T39)</f>
        <v>-1</v>
      </c>
    </row>
    <row r="40" spans="1:26" s="24" customFormat="1" hidden="1" outlineLevel="2" x14ac:dyDescent="0.25">
      <c r="A40" s="28"/>
      <c r="B40" s="11" t="str">
        <f>CONCATENATE("          ", "6362", " - ", "ADVERTISING EXPENSE")</f>
        <v xml:space="preserve">          6362 - ADVERTISING EXPENSE</v>
      </c>
      <c r="C40" s="11"/>
      <c r="D40" s="7"/>
      <c r="E40" s="2"/>
      <c r="F40" s="6">
        <f t="shared" si="30"/>
        <v>0</v>
      </c>
      <c r="G40" s="2"/>
      <c r="H40" s="7">
        <v>67.03</v>
      </c>
      <c r="I40" s="2"/>
      <c r="J40" s="6">
        <f t="shared" si="31"/>
        <v>3.7399269422596119E-4</v>
      </c>
      <c r="K40" s="2"/>
      <c r="L40" s="7">
        <f t="shared" si="32"/>
        <v>-67.03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1503.93</v>
      </c>
      <c r="U40" s="2"/>
      <c r="V40" s="6">
        <f t="shared" si="35"/>
        <v>5.1173189771337073E-3</v>
      </c>
      <c r="W40" s="2"/>
      <c r="X40" s="7">
        <f t="shared" si="36"/>
        <v>-1503.93</v>
      </c>
      <c r="Y40" s="2"/>
      <c r="Z40" s="6">
        <f t="shared" si="37"/>
        <v>-1</v>
      </c>
    </row>
    <row r="41" spans="1:26" s="27" customFormat="1" outlineLevel="1" collapsed="1" x14ac:dyDescent="0.25">
      <c r="A41" s="29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4.92</v>
      </c>
      <c r="I41" s="1"/>
      <c r="J41" s="5">
        <f t="shared" si="31"/>
        <v>2.7451052597221082E-5</v>
      </c>
      <c r="K41" s="1"/>
      <c r="L41" s="1">
        <f t="shared" si="32"/>
        <v>-4.92</v>
      </c>
      <c r="M41" s="1"/>
      <c r="N41" s="5">
        <f t="shared" si="33"/>
        <v>-1</v>
      </c>
      <c r="O41" s="14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19.45</v>
      </c>
      <c r="U41" s="1"/>
      <c r="V41" s="5">
        <f t="shared" si="35"/>
        <v>6.618117472571901E-5</v>
      </c>
      <c r="W41" s="1"/>
      <c r="X41" s="1">
        <f t="shared" si="36"/>
        <v>-19.45</v>
      </c>
      <c r="Y41" s="1"/>
      <c r="Z41" s="5">
        <f t="shared" si="37"/>
        <v>-1</v>
      </c>
    </row>
    <row r="42" spans="1:26" s="24" customFormat="1" hidden="1" outlineLevel="2" x14ac:dyDescent="0.25">
      <c r="A42" s="28"/>
      <c r="B42" s="11" t="str">
        <f>CONCATENATE("          ", "6272", " - ", "CASH (OVER/SHORT)")</f>
        <v xml:space="preserve">          6272 - CASH (OVER/SHORT)</v>
      </c>
      <c r="C42" s="11"/>
      <c r="D42" s="7"/>
      <c r="E42" s="2"/>
      <c r="F42" s="6">
        <f t="shared" si="30"/>
        <v>0</v>
      </c>
      <c r="G42" s="2"/>
      <c r="H42" s="7">
        <v>4.92</v>
      </c>
      <c r="I42" s="2"/>
      <c r="J42" s="6">
        <f t="shared" si="31"/>
        <v>2.7451052597221082E-5</v>
      </c>
      <c r="K42" s="2"/>
      <c r="L42" s="7">
        <f t="shared" si="32"/>
        <v>-4.92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19.45</v>
      </c>
      <c r="U42" s="2"/>
      <c r="V42" s="6">
        <f t="shared" si="35"/>
        <v>6.618117472571901E-5</v>
      </c>
      <c r="W42" s="2"/>
      <c r="X42" s="7">
        <f t="shared" si="36"/>
        <v>-19.45</v>
      </c>
      <c r="Y42" s="2"/>
      <c r="Z42" s="6">
        <f t="shared" si="37"/>
        <v>-1</v>
      </c>
    </row>
    <row r="43" spans="1:26" s="27" customFormat="1" outlineLevel="1" collapsed="1" x14ac:dyDescent="0.25">
      <c r="A43" s="29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0</v>
      </c>
      <c r="E43" s="1"/>
      <c r="F43" s="5">
        <f t="shared" si="30"/>
        <v>0</v>
      </c>
      <c r="G43" s="1"/>
      <c r="H43" s="1">
        <f>SUM(OSRRefH22_4x_0)</f>
        <v>6277.96</v>
      </c>
      <c r="I43" s="1"/>
      <c r="J43" s="5">
        <f t="shared" si="31"/>
        <v>3.5027766293343511E-2</v>
      </c>
      <c r="K43" s="1"/>
      <c r="L43" s="1">
        <f t="shared" si="32"/>
        <v>-6277.96</v>
      </c>
      <c r="M43" s="1"/>
      <c r="N43" s="5">
        <f t="shared" si="33"/>
        <v>-1</v>
      </c>
      <c r="O43" s="14"/>
      <c r="P43" s="1">
        <f>SUM(OSRRefP22_4x_0)</f>
        <v>0</v>
      </c>
      <c r="Q43" s="1"/>
      <c r="R43" s="5">
        <f t="shared" si="34"/>
        <v>0</v>
      </c>
      <c r="S43" s="1"/>
      <c r="T43" s="1">
        <f>SUM(OSRRefT22_4x_0)</f>
        <v>10105.370000000001</v>
      </c>
      <c r="U43" s="1"/>
      <c r="V43" s="5">
        <f t="shared" si="35"/>
        <v>3.4384846151056005E-2</v>
      </c>
      <c r="W43" s="1"/>
      <c r="X43" s="1">
        <f t="shared" si="36"/>
        <v>-10105.370000000001</v>
      </c>
      <c r="Y43" s="1"/>
      <c r="Z43" s="5">
        <f t="shared" si="37"/>
        <v>-1</v>
      </c>
    </row>
    <row r="44" spans="1:26" s="24" customFormat="1" hidden="1" outlineLevel="2" x14ac:dyDescent="0.25">
      <c r="A44" s="28"/>
      <c r="B44" s="11" t="str">
        <f>CONCATENATE("          ", "6381", " - ", "BANK/CREDIT CARD FEES")</f>
        <v xml:space="preserve">          6381 - BANK/CREDIT CARD FEES</v>
      </c>
      <c r="C44" s="11"/>
      <c r="D44" s="7"/>
      <c r="E44" s="2"/>
      <c r="F44" s="6">
        <f t="shared" si="30"/>
        <v>0</v>
      </c>
      <c r="G44" s="2"/>
      <c r="H44" s="7">
        <v>6277.96</v>
      </c>
      <c r="I44" s="2"/>
      <c r="J44" s="6">
        <f t="shared" si="31"/>
        <v>3.5027766293343511E-2</v>
      </c>
      <c r="K44" s="2"/>
      <c r="L44" s="7">
        <f t="shared" si="32"/>
        <v>-6277.96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10105.370000000001</v>
      </c>
      <c r="U44" s="2"/>
      <c r="V44" s="6">
        <f t="shared" si="35"/>
        <v>3.4384846151056005E-2</v>
      </c>
      <c r="W44" s="2"/>
      <c r="X44" s="7">
        <f t="shared" si="36"/>
        <v>-10105.370000000001</v>
      </c>
      <c r="Y44" s="2"/>
      <c r="Z44" s="6">
        <f t="shared" si="37"/>
        <v>-1</v>
      </c>
    </row>
    <row r="45" spans="1:26" s="27" customFormat="1" outlineLevel="1" collapsed="1" x14ac:dyDescent="0.25">
      <c r="A45" s="29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7177.55</v>
      </c>
      <c r="E45" s="1"/>
      <c r="F45" s="5">
        <f t="shared" si="30"/>
        <v>0</v>
      </c>
      <c r="G45" s="1"/>
      <c r="H45" s="1">
        <f>SUM(OSRRefH22_5x_0)</f>
        <v>8263.4700000000012</v>
      </c>
      <c r="I45" s="1"/>
      <c r="J45" s="5">
        <f t="shared" si="31"/>
        <v>4.610588406617043E-2</v>
      </c>
      <c r="K45" s="1"/>
      <c r="L45" s="1">
        <f t="shared" si="32"/>
        <v>-1085.920000000001</v>
      </c>
      <c r="M45" s="1"/>
      <c r="N45" s="5">
        <f t="shared" si="33"/>
        <v>-0.13141210653635832</v>
      </c>
      <c r="O45" s="14"/>
      <c r="P45" s="1">
        <f>SUM(OSRRefP22_5x_0)</f>
        <v>21532.65</v>
      </c>
      <c r="Q45" s="1"/>
      <c r="R45" s="5">
        <f t="shared" si="34"/>
        <v>0</v>
      </c>
      <c r="S45" s="1"/>
      <c r="T45" s="1">
        <f>SUM(OSRRefT22_5x_0)</f>
        <v>24790.410000000003</v>
      </c>
      <c r="U45" s="1"/>
      <c r="V45" s="5">
        <f t="shared" si="35"/>
        <v>8.4352619831990341E-2</v>
      </c>
      <c r="W45" s="1"/>
      <c r="X45" s="1">
        <f t="shared" si="36"/>
        <v>-3257.760000000002</v>
      </c>
      <c r="Y45" s="1"/>
      <c r="Z45" s="5">
        <f t="shared" si="37"/>
        <v>-0.13141210653635826</v>
      </c>
    </row>
    <row r="46" spans="1:26" s="24" customFormat="1" hidden="1" outlineLevel="2" x14ac:dyDescent="0.25">
      <c r="A46" s="28"/>
      <c r="B46" s="11" t="str">
        <f>CONCATENATE("          ", "6321", " - ", "BUILDING DEPRECIATION")</f>
        <v xml:space="preserve">          6321 - BUILDING DEPRECIATION</v>
      </c>
      <c r="C46" s="11"/>
      <c r="D46" s="7">
        <v>6537.05</v>
      </c>
      <c r="E46" s="2"/>
      <c r="F46" s="6">
        <f t="shared" si="30"/>
        <v>0</v>
      </c>
      <c r="G46" s="2"/>
      <c r="H46" s="7">
        <v>6537.05</v>
      </c>
      <c r="I46" s="2"/>
      <c r="J46" s="6">
        <f t="shared" si="31"/>
        <v>3.6473354345663428E-2</v>
      </c>
      <c r="K46" s="2"/>
      <c r="L46" s="7">
        <f t="shared" si="32"/>
        <v>0</v>
      </c>
      <c r="M46" s="2"/>
      <c r="N46" s="6">
        <f t="shared" si="33"/>
        <v>0</v>
      </c>
      <c r="O46" s="11"/>
      <c r="P46" s="7">
        <v>19611.150000000001</v>
      </c>
      <c r="Q46" s="2"/>
      <c r="R46" s="6">
        <f t="shared" si="34"/>
        <v>0</v>
      </c>
      <c r="S46" s="2"/>
      <c r="T46" s="7">
        <v>19611.150000000001</v>
      </c>
      <c r="U46" s="2"/>
      <c r="V46" s="6">
        <f t="shared" si="35"/>
        <v>6.6729508726081466E-2</v>
      </c>
      <c r="W46" s="2"/>
      <c r="X46" s="7">
        <f t="shared" si="36"/>
        <v>0</v>
      </c>
      <c r="Y46" s="2"/>
      <c r="Z46" s="6">
        <f t="shared" si="37"/>
        <v>0</v>
      </c>
    </row>
    <row r="47" spans="1:26" s="24" customFormat="1" hidden="1" outlineLevel="2" x14ac:dyDescent="0.25">
      <c r="A47" s="28"/>
      <c r="B47" s="11" t="str">
        <f>CONCATENATE("          ", "6322", " - ", "EQUIPMENT DEPRECIATION EXPENSE")</f>
        <v xml:space="preserve">          6322 - EQUIPMENT DEPRECIATION EXPENSE</v>
      </c>
      <c r="C47" s="11"/>
      <c r="D47" s="7">
        <v>640.5</v>
      </c>
      <c r="E47" s="2"/>
      <c r="F47" s="6">
        <f t="shared" si="30"/>
        <v>0</v>
      </c>
      <c r="G47" s="2"/>
      <c r="H47" s="7">
        <v>1726.42</v>
      </c>
      <c r="I47" s="2"/>
      <c r="J47" s="6">
        <f t="shared" si="31"/>
        <v>9.6325297205069969E-3</v>
      </c>
      <c r="K47" s="2"/>
      <c r="L47" s="7">
        <f t="shared" si="32"/>
        <v>-1085.92</v>
      </c>
      <c r="M47" s="2"/>
      <c r="N47" s="6">
        <f t="shared" si="33"/>
        <v>-0.62900105420465469</v>
      </c>
      <c r="O47" s="11"/>
      <c r="P47" s="7">
        <v>1921.5</v>
      </c>
      <c r="Q47" s="2"/>
      <c r="R47" s="6">
        <f t="shared" si="34"/>
        <v>0</v>
      </c>
      <c r="S47" s="2"/>
      <c r="T47" s="7">
        <v>5179.26</v>
      </c>
      <c r="U47" s="2"/>
      <c r="V47" s="6">
        <f t="shared" si="35"/>
        <v>1.7623111105908869E-2</v>
      </c>
      <c r="W47" s="2"/>
      <c r="X47" s="7">
        <f t="shared" si="36"/>
        <v>-3257.76</v>
      </c>
      <c r="Y47" s="2"/>
      <c r="Z47" s="6">
        <f t="shared" si="37"/>
        <v>-0.62900105420465469</v>
      </c>
    </row>
    <row r="48" spans="1:26" s="27" customFormat="1" outlineLevel="1" collapsed="1" x14ac:dyDescent="0.25">
      <c r="A48" s="29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SUM(OSRRefD22_6x_0)</f>
        <v>0</v>
      </c>
      <c r="E48" s="1"/>
      <c r="F48" s="5">
        <f t="shared" ref="F48:F54" si="38">IF(D$12=0,0,D48/D$12)</f>
        <v>0</v>
      </c>
      <c r="G48" s="1"/>
      <c r="H48" s="1">
        <f>SUM(OSRRefH22_6x_0)</f>
        <v>0</v>
      </c>
      <c r="I48" s="1"/>
      <c r="J48" s="5">
        <f t="shared" ref="J48:J54" si="39">IF(H$12=0,0,H48/H$12)</f>
        <v>0</v>
      </c>
      <c r="K48" s="1"/>
      <c r="L48" s="1">
        <f t="shared" ref="L48:L54" si="40">+D48-H48</f>
        <v>0</v>
      </c>
      <c r="M48" s="1"/>
      <c r="N48" s="5">
        <f t="shared" ref="N48:N54" si="41">IF(H48=0,0,L48/H48)</f>
        <v>0</v>
      </c>
      <c r="O48" s="14"/>
      <c r="P48" s="1">
        <f>SUM(OSRRefP22_6x_0)</f>
        <v>0</v>
      </c>
      <c r="Q48" s="1"/>
      <c r="R48" s="5">
        <f t="shared" ref="R48:R54" si="42">IF(P$12=0,0,P48/P$12)</f>
        <v>0</v>
      </c>
      <c r="S48" s="1"/>
      <c r="T48" s="1">
        <f>SUM(OSRRefT22_6x_0)</f>
        <v>8.25</v>
      </c>
      <c r="U48" s="1"/>
      <c r="V48" s="5">
        <f t="shared" ref="V48:V54" si="43">IF(T$12=0,0,T48/T$12)</f>
        <v>2.8071706503197013E-5</v>
      </c>
      <c r="W48" s="1"/>
      <c r="X48" s="1">
        <f t="shared" ref="X48:X54" si="44">+P48-T48</f>
        <v>-8.25</v>
      </c>
      <c r="Y48" s="1"/>
      <c r="Z48" s="5">
        <f t="shared" ref="Z48:Z54" si="45">IF(T48=0,0,X48/T48)</f>
        <v>-1</v>
      </c>
    </row>
    <row r="49" spans="1:26" s="24" customFormat="1" hidden="1" outlineLevel="2" x14ac:dyDescent="0.25">
      <c r="A49" s="28"/>
      <c r="B49" s="11" t="str">
        <f>CONCATENATE("          ", "6277", " - ", "EMPLOYEE APPRECIATION")</f>
        <v xml:space="preserve">          6277 - EMPLOYEE APPRECIATION</v>
      </c>
      <c r="C49" s="11"/>
      <c r="D49" s="7"/>
      <c r="E49" s="2"/>
      <c r="F49" s="6">
        <f t="shared" si="38"/>
        <v>0</v>
      </c>
      <c r="G49" s="2"/>
      <c r="H49" s="7"/>
      <c r="I49" s="2"/>
      <c r="J49" s="6">
        <f t="shared" si="39"/>
        <v>0</v>
      </c>
      <c r="K49" s="2"/>
      <c r="L49" s="7">
        <f t="shared" si="40"/>
        <v>0</v>
      </c>
      <c r="M49" s="2"/>
      <c r="N49" s="6">
        <f t="shared" si="41"/>
        <v>0</v>
      </c>
      <c r="O49" s="11"/>
      <c r="P49" s="7"/>
      <c r="Q49" s="2"/>
      <c r="R49" s="6">
        <f t="shared" si="42"/>
        <v>0</v>
      </c>
      <c r="S49" s="2"/>
      <c r="T49" s="7">
        <v>8.25</v>
      </c>
      <c r="U49" s="2"/>
      <c r="V49" s="6">
        <f t="shared" si="43"/>
        <v>2.8071706503197013E-5</v>
      </c>
      <c r="W49" s="2"/>
      <c r="X49" s="7">
        <f t="shared" si="44"/>
        <v>-8.25</v>
      </c>
      <c r="Y49" s="2"/>
      <c r="Z49" s="6">
        <f t="shared" si="45"/>
        <v>-1</v>
      </c>
    </row>
    <row r="50" spans="1:26" s="27" customFormat="1" outlineLevel="1" collapsed="1" x14ac:dyDescent="0.25">
      <c r="A50" s="29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0</v>
      </c>
      <c r="E50" s="1"/>
      <c r="F50" s="5">
        <f t="shared" si="38"/>
        <v>0</v>
      </c>
      <c r="G50" s="1"/>
      <c r="H50" s="1">
        <f>SUM(OSRRefH22_7x_0)</f>
        <v>465.64</v>
      </c>
      <c r="I50" s="1"/>
      <c r="J50" s="5">
        <f t="shared" si="39"/>
        <v>2.5980301080020373E-3</v>
      </c>
      <c r="K50" s="1"/>
      <c r="L50" s="1">
        <f t="shared" si="40"/>
        <v>-465.64</v>
      </c>
      <c r="M50" s="1"/>
      <c r="N50" s="5">
        <f t="shared" si="41"/>
        <v>-1</v>
      </c>
      <c r="O50" s="14"/>
      <c r="P50" s="1">
        <f>SUM(OSRRefP22_7x_0)</f>
        <v>263.72000000000003</v>
      </c>
      <c r="Q50" s="1"/>
      <c r="R50" s="5">
        <f t="shared" si="42"/>
        <v>0</v>
      </c>
      <c r="S50" s="1"/>
      <c r="T50" s="1">
        <f>SUM(OSRRefT22_7x_0)</f>
        <v>918.93</v>
      </c>
      <c r="U50" s="1"/>
      <c r="V50" s="5">
        <f t="shared" si="43"/>
        <v>3.1267797887251916E-3</v>
      </c>
      <c r="W50" s="1"/>
      <c r="X50" s="1">
        <f t="shared" si="44"/>
        <v>-655.20999999999992</v>
      </c>
      <c r="Y50" s="1"/>
      <c r="Z50" s="5">
        <f t="shared" si="45"/>
        <v>-0.71301404894823328</v>
      </c>
    </row>
    <row r="51" spans="1:26" s="24" customFormat="1" hidden="1" outlineLevel="2" x14ac:dyDescent="0.25">
      <c r="A51" s="28"/>
      <c r="B51" s="11" t="str">
        <f>CONCATENATE("          ", "6351", " - ", "EQUIPMENT RENTAL")</f>
        <v xml:space="preserve">          6351 - EQUIPMENT RENTAL</v>
      </c>
      <c r="C51" s="11"/>
      <c r="D51" s="7"/>
      <c r="E51" s="2"/>
      <c r="F51" s="6">
        <f t="shared" si="38"/>
        <v>0</v>
      </c>
      <c r="G51" s="2"/>
      <c r="H51" s="7">
        <v>465.64</v>
      </c>
      <c r="I51" s="2"/>
      <c r="J51" s="6">
        <f t="shared" si="39"/>
        <v>2.5980301080020373E-3</v>
      </c>
      <c r="K51" s="2"/>
      <c r="L51" s="7">
        <f t="shared" si="40"/>
        <v>-465.64</v>
      </c>
      <c r="M51" s="2"/>
      <c r="N51" s="6">
        <f t="shared" si="41"/>
        <v>-1</v>
      </c>
      <c r="O51" s="11"/>
      <c r="P51" s="7">
        <v>263.72000000000003</v>
      </c>
      <c r="Q51" s="2"/>
      <c r="R51" s="6">
        <f t="shared" si="42"/>
        <v>0</v>
      </c>
      <c r="S51" s="2"/>
      <c r="T51" s="7">
        <v>918.93</v>
      </c>
      <c r="U51" s="2"/>
      <c r="V51" s="6">
        <f t="shared" si="43"/>
        <v>3.1267797887251916E-3</v>
      </c>
      <c r="W51" s="2"/>
      <c r="X51" s="7">
        <f t="shared" si="44"/>
        <v>-655.20999999999992</v>
      </c>
      <c r="Y51" s="2"/>
      <c r="Z51" s="6">
        <f t="shared" si="45"/>
        <v>-0.71301404894823328</v>
      </c>
    </row>
    <row r="52" spans="1:26" s="27" customFormat="1" outlineLevel="1" collapsed="1" x14ac:dyDescent="0.25">
      <c r="A52" s="29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0</v>
      </c>
      <c r="E52" s="1"/>
      <c r="F52" s="5">
        <f t="shared" si="38"/>
        <v>0</v>
      </c>
      <c r="G52" s="1"/>
      <c r="H52" s="1">
        <f>SUM(OSRRefH22_8x_0)</f>
        <v>1050</v>
      </c>
      <c r="I52" s="1"/>
      <c r="J52" s="5">
        <f t="shared" si="39"/>
        <v>5.8584563469679142E-3</v>
      </c>
      <c r="K52" s="1"/>
      <c r="L52" s="1">
        <f t="shared" si="40"/>
        <v>-1050</v>
      </c>
      <c r="M52" s="1"/>
      <c r="N52" s="5">
        <f t="shared" si="41"/>
        <v>-1</v>
      </c>
      <c r="O52" s="14"/>
      <c r="P52" s="1">
        <f>SUM(OSRRefP22_8x_0)</f>
        <v>1284.55</v>
      </c>
      <c r="Q52" s="1"/>
      <c r="R52" s="5">
        <f t="shared" si="42"/>
        <v>0</v>
      </c>
      <c r="S52" s="1"/>
      <c r="T52" s="1">
        <f>SUM(OSRRefT22_8x_0)</f>
        <v>4889.55</v>
      </c>
      <c r="U52" s="1"/>
      <c r="V52" s="5">
        <f t="shared" si="43"/>
        <v>1.663733485244933E-2</v>
      </c>
      <c r="W52" s="1"/>
      <c r="X52" s="1">
        <f t="shared" si="44"/>
        <v>-3605</v>
      </c>
      <c r="Y52" s="1"/>
      <c r="Z52" s="5">
        <f t="shared" si="45"/>
        <v>-0.73728666237179286</v>
      </c>
    </row>
    <row r="53" spans="1:26" s="24" customFormat="1" hidden="1" outlineLevel="2" x14ac:dyDescent="0.25">
      <c r="A53" s="28"/>
      <c r="B53" s="11" t="str">
        <f>CONCATENATE("          ", "6269", " - ", "ENTERTAINMENT")</f>
        <v xml:space="preserve">          6269 - ENTERTAINMENT</v>
      </c>
      <c r="C53" s="11"/>
      <c r="D53" s="7"/>
      <c r="E53" s="2"/>
      <c r="F53" s="6">
        <f t="shared" si="38"/>
        <v>0</v>
      </c>
      <c r="G53" s="2"/>
      <c r="H53" s="7">
        <v>1050</v>
      </c>
      <c r="I53" s="2"/>
      <c r="J53" s="6">
        <f t="shared" si="39"/>
        <v>5.8584563469679142E-3</v>
      </c>
      <c r="K53" s="2"/>
      <c r="L53" s="7">
        <f t="shared" si="40"/>
        <v>-1050</v>
      </c>
      <c r="M53" s="2"/>
      <c r="N53" s="6">
        <f t="shared" si="41"/>
        <v>-1</v>
      </c>
      <c r="O53" s="11"/>
      <c r="P53" s="7"/>
      <c r="Q53" s="2"/>
      <c r="R53" s="6">
        <f t="shared" si="42"/>
        <v>0</v>
      </c>
      <c r="S53" s="2"/>
      <c r="T53" s="7">
        <v>3650</v>
      </c>
      <c r="U53" s="2"/>
      <c r="V53" s="6">
        <f t="shared" si="43"/>
        <v>1.2419603483232618E-2</v>
      </c>
      <c r="W53" s="2"/>
      <c r="X53" s="7">
        <f t="shared" si="44"/>
        <v>-3650</v>
      </c>
      <c r="Y53" s="2"/>
      <c r="Z53" s="6">
        <f t="shared" si="45"/>
        <v>-1</v>
      </c>
    </row>
    <row r="54" spans="1:26" s="24" customFormat="1" hidden="1" outlineLevel="2" x14ac:dyDescent="0.25">
      <c r="A54" s="28"/>
      <c r="B54" s="11" t="str">
        <f>CONCATENATE("          ", "6279", " - ", "GENERAL EXPENSE")</f>
        <v xml:space="preserve">          6279 - GENERAL EXPENSE</v>
      </c>
      <c r="C54" s="11"/>
      <c r="D54" s="7"/>
      <c r="E54" s="2"/>
      <c r="F54" s="6">
        <f t="shared" si="38"/>
        <v>0</v>
      </c>
      <c r="G54" s="2"/>
      <c r="H54" s="7"/>
      <c r="I54" s="2"/>
      <c r="J54" s="6">
        <f t="shared" si="39"/>
        <v>0</v>
      </c>
      <c r="K54" s="2"/>
      <c r="L54" s="7">
        <f t="shared" si="40"/>
        <v>0</v>
      </c>
      <c r="M54" s="2"/>
      <c r="N54" s="6">
        <f t="shared" si="41"/>
        <v>0</v>
      </c>
      <c r="O54" s="11"/>
      <c r="P54" s="7">
        <v>1284.55</v>
      </c>
      <c r="Q54" s="2"/>
      <c r="R54" s="6">
        <f t="shared" si="42"/>
        <v>0</v>
      </c>
      <c r="S54" s="2"/>
      <c r="T54" s="7">
        <v>1239.55</v>
      </c>
      <c r="U54" s="2"/>
      <c r="V54" s="6">
        <f t="shared" si="43"/>
        <v>4.2177313692167099E-3</v>
      </c>
      <c r="W54" s="2"/>
      <c r="X54" s="7">
        <f t="shared" si="44"/>
        <v>45</v>
      </c>
      <c r="Y54" s="2"/>
      <c r="Z54" s="6">
        <f t="shared" si="45"/>
        <v>3.6303497236900489E-2</v>
      </c>
    </row>
    <row r="55" spans="1:26" s="27" customFormat="1" outlineLevel="1" collapsed="1" x14ac:dyDescent="0.25">
      <c r="A55" s="29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198.87</v>
      </c>
      <c r="E55" s="1"/>
      <c r="F55" s="5">
        <f t="shared" ref="F55:F58" si="46">IF(D$12=0,0,D55/D$12)</f>
        <v>0</v>
      </c>
      <c r="G55" s="1"/>
      <c r="H55" s="1">
        <f>SUM(OSRRefH22_9x_0)</f>
        <v>4279.26</v>
      </c>
      <c r="I55" s="1"/>
      <c r="J55" s="5">
        <f t="shared" ref="J55:J58" si="47">IF(H$12=0,0,H55/H$12)</f>
        <v>2.3876055149834208E-2</v>
      </c>
      <c r="K55" s="1"/>
      <c r="L55" s="1">
        <f t="shared" ref="L55:L58" si="48">+D55-H55</f>
        <v>-4080.3900000000003</v>
      </c>
      <c r="M55" s="1"/>
      <c r="N55" s="5">
        <f t="shared" ref="N55:N58" si="49">IF(H55=0,0,L55/H55)</f>
        <v>-0.95352701167958953</v>
      </c>
      <c r="O55" s="14"/>
      <c r="P55" s="1">
        <f>SUM(OSRRefP22_9x_0)</f>
        <v>277.47000000000003</v>
      </c>
      <c r="Q55" s="1"/>
      <c r="R55" s="5">
        <f t="shared" ref="R55:R58" si="50">IF(P$12=0,0,P55/P$12)</f>
        <v>0</v>
      </c>
      <c r="S55" s="1"/>
      <c r="T55" s="1">
        <f>SUM(OSRRefT22_9x_0)</f>
        <v>8024.4699999999993</v>
      </c>
      <c r="U55" s="1"/>
      <c r="V55" s="5">
        <f t="shared" ref="V55:V58" si="51">IF(T$12=0,0,T55/T$12)</f>
        <v>2.7304311113176886E-2</v>
      </c>
      <c r="W55" s="1"/>
      <c r="X55" s="1">
        <f t="shared" ref="X55:X58" si="52">+P55-T55</f>
        <v>-7746.9999999999991</v>
      </c>
      <c r="Y55" s="1"/>
      <c r="Z55" s="5">
        <f t="shared" ref="Z55:Z58" si="53">IF(T55=0,0,X55/T55)</f>
        <v>-0.96542201541036354</v>
      </c>
    </row>
    <row r="56" spans="1:26" s="24" customFormat="1" hidden="1" outlineLevel="2" x14ac:dyDescent="0.25">
      <c r="A56" s="28"/>
      <c r="B56" s="11" t="str">
        <f>CONCATENATE("          ", "6371", " - ", "COMPUTER SOFTWARE MAINTENANCE")</f>
        <v xml:space="preserve">          6371 - COMPUTER SOFTWARE MAINTENANCE</v>
      </c>
      <c r="C56" s="11"/>
      <c r="D56" s="7"/>
      <c r="E56" s="2"/>
      <c r="F56" s="6">
        <f t="shared" si="46"/>
        <v>0</v>
      </c>
      <c r="G56" s="2"/>
      <c r="H56" s="7">
        <v>2623.85</v>
      </c>
      <c r="I56" s="2"/>
      <c r="J56" s="6">
        <f t="shared" si="47"/>
        <v>1.4639724462849295E-2</v>
      </c>
      <c r="K56" s="2"/>
      <c r="L56" s="7">
        <f t="shared" si="48"/>
        <v>-2623.85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2623.85</v>
      </c>
      <c r="U56" s="2"/>
      <c r="V56" s="6">
        <f t="shared" si="51"/>
        <v>8.9279935888986039E-3</v>
      </c>
      <c r="W56" s="2"/>
      <c r="X56" s="7">
        <f t="shared" si="52"/>
        <v>-2623.85</v>
      </c>
      <c r="Y56" s="2"/>
      <c r="Z56" s="6">
        <f t="shared" si="53"/>
        <v>-1</v>
      </c>
    </row>
    <row r="57" spans="1:26" s="24" customFormat="1" hidden="1" outlineLevel="2" x14ac:dyDescent="0.25">
      <c r="A57" s="28"/>
      <c r="B57" s="11" t="str">
        <f>CONCATENATE("          ", "6373", " - ", "MAINTENANCE CONTRACTS")</f>
        <v xml:space="preserve">          6373 - MAINTENANCE CONTRACTS</v>
      </c>
      <c r="C57" s="11"/>
      <c r="D57" s="7">
        <v>198.87</v>
      </c>
      <c r="E57" s="2"/>
      <c r="F57" s="6">
        <f t="shared" si="46"/>
        <v>0</v>
      </c>
      <c r="G57" s="2"/>
      <c r="H57" s="7"/>
      <c r="I57" s="2"/>
      <c r="J57" s="6">
        <f t="shared" si="47"/>
        <v>0</v>
      </c>
      <c r="K57" s="2"/>
      <c r="L57" s="7">
        <f t="shared" si="48"/>
        <v>198.87</v>
      </c>
      <c r="M57" s="2"/>
      <c r="N57" s="6">
        <f t="shared" si="49"/>
        <v>0</v>
      </c>
      <c r="O57" s="11"/>
      <c r="P57" s="7">
        <v>277.47000000000003</v>
      </c>
      <c r="Q57" s="2"/>
      <c r="R57" s="6">
        <f t="shared" si="50"/>
        <v>0</v>
      </c>
      <c r="S57" s="2"/>
      <c r="T57" s="7"/>
      <c r="U57" s="2"/>
      <c r="V57" s="6">
        <f t="shared" si="51"/>
        <v>0</v>
      </c>
      <c r="W57" s="2"/>
      <c r="X57" s="7">
        <f t="shared" si="52"/>
        <v>277.47000000000003</v>
      </c>
      <c r="Y57" s="2"/>
      <c r="Z57" s="6">
        <f t="shared" si="53"/>
        <v>0</v>
      </c>
    </row>
    <row r="58" spans="1:26" s="24" customFormat="1" hidden="1" outlineLevel="2" x14ac:dyDescent="0.25">
      <c r="A58" s="28"/>
      <c r="B58" s="11" t="str">
        <f>CONCATENATE("          ", "6375", " - ", "OUTSIDE REPAIRS &amp; MAINTENANCE")</f>
        <v xml:space="preserve">          6375 - OUTSIDE REPAIRS &amp; MAINTENANCE</v>
      </c>
      <c r="C58" s="11"/>
      <c r="D58" s="7"/>
      <c r="E58" s="2"/>
      <c r="F58" s="6">
        <f t="shared" si="46"/>
        <v>0</v>
      </c>
      <c r="G58" s="2"/>
      <c r="H58" s="7">
        <v>1655.41</v>
      </c>
      <c r="I58" s="2"/>
      <c r="J58" s="6">
        <f t="shared" si="47"/>
        <v>9.2363306869849091E-3</v>
      </c>
      <c r="K58" s="2"/>
      <c r="L58" s="7">
        <f t="shared" si="48"/>
        <v>-1655.41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5400.62</v>
      </c>
      <c r="U58" s="2"/>
      <c r="V58" s="6">
        <f t="shared" si="51"/>
        <v>1.8376317524278284E-2</v>
      </c>
      <c r="W58" s="2"/>
      <c r="X58" s="7">
        <f t="shared" si="52"/>
        <v>-5400.62</v>
      </c>
      <c r="Y58" s="2"/>
      <c r="Z58" s="6">
        <f t="shared" si="53"/>
        <v>-1</v>
      </c>
    </row>
    <row r="59" spans="1:26" s="27" customFormat="1" outlineLevel="1" collapsed="1" x14ac:dyDescent="0.25">
      <c r="A59" s="29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ref="F59:F62" si="54">IF(D$12=0,0,D59/D$12)</f>
        <v>0</v>
      </c>
      <c r="G59" s="1"/>
      <c r="H59" s="1">
        <f>SUM(OSRRefH22_10x_0)</f>
        <v>39.75</v>
      </c>
      <c r="I59" s="1"/>
      <c r="J59" s="5">
        <f t="shared" ref="J59:J62" si="55">IF(H$12=0,0,H59/H$12)</f>
        <v>2.2178441884949959E-4</v>
      </c>
      <c r="K59" s="1"/>
      <c r="L59" s="1">
        <f t="shared" ref="L59:L62" si="56">+D59-H59</f>
        <v>-39.75</v>
      </c>
      <c r="M59" s="1"/>
      <c r="N59" s="5">
        <f t="shared" ref="N59:N62" si="57">IF(H59=0,0,L59/H59)</f>
        <v>-1</v>
      </c>
      <c r="O59" s="14"/>
      <c r="P59" s="1">
        <f>SUM(OSRRefP22_10x_0)</f>
        <v>0</v>
      </c>
      <c r="Q59" s="1"/>
      <c r="R59" s="5">
        <f t="shared" ref="R59:R62" si="58">IF(P$12=0,0,P59/P$12)</f>
        <v>0</v>
      </c>
      <c r="S59" s="1"/>
      <c r="T59" s="1">
        <f>SUM(OSRRefT22_10x_0)</f>
        <v>862.75</v>
      </c>
      <c r="U59" s="1"/>
      <c r="V59" s="5">
        <f t="shared" ref="V59:V62" si="59">IF(T$12=0,0,T59/T$12)</f>
        <v>2.9356199740161481E-3</v>
      </c>
      <c r="W59" s="1"/>
      <c r="X59" s="1">
        <f t="shared" ref="X59:X62" si="60">+P59-T59</f>
        <v>-862.75</v>
      </c>
      <c r="Y59" s="1"/>
      <c r="Z59" s="5">
        <f t="shared" ref="Z59:Z62" si="61">IF(T59=0,0,X59/T59)</f>
        <v>-1</v>
      </c>
    </row>
    <row r="60" spans="1:26" s="24" customFormat="1" hidden="1" outlineLevel="2" x14ac:dyDescent="0.25">
      <c r="A60" s="28"/>
      <c r="B60" s="11" t="str">
        <f>CONCATENATE("          ", "6283", " - ", "PLANT SERVICE")</f>
        <v xml:space="preserve">          6283 - PLANT SERVICE</v>
      </c>
      <c r="C60" s="11"/>
      <c r="D60" s="7"/>
      <c r="E60" s="2"/>
      <c r="F60" s="6">
        <f t="shared" si="54"/>
        <v>0</v>
      </c>
      <c r="G60" s="2"/>
      <c r="H60" s="7">
        <v>39.75</v>
      </c>
      <c r="I60" s="2"/>
      <c r="J60" s="6">
        <f t="shared" si="55"/>
        <v>2.2178441884949959E-4</v>
      </c>
      <c r="K60" s="2"/>
      <c r="L60" s="7">
        <f t="shared" si="56"/>
        <v>-39.75</v>
      </c>
      <c r="M60" s="2"/>
      <c r="N60" s="6">
        <f t="shared" si="57"/>
        <v>-1</v>
      </c>
      <c r="O60" s="11"/>
      <c r="P60" s="7"/>
      <c r="Q60" s="2"/>
      <c r="R60" s="6">
        <f t="shared" si="58"/>
        <v>0</v>
      </c>
      <c r="S60" s="2"/>
      <c r="T60" s="7">
        <v>119.25</v>
      </c>
      <c r="U60" s="2"/>
      <c r="V60" s="6">
        <f t="shared" si="59"/>
        <v>4.0576375763712048E-4</v>
      </c>
      <c r="W60" s="2"/>
      <c r="X60" s="7">
        <f t="shared" si="60"/>
        <v>-119.25</v>
      </c>
      <c r="Y60" s="2"/>
      <c r="Z60" s="6">
        <f t="shared" si="61"/>
        <v>-1</v>
      </c>
    </row>
    <row r="61" spans="1:26" s="24" customFormat="1" hidden="1" outlineLevel="2" x14ac:dyDescent="0.25">
      <c r="A61" s="28"/>
      <c r="B61" s="11" t="str">
        <f>CONCATENATE("          ", "6285", " - ", "JANITORIAL SERVICES")</f>
        <v xml:space="preserve">          6285 - JANITORIAL SERVICES</v>
      </c>
      <c r="C61" s="11"/>
      <c r="D61" s="7"/>
      <c r="E61" s="2"/>
      <c r="F61" s="6">
        <f t="shared" si="54"/>
        <v>0</v>
      </c>
      <c r="G61" s="2"/>
      <c r="H61" s="7"/>
      <c r="I61" s="2"/>
      <c r="J61" s="6">
        <f t="shared" si="55"/>
        <v>0</v>
      </c>
      <c r="K61" s="2"/>
      <c r="L61" s="7">
        <f t="shared" si="56"/>
        <v>0</v>
      </c>
      <c r="M61" s="2"/>
      <c r="N61" s="6">
        <f t="shared" si="57"/>
        <v>0</v>
      </c>
      <c r="O61" s="11"/>
      <c r="P61" s="7"/>
      <c r="Q61" s="2"/>
      <c r="R61" s="6">
        <f t="shared" si="58"/>
        <v>0</v>
      </c>
      <c r="S61" s="2"/>
      <c r="T61" s="7">
        <v>350</v>
      </c>
      <c r="U61" s="2"/>
      <c r="V61" s="6">
        <f t="shared" si="59"/>
        <v>1.1909208819538128E-3</v>
      </c>
      <c r="W61" s="2"/>
      <c r="X61" s="7">
        <f t="shared" si="60"/>
        <v>-350</v>
      </c>
      <c r="Y61" s="2"/>
      <c r="Z61" s="6">
        <f t="shared" si="61"/>
        <v>-1</v>
      </c>
    </row>
    <row r="62" spans="1:26" s="24" customFormat="1" hidden="1" outlineLevel="2" x14ac:dyDescent="0.25">
      <c r="A62" s="28"/>
      <c r="B62" s="11" t="str">
        <f>CONCATENATE("          ", "6286", " - ", "LAUNDRY EXPENSE")</f>
        <v xml:space="preserve">          6286 - LAUNDRY EXPENSE</v>
      </c>
      <c r="C62" s="11"/>
      <c r="D62" s="7"/>
      <c r="E62" s="2"/>
      <c r="F62" s="6">
        <f t="shared" si="54"/>
        <v>0</v>
      </c>
      <c r="G62" s="2"/>
      <c r="H62" s="7"/>
      <c r="I62" s="2"/>
      <c r="J62" s="6">
        <f t="shared" si="55"/>
        <v>0</v>
      </c>
      <c r="K62" s="2"/>
      <c r="L62" s="7">
        <f t="shared" si="56"/>
        <v>0</v>
      </c>
      <c r="M62" s="2"/>
      <c r="N62" s="6">
        <f t="shared" si="57"/>
        <v>0</v>
      </c>
      <c r="O62" s="11"/>
      <c r="P62" s="7"/>
      <c r="Q62" s="2"/>
      <c r="R62" s="6">
        <f t="shared" si="58"/>
        <v>0</v>
      </c>
      <c r="S62" s="2"/>
      <c r="T62" s="7">
        <v>393.5</v>
      </c>
      <c r="U62" s="2"/>
      <c r="V62" s="6">
        <f t="shared" si="59"/>
        <v>1.338935334425215E-3</v>
      </c>
      <c r="W62" s="2"/>
      <c r="X62" s="7">
        <f t="shared" si="60"/>
        <v>-393.5</v>
      </c>
      <c r="Y62" s="2"/>
      <c r="Z62" s="6">
        <f t="shared" si="61"/>
        <v>-1</v>
      </c>
    </row>
    <row r="63" spans="1:26" s="27" customFormat="1" outlineLevel="1" collapsed="1" x14ac:dyDescent="0.25">
      <c r="A63" s="29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ref="F63:F71" si="62">IF(D$12=0,0,D63/D$12)</f>
        <v>0</v>
      </c>
      <c r="G63" s="1"/>
      <c r="H63" s="1">
        <f>SUM(OSRRefH22_11x_0)</f>
        <v>196.71</v>
      </c>
      <c r="I63" s="1"/>
      <c r="J63" s="5">
        <f t="shared" ref="J63:J71" si="63">IF(H$12=0,0,H63/H$12)</f>
        <v>1.0975399504876747E-3</v>
      </c>
      <c r="K63" s="1"/>
      <c r="L63" s="1">
        <f t="shared" ref="L63:L71" si="64">+D63-H63</f>
        <v>-196.71</v>
      </c>
      <c r="M63" s="1"/>
      <c r="N63" s="5">
        <f t="shared" ref="N63:N71" si="65">IF(H63=0,0,L63/H63)</f>
        <v>-1</v>
      </c>
      <c r="O63" s="14"/>
      <c r="P63" s="1">
        <f>SUM(OSRRefP22_11x_0)</f>
        <v>0</v>
      </c>
      <c r="Q63" s="1"/>
      <c r="R63" s="5">
        <f t="shared" ref="R63:R71" si="66">IF(P$12=0,0,P63/P$12)</f>
        <v>0</v>
      </c>
      <c r="S63" s="1"/>
      <c r="T63" s="1">
        <f>SUM(OSRRefT22_11x_0)</f>
        <v>590.13</v>
      </c>
      <c r="U63" s="1"/>
      <c r="V63" s="5">
        <f t="shared" ref="V63:V71" si="67">IF(T$12=0,0,T63/T$12)</f>
        <v>2.0079946859068668E-3</v>
      </c>
      <c r="W63" s="1"/>
      <c r="X63" s="1">
        <f t="shared" ref="X63:X71" si="68">+P63-T63</f>
        <v>-590.13</v>
      </c>
      <c r="Y63" s="1"/>
      <c r="Z63" s="5">
        <f t="shared" ref="Z63:Z71" si="69">IF(T63=0,0,X63/T63)</f>
        <v>-1</v>
      </c>
    </row>
    <row r="64" spans="1:26" s="24" customFormat="1" hidden="1" outlineLevel="2" x14ac:dyDescent="0.25">
      <c r="A64" s="28"/>
      <c r="B64" s="11" t="str">
        <f>CONCATENATE("          ", "6275", " - ", "SUBSCRIPTIONS")</f>
        <v xml:space="preserve">          6275 - SUBSCRIPTIONS</v>
      </c>
      <c r="C64" s="11"/>
      <c r="D64" s="7"/>
      <c r="E64" s="2"/>
      <c r="F64" s="6">
        <f t="shared" si="62"/>
        <v>0</v>
      </c>
      <c r="G64" s="2"/>
      <c r="H64" s="7">
        <v>196.71</v>
      </c>
      <c r="I64" s="2"/>
      <c r="J64" s="6">
        <f t="shared" si="63"/>
        <v>1.0975399504876747E-3</v>
      </c>
      <c r="K64" s="2"/>
      <c r="L64" s="7">
        <f t="shared" si="64"/>
        <v>-196.71</v>
      </c>
      <c r="M64" s="2"/>
      <c r="N64" s="6">
        <f t="shared" si="65"/>
        <v>-1</v>
      </c>
      <c r="O64" s="11"/>
      <c r="P64" s="7"/>
      <c r="Q64" s="2"/>
      <c r="R64" s="6">
        <f t="shared" si="66"/>
        <v>0</v>
      </c>
      <c r="S64" s="2"/>
      <c r="T64" s="7">
        <v>590.13</v>
      </c>
      <c r="U64" s="2"/>
      <c r="V64" s="6">
        <f t="shared" si="67"/>
        <v>2.0079946859068668E-3</v>
      </c>
      <c r="W64" s="2"/>
      <c r="X64" s="7">
        <f t="shared" si="68"/>
        <v>-590.13</v>
      </c>
      <c r="Y64" s="2"/>
      <c r="Z64" s="6">
        <f t="shared" si="69"/>
        <v>-1</v>
      </c>
    </row>
    <row r="65" spans="1:26" s="27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62"/>
        <v>0</v>
      </c>
      <c r="G65" s="1"/>
      <c r="H65" s="1">
        <f>SUM(OSRRefH22_12x_0)</f>
        <v>1414.4199999999998</v>
      </c>
      <c r="I65" s="1"/>
      <c r="J65" s="5">
        <f t="shared" si="63"/>
        <v>7.8917312631222435E-3</v>
      </c>
      <c r="K65" s="1"/>
      <c r="L65" s="1">
        <f t="shared" si="64"/>
        <v>-1414.4199999999998</v>
      </c>
      <c r="M65" s="1"/>
      <c r="N65" s="5">
        <f t="shared" si="65"/>
        <v>-1</v>
      </c>
      <c r="O65" s="14"/>
      <c r="P65" s="1">
        <f>SUM(OSRRefP22_12x_0)</f>
        <v>0</v>
      </c>
      <c r="Q65" s="1"/>
      <c r="R65" s="5">
        <f t="shared" si="66"/>
        <v>0</v>
      </c>
      <c r="S65" s="1"/>
      <c r="T65" s="1">
        <f>SUM(OSRRefT22_12x_0)</f>
        <v>4671.8599999999997</v>
      </c>
      <c r="U65" s="1"/>
      <c r="V65" s="5">
        <f t="shared" si="67"/>
        <v>1.5896616090184969E-2</v>
      </c>
      <c r="W65" s="1"/>
      <c r="X65" s="1">
        <f t="shared" si="68"/>
        <v>-4671.8599999999997</v>
      </c>
      <c r="Y65" s="1"/>
      <c r="Z65" s="5">
        <f t="shared" si="69"/>
        <v>-1</v>
      </c>
    </row>
    <row r="66" spans="1:26" s="24" customFormat="1" hidden="1" outlineLevel="2" x14ac:dyDescent="0.25">
      <c r="A66" s="28"/>
      <c r="B66" s="11" t="str">
        <f>CONCATENATE("          ", "6239", " - ", "KITCHEN SUPPLIES")</f>
        <v xml:space="preserve">          6239 - KITCHEN SUPPLIES</v>
      </c>
      <c r="C66" s="11"/>
      <c r="D66" s="7"/>
      <c r="E66" s="2"/>
      <c r="F66" s="6">
        <f t="shared" si="62"/>
        <v>0</v>
      </c>
      <c r="G66" s="2"/>
      <c r="H66" s="7">
        <v>363.54</v>
      </c>
      <c r="I66" s="2"/>
      <c r="J66" s="6">
        <f t="shared" si="63"/>
        <v>2.028364971787348E-3</v>
      </c>
      <c r="K66" s="2"/>
      <c r="L66" s="7">
        <f t="shared" si="64"/>
        <v>-363.54</v>
      </c>
      <c r="M66" s="2"/>
      <c r="N66" s="6">
        <f t="shared" si="65"/>
        <v>-1</v>
      </c>
      <c r="O66" s="11"/>
      <c r="P66" s="7"/>
      <c r="Q66" s="2"/>
      <c r="R66" s="6">
        <f t="shared" si="66"/>
        <v>0</v>
      </c>
      <c r="S66" s="2"/>
      <c r="T66" s="7">
        <v>363.54</v>
      </c>
      <c r="U66" s="2"/>
      <c r="V66" s="6">
        <f t="shared" si="67"/>
        <v>1.2369925069299688E-3</v>
      </c>
      <c r="W66" s="2"/>
      <c r="X66" s="7">
        <f t="shared" si="68"/>
        <v>-363.54</v>
      </c>
      <c r="Y66" s="2"/>
      <c r="Z66" s="6">
        <f t="shared" si="69"/>
        <v>-1</v>
      </c>
    </row>
    <row r="67" spans="1:26" s="24" customFormat="1" hidden="1" outlineLevel="2" x14ac:dyDescent="0.25">
      <c r="A67" s="28"/>
      <c r="B67" s="11" t="str">
        <f>CONCATENATE("          ", "6241", " - ", "OFFICE EXPENSE")</f>
        <v xml:space="preserve">          6241 - OFFICE EXPENSE</v>
      </c>
      <c r="C67" s="11"/>
      <c r="D67" s="7"/>
      <c r="E67" s="2"/>
      <c r="F67" s="6">
        <f t="shared" si="62"/>
        <v>0</v>
      </c>
      <c r="G67" s="2"/>
      <c r="H67" s="7">
        <v>65.31</v>
      </c>
      <c r="I67" s="2"/>
      <c r="J67" s="6">
        <f t="shared" si="63"/>
        <v>3.6439598478140426E-4</v>
      </c>
      <c r="K67" s="2"/>
      <c r="L67" s="7">
        <f t="shared" si="64"/>
        <v>-65.31</v>
      </c>
      <c r="M67" s="2"/>
      <c r="N67" s="6">
        <f t="shared" si="65"/>
        <v>-1</v>
      </c>
      <c r="O67" s="11"/>
      <c r="P67" s="7"/>
      <c r="Q67" s="2"/>
      <c r="R67" s="6">
        <f t="shared" si="66"/>
        <v>0</v>
      </c>
      <c r="S67" s="2"/>
      <c r="T67" s="7">
        <v>1468.9</v>
      </c>
      <c r="U67" s="2"/>
      <c r="V67" s="6">
        <f t="shared" si="67"/>
        <v>4.9981248100055874E-3</v>
      </c>
      <c r="W67" s="2"/>
      <c r="X67" s="7">
        <f t="shared" si="68"/>
        <v>-1468.9</v>
      </c>
      <c r="Y67" s="2"/>
      <c r="Z67" s="6">
        <f t="shared" si="69"/>
        <v>-1</v>
      </c>
    </row>
    <row r="68" spans="1:26" s="24" customFormat="1" hidden="1" outlineLevel="2" x14ac:dyDescent="0.25">
      <c r="A68" s="28"/>
      <c r="B68" s="11" t="str">
        <f>CONCATENATE("          ", "6243", " - ", "PAPER SUPPLIES")</f>
        <v xml:space="preserve">          6243 - PAPER SUPPLIES</v>
      </c>
      <c r="C68" s="11"/>
      <c r="D68" s="7"/>
      <c r="E68" s="2"/>
      <c r="F68" s="6">
        <f t="shared" si="62"/>
        <v>0</v>
      </c>
      <c r="G68" s="2"/>
      <c r="H68" s="7">
        <v>963.52</v>
      </c>
      <c r="I68" s="2"/>
      <c r="J68" s="6">
        <f t="shared" si="63"/>
        <v>5.3759427232671657E-3</v>
      </c>
      <c r="K68" s="2"/>
      <c r="L68" s="7">
        <f t="shared" si="64"/>
        <v>-963.52</v>
      </c>
      <c r="M68" s="2"/>
      <c r="N68" s="6">
        <f t="shared" si="65"/>
        <v>-1</v>
      </c>
      <c r="O68" s="11"/>
      <c r="P68" s="7"/>
      <c r="Q68" s="2"/>
      <c r="R68" s="6">
        <f t="shared" si="66"/>
        <v>0</v>
      </c>
      <c r="S68" s="2"/>
      <c r="T68" s="7">
        <v>1523.93</v>
      </c>
      <c r="U68" s="2"/>
      <c r="V68" s="6">
        <f t="shared" si="67"/>
        <v>5.1853715989596391E-3</v>
      </c>
      <c r="W68" s="2"/>
      <c r="X68" s="7">
        <f t="shared" si="68"/>
        <v>-1523.93</v>
      </c>
      <c r="Y68" s="2"/>
      <c r="Z68" s="6">
        <f t="shared" si="69"/>
        <v>-1</v>
      </c>
    </row>
    <row r="69" spans="1:26" s="24" customFormat="1" hidden="1" outlineLevel="2" x14ac:dyDescent="0.25">
      <c r="A69" s="28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62"/>
        <v>0</v>
      </c>
      <c r="G69" s="2"/>
      <c r="H69" s="7">
        <v>22.05</v>
      </c>
      <c r="I69" s="2"/>
      <c r="J69" s="6">
        <f t="shared" si="63"/>
        <v>1.2302758328632619E-4</v>
      </c>
      <c r="K69" s="2"/>
      <c r="L69" s="7">
        <f t="shared" si="64"/>
        <v>-22.05</v>
      </c>
      <c r="M69" s="2"/>
      <c r="N69" s="6">
        <f t="shared" si="65"/>
        <v>-1</v>
      </c>
      <c r="O69" s="11"/>
      <c r="P69" s="7"/>
      <c r="Q69" s="2"/>
      <c r="R69" s="6">
        <f t="shared" si="66"/>
        <v>0</v>
      </c>
      <c r="S69" s="2"/>
      <c r="T69" s="7">
        <v>22.05</v>
      </c>
      <c r="U69" s="2"/>
      <c r="V69" s="6">
        <f t="shared" si="67"/>
        <v>7.5028015563090205E-5</v>
      </c>
      <c r="W69" s="2"/>
      <c r="X69" s="7">
        <f t="shared" si="68"/>
        <v>-22.05</v>
      </c>
      <c r="Y69" s="2"/>
      <c r="Z69" s="6">
        <f t="shared" si="69"/>
        <v>-1</v>
      </c>
    </row>
    <row r="70" spans="1:26" s="24" customFormat="1" hidden="1" outlineLevel="2" x14ac:dyDescent="0.25">
      <c r="A70" s="28"/>
      <c r="B70" s="11" t="str">
        <f>CONCATENATE("          ", "6247", " - ", "STORE SUPPLIES")</f>
        <v xml:space="preserve">          6247 - STORE SUPPLIES</v>
      </c>
      <c r="C70" s="11"/>
      <c r="D70" s="7"/>
      <c r="E70" s="2"/>
      <c r="F70" s="6">
        <f t="shared" si="62"/>
        <v>0</v>
      </c>
      <c r="G70" s="2"/>
      <c r="H70" s="7"/>
      <c r="I70" s="2"/>
      <c r="J70" s="6">
        <f t="shared" si="63"/>
        <v>0</v>
      </c>
      <c r="K70" s="2"/>
      <c r="L70" s="7">
        <f t="shared" si="64"/>
        <v>0</v>
      </c>
      <c r="M70" s="2"/>
      <c r="N70" s="6">
        <f t="shared" si="65"/>
        <v>0</v>
      </c>
      <c r="O70" s="11"/>
      <c r="P70" s="7"/>
      <c r="Q70" s="2"/>
      <c r="R70" s="6">
        <f t="shared" si="66"/>
        <v>0</v>
      </c>
      <c r="S70" s="2"/>
      <c r="T70" s="7">
        <v>513.20000000000005</v>
      </c>
      <c r="U70" s="2"/>
      <c r="V70" s="6">
        <f t="shared" si="67"/>
        <v>1.7462302760534191E-3</v>
      </c>
      <c r="W70" s="2"/>
      <c r="X70" s="7">
        <f t="shared" si="68"/>
        <v>-513.20000000000005</v>
      </c>
      <c r="Y70" s="2"/>
      <c r="Z70" s="6">
        <f t="shared" si="69"/>
        <v>-1</v>
      </c>
    </row>
    <row r="71" spans="1:26" s="24" customFormat="1" hidden="1" outlineLevel="2" x14ac:dyDescent="0.25">
      <c r="A71" s="28"/>
      <c r="B71" s="11" t="str">
        <f>CONCATENATE("          ", "6248", " - ", "UNIFORMS")</f>
        <v xml:space="preserve">          6248 - UNIFORMS</v>
      </c>
      <c r="C71" s="11"/>
      <c r="D71" s="7"/>
      <c r="E71" s="2"/>
      <c r="F71" s="6">
        <f t="shared" si="62"/>
        <v>0</v>
      </c>
      <c r="G71" s="2"/>
      <c r="H71" s="7"/>
      <c r="I71" s="2"/>
      <c r="J71" s="6">
        <f t="shared" si="63"/>
        <v>0</v>
      </c>
      <c r="K71" s="2"/>
      <c r="L71" s="7">
        <f t="shared" si="64"/>
        <v>0</v>
      </c>
      <c r="M71" s="2"/>
      <c r="N71" s="6">
        <f t="shared" si="65"/>
        <v>0</v>
      </c>
      <c r="O71" s="11"/>
      <c r="P71" s="7"/>
      <c r="Q71" s="2"/>
      <c r="R71" s="6">
        <f t="shared" si="66"/>
        <v>0</v>
      </c>
      <c r="S71" s="2"/>
      <c r="T71" s="7">
        <v>780.24</v>
      </c>
      <c r="U71" s="2"/>
      <c r="V71" s="6">
        <f t="shared" si="67"/>
        <v>2.6548688826732651E-3</v>
      </c>
      <c r="W71" s="2"/>
      <c r="X71" s="7">
        <f t="shared" si="68"/>
        <v>-780.24</v>
      </c>
      <c r="Y71" s="2"/>
      <c r="Z71" s="6">
        <f t="shared" si="69"/>
        <v>-1</v>
      </c>
    </row>
    <row r="72" spans="1:26" s="27" customFormat="1" outlineLevel="1" collapsed="1" x14ac:dyDescent="0.25">
      <c r="A72" s="29"/>
      <c r="B72" s="14" t="str">
        <f>CONCATENATE("     ","Telephone/Data Lines                              ")</f>
        <v xml:space="preserve">     Telephone/Data Lines                              </v>
      </c>
      <c r="C72" s="14"/>
      <c r="D72" s="1">
        <f>SUM(OSRRefD22_13x_0)</f>
        <v>0</v>
      </c>
      <c r="E72" s="1"/>
      <c r="F72" s="5">
        <f t="shared" ref="F72:F75" si="70">IF(D$12=0,0,D72/D$12)</f>
        <v>0</v>
      </c>
      <c r="G72" s="1"/>
      <c r="H72" s="1">
        <f>SUM(OSRRefH22_13x_0)</f>
        <v>160</v>
      </c>
      <c r="I72" s="1"/>
      <c r="J72" s="5">
        <f t="shared" ref="J72:J75" si="71">IF(H$12=0,0,H72/H$12)</f>
        <v>8.9271715763320598E-4</v>
      </c>
      <c r="K72" s="1"/>
      <c r="L72" s="1">
        <f t="shared" ref="L72:L75" si="72">+D72-H72</f>
        <v>-160</v>
      </c>
      <c r="M72" s="1"/>
      <c r="N72" s="5">
        <f t="shared" ref="N72:N75" si="73">IF(H72=0,0,L72/H72)</f>
        <v>-1</v>
      </c>
      <c r="O72" s="14"/>
      <c r="P72" s="1">
        <f>SUM(OSRRefP22_13x_0)</f>
        <v>212</v>
      </c>
      <c r="Q72" s="1"/>
      <c r="R72" s="5">
        <f t="shared" ref="R72:R75" si="74">IF(P$12=0,0,P72/P$12)</f>
        <v>0</v>
      </c>
      <c r="S72" s="1"/>
      <c r="T72" s="1">
        <f>SUM(OSRRefT22_13x_0)</f>
        <v>381.9</v>
      </c>
      <c r="U72" s="1"/>
      <c r="V72" s="5">
        <f t="shared" ref="V72:V75" si="75">IF(T$12=0,0,T72/T$12)</f>
        <v>1.2994648137661744E-3</v>
      </c>
      <c r="W72" s="1"/>
      <c r="X72" s="1">
        <f t="shared" ref="X72:X75" si="76">+P72-T72</f>
        <v>-169.89999999999998</v>
      </c>
      <c r="Y72" s="1"/>
      <c r="Z72" s="5">
        <f t="shared" ref="Z72:Z75" si="77">IF(T72=0,0,X72/T72)</f>
        <v>-0.44488085886357681</v>
      </c>
    </row>
    <row r="73" spans="1:26" s="24" customFormat="1" hidden="1" outlineLevel="2" x14ac:dyDescent="0.25">
      <c r="A73" s="28"/>
      <c r="B73" s="11" t="str">
        <f>CONCATENATE("          ", "6309", " - ", "TELEPHONE")</f>
        <v xml:space="preserve">          6309 - TELEPHONE</v>
      </c>
      <c r="C73" s="11"/>
      <c r="D73" s="7"/>
      <c r="E73" s="2"/>
      <c r="F73" s="6">
        <f t="shared" si="70"/>
        <v>0</v>
      </c>
      <c r="G73" s="2"/>
      <c r="H73" s="7">
        <v>160</v>
      </c>
      <c r="I73" s="2"/>
      <c r="J73" s="6">
        <f t="shared" si="71"/>
        <v>8.9271715763320598E-4</v>
      </c>
      <c r="K73" s="2"/>
      <c r="L73" s="7">
        <f t="shared" si="72"/>
        <v>-160</v>
      </c>
      <c r="M73" s="2"/>
      <c r="N73" s="6">
        <f t="shared" si="73"/>
        <v>-1</v>
      </c>
      <c r="O73" s="11"/>
      <c r="P73" s="7">
        <v>212</v>
      </c>
      <c r="Q73" s="2"/>
      <c r="R73" s="6">
        <f t="shared" si="74"/>
        <v>0</v>
      </c>
      <c r="S73" s="2"/>
      <c r="T73" s="7">
        <v>381.9</v>
      </c>
      <c r="U73" s="2"/>
      <c r="V73" s="6">
        <f t="shared" si="75"/>
        <v>1.2994648137661744E-3</v>
      </c>
      <c r="W73" s="2"/>
      <c r="X73" s="7">
        <f t="shared" si="76"/>
        <v>-169.89999999999998</v>
      </c>
      <c r="Y73" s="2"/>
      <c r="Z73" s="6">
        <f t="shared" si="77"/>
        <v>-0.44488085886357681</v>
      </c>
    </row>
    <row r="74" spans="1:26" s="27" customFormat="1" outlineLevel="1" collapsed="1" x14ac:dyDescent="0.25">
      <c r="A74" s="29"/>
      <c r="B74" s="14" t="str">
        <f>CONCATENATE("     ","Training                                          ")</f>
        <v xml:space="preserve">     Training                                          </v>
      </c>
      <c r="C74" s="14"/>
      <c r="D74" s="1">
        <f>SUM(OSRRefD22_14x_0)</f>
        <v>0</v>
      </c>
      <c r="E74" s="1"/>
      <c r="F74" s="5">
        <f t="shared" si="70"/>
        <v>0</v>
      </c>
      <c r="G74" s="1"/>
      <c r="H74" s="1">
        <f>SUM(OSRRefH22_14x_0)</f>
        <v>0</v>
      </c>
      <c r="I74" s="1"/>
      <c r="J74" s="5">
        <f t="shared" si="71"/>
        <v>0</v>
      </c>
      <c r="K74" s="1"/>
      <c r="L74" s="1">
        <f t="shared" si="72"/>
        <v>0</v>
      </c>
      <c r="M74" s="1"/>
      <c r="N74" s="5">
        <f t="shared" si="73"/>
        <v>0</v>
      </c>
      <c r="O74" s="14"/>
      <c r="P74" s="1">
        <f>SUM(OSRRefP22_14x_0)</f>
        <v>0</v>
      </c>
      <c r="Q74" s="1"/>
      <c r="R74" s="5">
        <f t="shared" si="74"/>
        <v>0</v>
      </c>
      <c r="S74" s="1"/>
      <c r="T74" s="1">
        <f>SUM(OSRRefT22_14x_0)</f>
        <v>85</v>
      </c>
      <c r="U74" s="1"/>
      <c r="V74" s="5">
        <f t="shared" si="75"/>
        <v>2.8922364276021167E-4</v>
      </c>
      <c r="W74" s="1"/>
      <c r="X74" s="1">
        <f t="shared" si="76"/>
        <v>-85</v>
      </c>
      <c r="Y74" s="1"/>
      <c r="Z74" s="5">
        <f t="shared" si="77"/>
        <v>-1</v>
      </c>
    </row>
    <row r="75" spans="1:26" s="24" customFormat="1" hidden="1" outlineLevel="2" x14ac:dyDescent="0.25">
      <c r="A75" s="28"/>
      <c r="B75" s="11" t="str">
        <f>CONCATENATE("          ", "6376", " - ", "TRAINING")</f>
        <v xml:space="preserve">          6376 - TRAINING</v>
      </c>
      <c r="C75" s="11"/>
      <c r="D75" s="7"/>
      <c r="E75" s="2"/>
      <c r="F75" s="6">
        <f t="shared" si="70"/>
        <v>0</v>
      </c>
      <c r="G75" s="2"/>
      <c r="H75" s="7"/>
      <c r="I75" s="2"/>
      <c r="J75" s="6">
        <f t="shared" si="71"/>
        <v>0</v>
      </c>
      <c r="K75" s="2"/>
      <c r="L75" s="7">
        <f t="shared" si="72"/>
        <v>0</v>
      </c>
      <c r="M75" s="2"/>
      <c r="N75" s="6">
        <f t="shared" si="73"/>
        <v>0</v>
      </c>
      <c r="O75" s="11"/>
      <c r="P75" s="7"/>
      <c r="Q75" s="2"/>
      <c r="R75" s="6">
        <f t="shared" si="74"/>
        <v>0</v>
      </c>
      <c r="S75" s="2"/>
      <c r="T75" s="7">
        <v>85</v>
      </c>
      <c r="U75" s="2"/>
      <c r="V75" s="6">
        <f t="shared" si="75"/>
        <v>2.8922364276021167E-4</v>
      </c>
      <c r="W75" s="2"/>
      <c r="X75" s="7">
        <f t="shared" si="76"/>
        <v>-85</v>
      </c>
      <c r="Y75" s="2"/>
      <c r="Z75" s="6">
        <f t="shared" si="77"/>
        <v>-1</v>
      </c>
    </row>
    <row r="76" spans="1:26" s="60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6" t="s">
        <v>0</v>
      </c>
      <c r="C77" s="10"/>
      <c r="D77" s="4">
        <f>SUM(OSRRefD25x_0)</f>
        <v>0</v>
      </c>
      <c r="E77" s="4"/>
      <c r="F77" s="12">
        <f t="shared" ref="F77:F78" si="78">IF(D$12=0,0,D77/D$12)</f>
        <v>0</v>
      </c>
      <c r="G77" s="4"/>
      <c r="H77" s="4">
        <f>SUM(OSRRefH25x_0)</f>
        <v>0</v>
      </c>
      <c r="I77" s="4"/>
      <c r="J77" s="12">
        <f t="shared" ref="J77:J78" si="79">IF(H$12=0,0,H77/H$12)</f>
        <v>0</v>
      </c>
      <c r="K77" s="4"/>
      <c r="L77" s="4">
        <f t="shared" ref="L77:L78" si="80">+D77-H77</f>
        <v>0</v>
      </c>
      <c r="M77" s="4"/>
      <c r="N77" s="12">
        <f t="shared" ref="N77:N78" si="81">IF(H77=0,0,L77/H77)</f>
        <v>0</v>
      </c>
      <c r="O77" s="10"/>
      <c r="P77" s="4">
        <f>SUM(OSRRefP25x_0)</f>
        <v>111.42</v>
      </c>
      <c r="Q77" s="4"/>
      <c r="R77" s="12">
        <f t="shared" ref="R77:R78" si="82">IF(P$12=0,0,P77/P$12)</f>
        <v>0</v>
      </c>
      <c r="S77" s="4"/>
      <c r="T77" s="4">
        <f>SUM(OSRRefT25x_0)</f>
        <v>0</v>
      </c>
      <c r="U77" s="4"/>
      <c r="V77" s="12">
        <f t="shared" ref="V77:V78" si="83">IF(T$12=0,0,T77/T$12)</f>
        <v>0</v>
      </c>
      <c r="W77" s="4"/>
      <c r="X77" s="4">
        <f t="shared" ref="X77:X78" si="84">+P77-T77</f>
        <v>111.42</v>
      </c>
      <c r="Y77" s="4"/>
      <c r="Z77" s="12">
        <f t="shared" ref="Z77:Z78" si="85">IF(T77=0,0,X77/T77)</f>
        <v>0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78"/>
        <v>0</v>
      </c>
      <c r="G78" s="2"/>
      <c r="H78" s="2">
        <f>0</f>
        <v>0</v>
      </c>
      <c r="I78" s="2"/>
      <c r="J78" s="19">
        <f t="shared" si="79"/>
        <v>0</v>
      </c>
      <c r="K78" s="2"/>
      <c r="L78" s="2">
        <f t="shared" si="80"/>
        <v>0</v>
      </c>
      <c r="M78" s="2"/>
      <c r="N78" s="19">
        <f t="shared" si="81"/>
        <v>0</v>
      </c>
      <c r="O78" s="11"/>
      <c r="P78" s="2">
        <f>--111.42</f>
        <v>111.42</v>
      </c>
      <c r="Q78" s="2"/>
      <c r="R78" s="19">
        <f t="shared" si="82"/>
        <v>0</v>
      </c>
      <c r="S78" s="2"/>
      <c r="T78" s="2">
        <f>0</f>
        <v>0</v>
      </c>
      <c r="U78" s="2"/>
      <c r="V78" s="19">
        <f t="shared" si="83"/>
        <v>0</v>
      </c>
      <c r="W78" s="2"/>
      <c r="X78" s="2">
        <f t="shared" si="84"/>
        <v>111.42</v>
      </c>
      <c r="Y78" s="2"/>
      <c r="Z78" s="19">
        <f t="shared" si="85"/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5" t="s">
        <v>3</v>
      </c>
      <c r="C80" s="25"/>
      <c r="D80" s="22">
        <f>+D20-D22+D77</f>
        <v>-7376.42</v>
      </c>
      <c r="E80" s="13"/>
      <c r="F80" s="21">
        <f>IF(D$12=0,0,D80/D$12)</f>
        <v>0</v>
      </c>
      <c r="G80" s="13"/>
      <c r="H80" s="22">
        <f>+H20-H22+H77</f>
        <v>37443.199999999983</v>
      </c>
      <c r="I80" s="13"/>
      <c r="J80" s="21">
        <f>IF(H$12=0,0,H80/H$12)</f>
        <v>0.20891366922932275</v>
      </c>
      <c r="K80" s="15"/>
      <c r="L80" s="22">
        <f>+D80-H80</f>
        <v>-44819.619999999981</v>
      </c>
      <c r="M80" s="15"/>
      <c r="N80" s="21">
        <f>IF(H80=0,0,L80/H80)</f>
        <v>-1.1970029271002478</v>
      </c>
      <c r="O80" s="26"/>
      <c r="P80" s="22">
        <f>+P20-P22+P77</f>
        <v>-31694.620000000006</v>
      </c>
      <c r="Q80" s="13"/>
      <c r="R80" s="21">
        <f>IF(P$12=0,0,P80/P$12)</f>
        <v>0</v>
      </c>
      <c r="S80" s="13"/>
      <c r="T80" s="22">
        <f>+T20-T22+T77</f>
        <v>31168.010000000009</v>
      </c>
      <c r="U80" s="13"/>
      <c r="V80" s="21">
        <f>IF(T$12=0,0,T80/T$12)</f>
        <v>0.10605323987984361</v>
      </c>
      <c r="W80" s="15"/>
      <c r="X80" s="22">
        <f>+P80-T80</f>
        <v>-62862.630000000019</v>
      </c>
      <c r="Y80" s="15"/>
      <c r="Z80" s="21">
        <f>IF(T80=0,0,X80/T80)</f>
        <v>-2.0168958493018962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/>
      <c r="E82" s="4"/>
      <c r="F82" s="12">
        <f>IF(D$12=0,0,D82/D$12)</f>
        <v>0</v>
      </c>
      <c r="G82" s="4"/>
      <c r="H82" s="4">
        <v>17271.43</v>
      </c>
      <c r="I82" s="4"/>
      <c r="J82" s="12">
        <f>IF(H$12=0,0,H82/H$12)</f>
        <v>9.6365636861630508E-2</v>
      </c>
      <c r="K82" s="4"/>
      <c r="L82" s="4">
        <f>+D82-H82</f>
        <v>-17271.43</v>
      </c>
      <c r="M82" s="4"/>
      <c r="N82" s="12">
        <f>IF(H82=0,0,L82/H82)</f>
        <v>-1</v>
      </c>
      <c r="O82" s="10"/>
      <c r="P82" s="4"/>
      <c r="Q82" s="4"/>
      <c r="R82" s="12">
        <f>IF(P$12=0,0,P82/P$12)</f>
        <v>0</v>
      </c>
      <c r="S82" s="4"/>
      <c r="T82" s="4">
        <v>31567.699999999997</v>
      </c>
      <c r="U82" s="4"/>
      <c r="V82" s="12">
        <f>IF(T$12=0,0,T82/T$12)</f>
        <v>0.10741323750072392</v>
      </c>
      <c r="W82" s="4"/>
      <c r="X82" s="4">
        <f>+P82-T82</f>
        <v>-31567.699999999997</v>
      </c>
      <c r="Y82" s="4"/>
      <c r="Z82" s="12">
        <f>IF(T82=0,0,X82/T82)</f>
        <v>-1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5" t="s">
        <v>4</v>
      </c>
      <c r="C84" s="25"/>
      <c r="D84" s="33">
        <f>+D80-D82</f>
        <v>-7376.42</v>
      </c>
      <c r="E84" s="13"/>
      <c r="F84" s="32">
        <f>IF(D$12=0,0,D84/D$12)</f>
        <v>0</v>
      </c>
      <c r="G84" s="13"/>
      <c r="H84" s="33">
        <f>+H80-H82</f>
        <v>20171.769999999982</v>
      </c>
      <c r="I84" s="13"/>
      <c r="J84" s="32">
        <f>IF(H$12=0,0,H84/H$12)</f>
        <v>0.11254803236769224</v>
      </c>
      <c r="K84" s="15"/>
      <c r="L84" s="33">
        <f>D84-H84</f>
        <v>-27548.189999999981</v>
      </c>
      <c r="M84" s="15"/>
      <c r="N84" s="32">
        <f>IF(H84=0,0,L84/H84)</f>
        <v>-1.3656803542772897</v>
      </c>
      <c r="O84" s="26"/>
      <c r="P84" s="33">
        <f>+P80-P82</f>
        <v>-31694.620000000006</v>
      </c>
      <c r="Q84" s="13"/>
      <c r="R84" s="32">
        <f>IF(P$12=0,0,P84/P$12)</f>
        <v>0</v>
      </c>
      <c r="S84" s="13"/>
      <c r="T84" s="33">
        <f>+T80-T82</f>
        <v>-399.68999999998778</v>
      </c>
      <c r="U84" s="13"/>
      <c r="V84" s="32">
        <f>IF(T$12=0,0,T84/T$12)</f>
        <v>-1.3599976208802996E-3</v>
      </c>
      <c r="W84" s="15"/>
      <c r="X84" s="33">
        <f>P84-T84</f>
        <v>-31294.930000000018</v>
      </c>
      <c r="Y84" s="15"/>
      <c r="Z84" s="32">
        <f>IF(T84=0,0,X84/T84)</f>
        <v>78.298005954617267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5</v>
      </c>
      <c r="C87" s="25"/>
      <c r="D87" s="34">
        <f>SUM(D84:D86)</f>
        <v>-7376.42</v>
      </c>
      <c r="E87" s="13"/>
      <c r="F87" s="31">
        <f>IF(D$12=0,0,D87/D$12)</f>
        <v>0</v>
      </c>
      <c r="G87" s="13"/>
      <c r="H87" s="34">
        <f>SUM(H84:H86)</f>
        <v>20171.769999999982</v>
      </c>
      <c r="I87" s="13"/>
      <c r="J87" s="31">
        <f>IF(H$12=0,0,H87/H$12)</f>
        <v>0.11254803236769224</v>
      </c>
      <c r="K87" s="15"/>
      <c r="L87" s="34">
        <f>+D87-H87</f>
        <v>-27548.189999999981</v>
      </c>
      <c r="M87" s="15"/>
      <c r="N87" s="31">
        <f>IF(H87=0,0,L87/H87)</f>
        <v>-1.3656803542772897</v>
      </c>
      <c r="O87" s="26"/>
      <c r="P87" s="34">
        <f>SUM(P84:P86)</f>
        <v>-31694.620000000006</v>
      </c>
      <c r="Q87" s="13"/>
      <c r="R87" s="31">
        <f>IF(P$12=0,0,P87/P$12)</f>
        <v>0</v>
      </c>
      <c r="S87" s="13"/>
      <c r="T87" s="34">
        <f>SUM(T84:T86)</f>
        <v>-399.68999999998778</v>
      </c>
      <c r="U87" s="13"/>
      <c r="V87" s="31">
        <f>IF(T$12=0,0,T87/T$12)</f>
        <v>-1.3599976208802996E-3</v>
      </c>
      <c r="W87" s="15"/>
      <c r="X87" s="34">
        <f>+P87-T87</f>
        <v>-31294.930000000018</v>
      </c>
      <c r="Y87" s="15"/>
      <c r="Z87" s="31">
        <f>IF(T87=0,0,X87/T87)</f>
        <v>78.298005954617267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2"/>
      <c r="K88" s="18"/>
      <c r="L88" s="18"/>
      <c r="M88" s="18"/>
      <c r="P88" s="18"/>
      <c r="Q88" s="18"/>
      <c r="R88" s="42"/>
      <c r="S88" s="18"/>
      <c r="T88" s="18"/>
      <c r="U88" s="18"/>
      <c r="V88" s="42"/>
      <c r="W88" s="18"/>
      <c r="X88" s="18"/>
    </row>
    <row r="89" spans="1:26" x14ac:dyDescent="0.25">
      <c r="A89" s="9"/>
      <c r="B89" s="54">
        <v>44123.56568576389</v>
      </c>
      <c r="D89" s="18"/>
      <c r="E89" s="18"/>
      <c r="G89" s="18"/>
      <c r="H89" s="18"/>
      <c r="I89" s="18"/>
      <c r="J89" s="42"/>
      <c r="K89" s="18"/>
      <c r="L89" s="18"/>
      <c r="M89" s="18"/>
      <c r="P89" s="18"/>
      <c r="Q89" s="18"/>
      <c r="R89" s="42"/>
      <c r="S89" s="18"/>
      <c r="T89" s="18"/>
      <c r="U89" s="18"/>
      <c r="V89" s="42"/>
      <c r="W89" s="18"/>
      <c r="X89" s="18"/>
    </row>
    <row r="90" spans="1:26" x14ac:dyDescent="0.25">
      <c r="A90" s="9"/>
      <c r="B90" s="59" t="s">
        <v>313</v>
      </c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8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","423", " - ", "Contract Revenue")</f>
        <v>Department 423 - Contract Revenue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6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2">
        <f>D12-D14</f>
        <v>0</v>
      </c>
      <c r="E17" s="13"/>
      <c r="F17" s="21">
        <f>IF(D$12=0,0,D17/D$12)</f>
        <v>0</v>
      </c>
      <c r="G17" s="13"/>
      <c r="H17" s="22">
        <f>H12-H14</f>
        <v>0</v>
      </c>
      <c r="I17" s="13"/>
      <c r="J17" s="21">
        <f>IF(H$12=0,0,H17/H$12)</f>
        <v>0</v>
      </c>
      <c r="K17" s="15"/>
      <c r="L17" s="22">
        <f>+D17-H17</f>
        <v>0</v>
      </c>
      <c r="M17" s="15"/>
      <c r="N17" s="21">
        <f>IF(H17=0,0,L17/H17)</f>
        <v>0</v>
      </c>
      <c r="O17" s="26"/>
      <c r="P17" s="22">
        <f>P12-P14</f>
        <v>0</v>
      </c>
      <c r="Q17" s="13"/>
      <c r="R17" s="21">
        <f>IF(P$12=0,0,P17/P$12)</f>
        <v>0</v>
      </c>
      <c r="S17" s="13"/>
      <c r="T17" s="22">
        <f>T12-T14</f>
        <v>805.48</v>
      </c>
      <c r="U17" s="13"/>
      <c r="V17" s="21">
        <f>IF(T$12=0,0,T17/T$12)</f>
        <v>0</v>
      </c>
      <c r="W17" s="15"/>
      <c r="X17" s="22">
        <f>+P17-T17</f>
        <v>-805.48</v>
      </c>
      <c r="Y17" s="15"/>
      <c r="Z17" s="21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200</v>
      </c>
      <c r="E19" s="20"/>
      <c r="F19" s="36">
        <f t="shared" ref="F19:F28" si="8">IF(D$12=0,0,D19/D$12)</f>
        <v>0</v>
      </c>
      <c r="G19" s="20"/>
      <c r="H19" s="20">
        <f>SUM(OSRRefH22x_0)</f>
        <v>13333.1</v>
      </c>
      <c r="I19" s="20"/>
      <c r="J19" s="36">
        <f t="shared" ref="J19:J28" si="9">IF(H$12=0,0,H19/H$12)</f>
        <v>0</v>
      </c>
      <c r="K19" s="4"/>
      <c r="L19" s="20">
        <f t="shared" ref="L19:L28" si="10">+D19-H19</f>
        <v>-13133.1</v>
      </c>
      <c r="M19" s="4"/>
      <c r="N19" s="36">
        <f t="shared" ref="N19:N28" si="11">IF(H19=0,0,L19/H19)</f>
        <v>-0.98499973749540615</v>
      </c>
      <c r="O19" s="10"/>
      <c r="P19" s="20">
        <f>SUM(OSRRefP22x_0)</f>
        <v>2694.43</v>
      </c>
      <c r="Q19" s="20"/>
      <c r="R19" s="36">
        <f t="shared" ref="R19:R28" si="12">IF(P$12=0,0,P19/P$12)</f>
        <v>0</v>
      </c>
      <c r="S19" s="20"/>
      <c r="T19" s="20">
        <f>SUM(OSRRefT22x_0)</f>
        <v>39922.620000000003</v>
      </c>
      <c r="U19" s="20"/>
      <c r="V19" s="36">
        <f t="shared" ref="V19:V28" si="13">IF(T$12=0,0,T19/T$12)</f>
        <v>0</v>
      </c>
      <c r="W19" s="4"/>
      <c r="X19" s="20">
        <f t="shared" ref="X19:X28" si="14">+P19-T19</f>
        <v>-37228.19</v>
      </c>
      <c r="Y19" s="4"/>
      <c r="Z19" s="36">
        <f t="shared" ref="Z19:Z28" si="15">IF(T19=0,0,X19/T19)</f>
        <v>-0.93250868805704634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9059.09</v>
      </c>
      <c r="I20" s="1"/>
      <c r="J20" s="5">
        <f t="shared" si="9"/>
        <v>0</v>
      </c>
      <c r="K20" s="1"/>
      <c r="L20" s="1">
        <f t="shared" si="10"/>
        <v>-9059.09</v>
      </c>
      <c r="M20" s="1"/>
      <c r="N20" s="5">
        <f t="shared" si="11"/>
        <v>-1</v>
      </c>
      <c r="O20" s="14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16473.14</v>
      </c>
      <c r="U20" s="1"/>
      <c r="V20" s="5">
        <f t="shared" si="13"/>
        <v>0</v>
      </c>
      <c r="W20" s="1"/>
      <c r="X20" s="1">
        <f t="shared" si="14"/>
        <v>-13994.41</v>
      </c>
      <c r="Y20" s="1"/>
      <c r="Z20" s="5">
        <f t="shared" si="15"/>
        <v>-0.84952899082992073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>
        <v>384.92</v>
      </c>
      <c r="I21" s="2"/>
      <c r="J21" s="6">
        <f t="shared" si="9"/>
        <v>0</v>
      </c>
      <c r="K21" s="2"/>
      <c r="L21" s="7">
        <f t="shared" si="10"/>
        <v>-384.92</v>
      </c>
      <c r="M21" s="2"/>
      <c r="N21" s="6">
        <f t="shared" si="11"/>
        <v>-1</v>
      </c>
      <c r="O21" s="11"/>
      <c r="P21" s="7"/>
      <c r="Q21" s="2"/>
      <c r="R21" s="6">
        <f t="shared" si="12"/>
        <v>0</v>
      </c>
      <c r="S21" s="2"/>
      <c r="T21" s="7">
        <v>1084.76</v>
      </c>
      <c r="U21" s="2"/>
      <c r="V21" s="6">
        <f t="shared" si="13"/>
        <v>0</v>
      </c>
      <c r="W21" s="2"/>
      <c r="X21" s="7">
        <f t="shared" si="14"/>
        <v>-1084.76</v>
      </c>
      <c r="Y21" s="2"/>
      <c r="Z21" s="6">
        <f t="shared" si="15"/>
        <v>-1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/>
      <c r="E22" s="2"/>
      <c r="F22" s="6">
        <f t="shared" si="8"/>
        <v>0</v>
      </c>
      <c r="G22" s="2"/>
      <c r="H22" s="7">
        <v>17.11</v>
      </c>
      <c r="I22" s="2"/>
      <c r="J22" s="6">
        <f t="shared" si="9"/>
        <v>0</v>
      </c>
      <c r="K22" s="2"/>
      <c r="L22" s="7">
        <f t="shared" si="10"/>
        <v>-17.11</v>
      </c>
      <c r="M22" s="2"/>
      <c r="N22" s="6">
        <f t="shared" si="11"/>
        <v>-1</v>
      </c>
      <c r="O22" s="11"/>
      <c r="P22" s="7"/>
      <c r="Q22" s="2"/>
      <c r="R22" s="6">
        <f t="shared" si="12"/>
        <v>0</v>
      </c>
      <c r="S22" s="2"/>
      <c r="T22" s="7">
        <v>372.05</v>
      </c>
      <c r="U22" s="2"/>
      <c r="V22" s="6">
        <f t="shared" si="13"/>
        <v>0</v>
      </c>
      <c r="W22" s="2"/>
      <c r="X22" s="7">
        <f t="shared" si="14"/>
        <v>-372.05</v>
      </c>
      <c r="Y22" s="2"/>
      <c r="Z22" s="6">
        <f t="shared" si="15"/>
        <v>-1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/>
      <c r="E23" s="2"/>
      <c r="F23" s="6">
        <f t="shared" si="8"/>
        <v>0</v>
      </c>
      <c r="G23" s="2"/>
      <c r="H23" s="7">
        <v>1011.43</v>
      </c>
      <c r="I23" s="2"/>
      <c r="J23" s="6">
        <f t="shared" si="9"/>
        <v>0</v>
      </c>
      <c r="K23" s="2"/>
      <c r="L23" s="7">
        <f t="shared" si="10"/>
        <v>-1011.43</v>
      </c>
      <c r="M23" s="2"/>
      <c r="N23" s="6">
        <f t="shared" si="11"/>
        <v>-1</v>
      </c>
      <c r="O23" s="11"/>
      <c r="P23" s="7">
        <v>1868.2</v>
      </c>
      <c r="Q23" s="2"/>
      <c r="R23" s="6">
        <f t="shared" si="12"/>
        <v>0</v>
      </c>
      <c r="S23" s="2"/>
      <c r="T23" s="7">
        <v>3034.29</v>
      </c>
      <c r="U23" s="2"/>
      <c r="V23" s="6">
        <f t="shared" si="13"/>
        <v>0</v>
      </c>
      <c r="W23" s="2"/>
      <c r="X23" s="7">
        <f t="shared" si="14"/>
        <v>-1166.0899999999999</v>
      </c>
      <c r="Y23" s="2"/>
      <c r="Z23" s="6">
        <f t="shared" si="15"/>
        <v>-0.38430407113360948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8"/>
        <v>0</v>
      </c>
      <c r="G24" s="2"/>
      <c r="H24" s="7">
        <v>13.08</v>
      </c>
      <c r="I24" s="2"/>
      <c r="J24" s="6">
        <f t="shared" si="9"/>
        <v>0</v>
      </c>
      <c r="K24" s="2"/>
      <c r="L24" s="7">
        <f t="shared" si="10"/>
        <v>-13.08</v>
      </c>
      <c r="M24" s="2"/>
      <c r="N24" s="6">
        <f t="shared" si="11"/>
        <v>-1</v>
      </c>
      <c r="O24" s="11"/>
      <c r="P24" s="7"/>
      <c r="Q24" s="2"/>
      <c r="R24" s="6">
        <f t="shared" si="12"/>
        <v>0</v>
      </c>
      <c r="S24" s="2"/>
      <c r="T24" s="7">
        <v>36.86</v>
      </c>
      <c r="U24" s="2"/>
      <c r="V24" s="6">
        <f t="shared" si="13"/>
        <v>0</v>
      </c>
      <c r="W24" s="2"/>
      <c r="X24" s="7">
        <f t="shared" si="14"/>
        <v>-36.86</v>
      </c>
      <c r="Y24" s="2"/>
      <c r="Z24" s="6">
        <f t="shared" si="15"/>
        <v>-1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/>
      <c r="E25" s="2"/>
      <c r="F25" s="6">
        <f t="shared" si="8"/>
        <v>0</v>
      </c>
      <c r="G25" s="2"/>
      <c r="H25" s="7">
        <v>514.27</v>
      </c>
      <c r="I25" s="2"/>
      <c r="J25" s="6">
        <f t="shared" si="9"/>
        <v>0</v>
      </c>
      <c r="K25" s="2"/>
      <c r="L25" s="7">
        <f t="shared" si="10"/>
        <v>-514.27</v>
      </c>
      <c r="M25" s="2"/>
      <c r="N25" s="6">
        <f t="shared" si="11"/>
        <v>-1</v>
      </c>
      <c r="O25" s="11"/>
      <c r="P25" s="7">
        <v>610.53</v>
      </c>
      <c r="Q25" s="2"/>
      <c r="R25" s="6">
        <f t="shared" si="12"/>
        <v>0</v>
      </c>
      <c r="S25" s="2"/>
      <c r="T25" s="7">
        <v>1449.31</v>
      </c>
      <c r="U25" s="2"/>
      <c r="V25" s="6">
        <f t="shared" si="13"/>
        <v>0</v>
      </c>
      <c r="W25" s="2"/>
      <c r="X25" s="7">
        <f t="shared" si="14"/>
        <v>-838.78</v>
      </c>
      <c r="Y25" s="2"/>
      <c r="Z25" s="6">
        <f t="shared" si="15"/>
        <v>-0.5787443680096046</v>
      </c>
    </row>
    <row r="26" spans="1:26" s="24" customFormat="1" hidden="1" outlineLevel="2" x14ac:dyDescent="0.25">
      <c r="A26" s="28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8"/>
        <v>0</v>
      </c>
      <c r="G26" s="2"/>
      <c r="H26" s="7">
        <v>1578.83</v>
      </c>
      <c r="I26" s="2"/>
      <c r="J26" s="6">
        <f t="shared" si="9"/>
        <v>0</v>
      </c>
      <c r="K26" s="2"/>
      <c r="L26" s="7">
        <f t="shared" si="10"/>
        <v>-1578.83</v>
      </c>
      <c r="M26" s="2"/>
      <c r="N26" s="6">
        <f t="shared" si="11"/>
        <v>-1</v>
      </c>
      <c r="O26" s="11"/>
      <c r="P26" s="7"/>
      <c r="Q26" s="2"/>
      <c r="R26" s="6">
        <f t="shared" si="12"/>
        <v>0</v>
      </c>
      <c r="S26" s="2"/>
      <c r="T26" s="7">
        <v>2757.08</v>
      </c>
      <c r="U26" s="2"/>
      <c r="V26" s="6">
        <f t="shared" si="13"/>
        <v>0</v>
      </c>
      <c r="W26" s="2"/>
      <c r="X26" s="7">
        <f t="shared" si="14"/>
        <v>-2757.08</v>
      </c>
      <c r="Y26" s="2"/>
      <c r="Z26" s="6">
        <f t="shared" si="15"/>
        <v>-1</v>
      </c>
    </row>
    <row r="27" spans="1:26" s="24" customFormat="1" hidden="1" outlineLevel="2" x14ac:dyDescent="0.25">
      <c r="A27" s="28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8"/>
        <v>0</v>
      </c>
      <c r="G27" s="2"/>
      <c r="H27" s="7">
        <v>5394.36</v>
      </c>
      <c r="I27" s="2"/>
      <c r="J27" s="6">
        <f t="shared" si="9"/>
        <v>0</v>
      </c>
      <c r="K27" s="2"/>
      <c r="L27" s="7">
        <f t="shared" si="10"/>
        <v>-5394.36</v>
      </c>
      <c r="M27" s="2"/>
      <c r="N27" s="6">
        <f t="shared" si="11"/>
        <v>-1</v>
      </c>
      <c r="O27" s="11"/>
      <c r="P27" s="7"/>
      <c r="Q27" s="2"/>
      <c r="R27" s="6">
        <f t="shared" si="12"/>
        <v>0</v>
      </c>
      <c r="S27" s="2"/>
      <c r="T27" s="7">
        <v>7307.68</v>
      </c>
      <c r="U27" s="2"/>
      <c r="V27" s="6">
        <f t="shared" si="13"/>
        <v>0</v>
      </c>
      <c r="W27" s="2"/>
      <c r="X27" s="7">
        <f t="shared" si="14"/>
        <v>-7307.68</v>
      </c>
      <c r="Y27" s="2"/>
      <c r="Z27" s="6">
        <f t="shared" si="15"/>
        <v>-1</v>
      </c>
    </row>
    <row r="28" spans="1:26" s="24" customFormat="1" hidden="1" outlineLevel="2" x14ac:dyDescent="0.25">
      <c r="A28" s="28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8"/>
        <v>0</v>
      </c>
      <c r="G28" s="2"/>
      <c r="H28" s="7">
        <v>145.09</v>
      </c>
      <c r="I28" s="2"/>
      <c r="J28" s="6">
        <f t="shared" si="9"/>
        <v>0</v>
      </c>
      <c r="K28" s="2"/>
      <c r="L28" s="7">
        <f t="shared" si="10"/>
        <v>-145.09</v>
      </c>
      <c r="M28" s="2"/>
      <c r="N28" s="6">
        <f t="shared" si="11"/>
        <v>-1</v>
      </c>
      <c r="O28" s="11"/>
      <c r="P28" s="7"/>
      <c r="Q28" s="2"/>
      <c r="R28" s="6">
        <f t="shared" si="12"/>
        <v>0</v>
      </c>
      <c r="S28" s="2"/>
      <c r="T28" s="7">
        <v>431.11</v>
      </c>
      <c r="U28" s="2"/>
      <c r="V28" s="6">
        <f t="shared" si="13"/>
        <v>0</v>
      </c>
      <c r="W28" s="2"/>
      <c r="X28" s="7">
        <f t="shared" si="14"/>
        <v>-431.11</v>
      </c>
      <c r="Y28" s="2"/>
      <c r="Z28" s="6">
        <f t="shared" si="15"/>
        <v>-1</v>
      </c>
    </row>
    <row r="29" spans="1:26" s="27" customFormat="1" outlineLevel="1" collapsed="1" x14ac:dyDescent="0.25">
      <c r="A29" s="29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4140.2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-4140.2</v>
      </c>
      <c r="M29" s="1"/>
      <c r="N29" s="5">
        <f t="shared" ref="N29:N38" si="19">IF(H29=0,0,L29/H29)</f>
        <v>-1</v>
      </c>
      <c r="O29" s="14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13287.88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-13287.88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8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16"/>
        <v>0</v>
      </c>
      <c r="G30" s="2"/>
      <c r="H30" s="7">
        <v>4140.2</v>
      </c>
      <c r="I30" s="2"/>
      <c r="J30" s="6">
        <f t="shared" si="17"/>
        <v>0</v>
      </c>
      <c r="K30" s="2"/>
      <c r="L30" s="7">
        <f t="shared" si="18"/>
        <v>-4140.2</v>
      </c>
      <c r="M30" s="2"/>
      <c r="N30" s="6">
        <f t="shared" si="19"/>
        <v>-1</v>
      </c>
      <c r="O30" s="11"/>
      <c r="P30" s="7"/>
      <c r="Q30" s="2"/>
      <c r="R30" s="6">
        <f t="shared" si="20"/>
        <v>0</v>
      </c>
      <c r="S30" s="2"/>
      <c r="T30" s="7">
        <v>13287.88</v>
      </c>
      <c r="U30" s="2"/>
      <c r="V30" s="6">
        <f t="shared" si="21"/>
        <v>0</v>
      </c>
      <c r="W30" s="2"/>
      <c r="X30" s="7">
        <f t="shared" si="22"/>
        <v>-13287.88</v>
      </c>
      <c r="Y30" s="2"/>
      <c r="Z30" s="6">
        <f t="shared" si="23"/>
        <v>-1</v>
      </c>
    </row>
    <row r="31" spans="1:26" s="27" customFormat="1" outlineLevel="1" collapsed="1" x14ac:dyDescent="0.25">
      <c r="A31" s="29"/>
      <c r="B31" s="14" t="str">
        <f>CONCATENATE("     ","General                                           ")</f>
        <v xml:space="preserve">     General                                           </v>
      </c>
      <c r="C31" s="14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8"/>
      <c r="B32" s="11" t="str">
        <f>CONCATENATE("          ", "6279", " - ", "GENERAL EXPENSE")</f>
        <v xml:space="preserve">          6279 - GENERAL EXPENSE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2443.65</v>
      </c>
      <c r="U32" s="2"/>
      <c r="V32" s="6">
        <f t="shared" si="21"/>
        <v>0</v>
      </c>
      <c r="W32" s="2"/>
      <c r="X32" s="7">
        <f t="shared" si="22"/>
        <v>-2443.65</v>
      </c>
      <c r="Y32" s="2"/>
      <c r="Z32" s="6">
        <f t="shared" si="23"/>
        <v>-1</v>
      </c>
    </row>
    <row r="33" spans="1:26" s="27" customFormat="1" outlineLevel="1" collapsed="1" x14ac:dyDescent="0.25">
      <c r="A33" s="29"/>
      <c r="B33" s="14" t="str">
        <f>CONCATENATE("     ","Royalty &amp; Commissions                             ")</f>
        <v xml:space="preserve">     Royalty &amp; Commissions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7344.9</v>
      </c>
      <c r="U33" s="1"/>
      <c r="V33" s="5">
        <f t="shared" si="21"/>
        <v>0</v>
      </c>
      <c r="W33" s="1"/>
      <c r="X33" s="1">
        <f t="shared" si="22"/>
        <v>-7344.9</v>
      </c>
      <c r="Y33" s="1"/>
      <c r="Z33" s="5">
        <f t="shared" si="23"/>
        <v>-1</v>
      </c>
    </row>
    <row r="34" spans="1:26" s="24" customFormat="1" hidden="1" outlineLevel="2" x14ac:dyDescent="0.25">
      <c r="A34" s="28"/>
      <c r="B34" s="11" t="str">
        <f>CONCATENATE("          ", "6254", " - ", "ROYALTY &amp; COMMISSIONS")</f>
        <v xml:space="preserve">          6254 - ROYALTY &amp; COMMISSIONS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7344.9</v>
      </c>
      <c r="U34" s="2"/>
      <c r="V34" s="6">
        <f t="shared" si="21"/>
        <v>0</v>
      </c>
      <c r="W34" s="2"/>
      <c r="X34" s="7">
        <f t="shared" si="22"/>
        <v>-7344.9</v>
      </c>
      <c r="Y34" s="2"/>
      <c r="Z34" s="6">
        <f t="shared" si="23"/>
        <v>-1</v>
      </c>
    </row>
    <row r="35" spans="1:26" s="27" customFormat="1" outlineLevel="1" collapsed="1" x14ac:dyDescent="0.25">
      <c r="A35" s="29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8.81</v>
      </c>
      <c r="I35" s="1"/>
      <c r="J35" s="5">
        <f t="shared" si="17"/>
        <v>0</v>
      </c>
      <c r="K35" s="1"/>
      <c r="L35" s="1">
        <f t="shared" si="18"/>
        <v>-8.81</v>
      </c>
      <c r="M35" s="1"/>
      <c r="N35" s="5">
        <f t="shared" si="19"/>
        <v>-1</v>
      </c>
      <c r="O35" s="14"/>
      <c r="P35" s="1">
        <f>SUM(OSRRefP22_4x_0)</f>
        <v>-56.3</v>
      </c>
      <c r="Q35" s="1"/>
      <c r="R35" s="5">
        <f t="shared" si="20"/>
        <v>0</v>
      </c>
      <c r="S35" s="1"/>
      <c r="T35" s="1">
        <f>SUM(OSRRefT22_4x_0)</f>
        <v>31.75</v>
      </c>
      <c r="U35" s="1"/>
      <c r="V35" s="5">
        <f t="shared" si="21"/>
        <v>0</v>
      </c>
      <c r="W35" s="1"/>
      <c r="X35" s="1">
        <f t="shared" si="22"/>
        <v>-88.05</v>
      </c>
      <c r="Y35" s="1"/>
      <c r="Z35" s="5">
        <f t="shared" si="23"/>
        <v>-2.7732283464566927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16"/>
        <v>0</v>
      </c>
      <c r="G36" s="2"/>
      <c r="H36" s="7">
        <v>8.81</v>
      </c>
      <c r="I36" s="2"/>
      <c r="J36" s="6">
        <f t="shared" si="17"/>
        <v>0</v>
      </c>
      <c r="K36" s="2"/>
      <c r="L36" s="7">
        <f t="shared" si="18"/>
        <v>-8.81</v>
      </c>
      <c r="M36" s="2"/>
      <c r="N36" s="6">
        <f t="shared" si="19"/>
        <v>-1</v>
      </c>
      <c r="O36" s="11"/>
      <c r="P36" s="7">
        <v>-56.3</v>
      </c>
      <c r="Q36" s="2"/>
      <c r="R36" s="6">
        <f t="shared" si="20"/>
        <v>0</v>
      </c>
      <c r="S36" s="2"/>
      <c r="T36" s="7">
        <v>31.75</v>
      </c>
      <c r="U36" s="2"/>
      <c r="V36" s="6">
        <f t="shared" si="21"/>
        <v>0</v>
      </c>
      <c r="W36" s="2"/>
      <c r="X36" s="7">
        <f t="shared" si="22"/>
        <v>-88.05</v>
      </c>
      <c r="Y36" s="2"/>
      <c r="Z36" s="6">
        <f t="shared" si="23"/>
        <v>-2.7732283464566927</v>
      </c>
    </row>
    <row r="37" spans="1:26" s="27" customFormat="1" outlineLevel="1" collapsed="1" x14ac:dyDescent="0.25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200</v>
      </c>
      <c r="E37" s="1"/>
      <c r="F37" s="5">
        <f t="shared" si="16"/>
        <v>0</v>
      </c>
      <c r="G37" s="1"/>
      <c r="H37" s="1">
        <f>SUM(OSRRefH22_5x_0)</f>
        <v>125</v>
      </c>
      <c r="I37" s="1"/>
      <c r="J37" s="5">
        <f t="shared" si="17"/>
        <v>0</v>
      </c>
      <c r="K37" s="1"/>
      <c r="L37" s="1">
        <f t="shared" si="18"/>
        <v>75</v>
      </c>
      <c r="M37" s="1"/>
      <c r="N37" s="5">
        <f t="shared" si="19"/>
        <v>0.6</v>
      </c>
      <c r="O37" s="14"/>
      <c r="P37" s="1">
        <f>SUM(OSRRefP22_5x_0)</f>
        <v>272</v>
      </c>
      <c r="Q37" s="1"/>
      <c r="R37" s="5">
        <f t="shared" si="20"/>
        <v>0</v>
      </c>
      <c r="S37" s="1"/>
      <c r="T37" s="1">
        <f>SUM(OSRRefT22_5x_0)</f>
        <v>341.3</v>
      </c>
      <c r="U37" s="1"/>
      <c r="V37" s="5">
        <f t="shared" si="21"/>
        <v>0</v>
      </c>
      <c r="W37" s="1"/>
      <c r="X37" s="1">
        <f t="shared" si="22"/>
        <v>-69.300000000000011</v>
      </c>
      <c r="Y37" s="1"/>
      <c r="Z37" s="5">
        <f t="shared" si="23"/>
        <v>-0.20304717257544685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7">
        <v>200</v>
      </c>
      <c r="E38" s="2"/>
      <c r="F38" s="6">
        <f t="shared" si="16"/>
        <v>0</v>
      </c>
      <c r="G38" s="2"/>
      <c r="H38" s="7">
        <v>125</v>
      </c>
      <c r="I38" s="2"/>
      <c r="J38" s="6">
        <f t="shared" si="17"/>
        <v>0</v>
      </c>
      <c r="K38" s="2"/>
      <c r="L38" s="7">
        <f t="shared" si="18"/>
        <v>75</v>
      </c>
      <c r="M38" s="2"/>
      <c r="N38" s="6">
        <f t="shared" si="19"/>
        <v>0.6</v>
      </c>
      <c r="O38" s="11"/>
      <c r="P38" s="7">
        <v>272</v>
      </c>
      <c r="Q38" s="2"/>
      <c r="R38" s="6">
        <f t="shared" si="20"/>
        <v>0</v>
      </c>
      <c r="S38" s="2"/>
      <c r="T38" s="7">
        <v>341.3</v>
      </c>
      <c r="U38" s="2"/>
      <c r="V38" s="6">
        <f t="shared" si="21"/>
        <v>0</v>
      </c>
      <c r="W38" s="2"/>
      <c r="X38" s="7">
        <f t="shared" si="22"/>
        <v>-69.300000000000011</v>
      </c>
      <c r="Y38" s="2"/>
      <c r="Z38" s="6">
        <f t="shared" si="23"/>
        <v>-0.20304717257544685</v>
      </c>
    </row>
    <row r="39" spans="1:26" s="60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6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8086.11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-8086.11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24210.17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-24210.17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--8086.11</f>
        <v>8086.11</v>
      </c>
      <c r="I41" s="2"/>
      <c r="J41" s="19">
        <f t="shared" si="25"/>
        <v>0</v>
      </c>
      <c r="K41" s="2"/>
      <c r="L41" s="2">
        <f t="shared" si="26"/>
        <v>-8086.11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--24210.17</f>
        <v>24210.17</v>
      </c>
      <c r="U41" s="2"/>
      <c r="V41" s="19">
        <f t="shared" si="29"/>
        <v>0</v>
      </c>
      <c r="W41" s="2"/>
      <c r="X41" s="2">
        <f t="shared" si="30"/>
        <v>-24210.17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5" t="s">
        <v>3</v>
      </c>
      <c r="C43" s="25"/>
      <c r="D43" s="22">
        <f>+D17-D19+D40</f>
        <v>-200</v>
      </c>
      <c r="E43" s="13"/>
      <c r="F43" s="21">
        <f>IF(D$12=0,0,D43/D$12)</f>
        <v>0</v>
      </c>
      <c r="G43" s="13"/>
      <c r="H43" s="22">
        <f>+H17-H19+H40</f>
        <v>-5246.9900000000007</v>
      </c>
      <c r="I43" s="13"/>
      <c r="J43" s="21">
        <f>IF(H$12=0,0,H43/H$12)</f>
        <v>0</v>
      </c>
      <c r="K43" s="15"/>
      <c r="L43" s="22">
        <f>+D43-H43</f>
        <v>5046.9900000000007</v>
      </c>
      <c r="M43" s="15"/>
      <c r="N43" s="21">
        <f>IF(H43=0,0,L43/H43)</f>
        <v>-0.961882908105409</v>
      </c>
      <c r="O43" s="26"/>
      <c r="P43" s="22">
        <f>+P17-P19+P40</f>
        <v>-2694.43</v>
      </c>
      <c r="Q43" s="13"/>
      <c r="R43" s="21">
        <f>IF(P$12=0,0,P43/P$12)</f>
        <v>0</v>
      </c>
      <c r="S43" s="13"/>
      <c r="T43" s="22">
        <f>+T17-T19+T40</f>
        <v>-14906.970000000001</v>
      </c>
      <c r="U43" s="13"/>
      <c r="V43" s="21">
        <f>IF(T$12=0,0,T43/T$12)</f>
        <v>0</v>
      </c>
      <c r="W43" s="15"/>
      <c r="X43" s="22">
        <f>+P43-T43</f>
        <v>12212.54</v>
      </c>
      <c r="Y43" s="15"/>
      <c r="Z43" s="21">
        <f>IF(T43=0,0,X43/T43)</f>
        <v>-0.81925032384180019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5" t="s">
        <v>4</v>
      </c>
      <c r="C47" s="25"/>
      <c r="D47" s="33">
        <f>+D43-D45</f>
        <v>-200</v>
      </c>
      <c r="E47" s="13"/>
      <c r="F47" s="32">
        <f>IF(D$12=0,0,D47/D$12)</f>
        <v>0</v>
      </c>
      <c r="G47" s="13"/>
      <c r="H47" s="33">
        <f>+H43-H45</f>
        <v>-5246.9900000000007</v>
      </c>
      <c r="I47" s="13"/>
      <c r="J47" s="32">
        <f>IF(H$12=0,0,H47/H$12)</f>
        <v>0</v>
      </c>
      <c r="K47" s="15"/>
      <c r="L47" s="33">
        <f>D47-H47</f>
        <v>5046.9900000000007</v>
      </c>
      <c r="M47" s="15"/>
      <c r="N47" s="32">
        <f>IF(H47=0,0,L47/H47)</f>
        <v>-0.961882908105409</v>
      </c>
      <c r="O47" s="26"/>
      <c r="P47" s="33">
        <f>+P43-P45</f>
        <v>-2694.43</v>
      </c>
      <c r="Q47" s="13"/>
      <c r="R47" s="32">
        <f>IF(P$12=0,0,P47/P$12)</f>
        <v>0</v>
      </c>
      <c r="S47" s="13"/>
      <c r="T47" s="33">
        <f>+T43-T45</f>
        <v>-14906.970000000001</v>
      </c>
      <c r="U47" s="13"/>
      <c r="V47" s="32">
        <f>IF(T$12=0,0,T47/T$12)</f>
        <v>0</v>
      </c>
      <c r="W47" s="15"/>
      <c r="X47" s="33">
        <f>P47-T47</f>
        <v>12212.54</v>
      </c>
      <c r="Y47" s="15"/>
      <c r="Z47" s="32">
        <f>IF(T47=0,0,X47/T47)</f>
        <v>-0.81925032384180019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5</v>
      </c>
      <c r="C50" s="25"/>
      <c r="D50" s="34">
        <f>SUM(D47:D49)</f>
        <v>-200</v>
      </c>
      <c r="E50" s="13"/>
      <c r="F50" s="31">
        <f>IF(D$12=0,0,D50/D$12)</f>
        <v>0</v>
      </c>
      <c r="G50" s="13"/>
      <c r="H50" s="34">
        <f>SUM(H47:H49)</f>
        <v>-5246.9900000000007</v>
      </c>
      <c r="I50" s="13"/>
      <c r="J50" s="31">
        <f>IF(H$12=0,0,H50/H$12)</f>
        <v>0</v>
      </c>
      <c r="K50" s="15"/>
      <c r="L50" s="34">
        <f>+D50-H50</f>
        <v>5046.9900000000007</v>
      </c>
      <c r="M50" s="15"/>
      <c r="N50" s="31">
        <f>IF(H50=0,0,L50/H50)</f>
        <v>-0.961882908105409</v>
      </c>
      <c r="O50" s="26"/>
      <c r="P50" s="34">
        <f>SUM(P47:P49)</f>
        <v>-2694.43</v>
      </c>
      <c r="Q50" s="13"/>
      <c r="R50" s="31">
        <f>IF(P$12=0,0,P50/P$12)</f>
        <v>0</v>
      </c>
      <c r="S50" s="13"/>
      <c r="T50" s="34">
        <f>SUM(T47:T49)</f>
        <v>-14906.970000000001</v>
      </c>
      <c r="U50" s="13"/>
      <c r="V50" s="31">
        <f>IF(T$12=0,0,T50/T$12)</f>
        <v>0</v>
      </c>
      <c r="W50" s="15"/>
      <c r="X50" s="34">
        <f>+P50-T50</f>
        <v>12212.54</v>
      </c>
      <c r="Y50" s="15"/>
      <c r="Z50" s="31">
        <f>IF(T50=0,0,X50/T50)</f>
        <v>-0.81925032384180019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2"/>
      <c r="K51" s="18"/>
      <c r="L51" s="18"/>
      <c r="M51" s="18"/>
      <c r="P51" s="18"/>
      <c r="Q51" s="18"/>
      <c r="R51" s="42"/>
      <c r="S51" s="18"/>
      <c r="T51" s="18"/>
      <c r="U51" s="18"/>
      <c r="V51" s="42"/>
      <c r="W51" s="18"/>
      <c r="X51" s="18"/>
    </row>
    <row r="52" spans="1:26" x14ac:dyDescent="0.25">
      <c r="A52" s="9"/>
      <c r="B52" s="54">
        <v>44123.565721296298</v>
      </c>
      <c r="D52" s="18"/>
      <c r="E52" s="18"/>
      <c r="G52" s="18"/>
      <c r="H52" s="18"/>
      <c r="I52" s="18"/>
      <c r="J52" s="42"/>
      <c r="K52" s="18"/>
      <c r="L52" s="18"/>
      <c r="M52" s="18"/>
      <c r="P52" s="18"/>
      <c r="Q52" s="18"/>
      <c r="R52" s="42"/>
      <c r="S52" s="18"/>
      <c r="T52" s="18"/>
      <c r="U52" s="18"/>
      <c r="V52" s="42"/>
      <c r="W52" s="18"/>
      <c r="X52" s="18"/>
    </row>
    <row r="53" spans="1:26" x14ac:dyDescent="0.25">
      <c r="A53" s="9"/>
      <c r="B53" s="59" t="s">
        <v>313</v>
      </c>
      <c r="D53" s="18"/>
      <c r="E53" s="18"/>
      <c r="G53" s="18"/>
      <c r="H53" s="18"/>
      <c r="I53" s="18"/>
      <c r="J53" s="42"/>
      <c r="K53" s="18"/>
      <c r="L53" s="18"/>
      <c r="M53" s="18"/>
      <c r="P53" s="18"/>
      <c r="Q53" s="18"/>
      <c r="R53" s="42"/>
      <c r="S53" s="18"/>
      <c r="T53" s="18"/>
      <c r="U53" s="18"/>
      <c r="V53" s="42"/>
      <c r="W53" s="18"/>
      <c r="X53" s="18"/>
    </row>
    <row r="54" spans="1:26" x14ac:dyDescent="0.25">
      <c r="A54" s="9"/>
      <c r="B54" s="58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19851.87</v>
      </c>
      <c r="U12" s="4"/>
      <c r="V12" s="12"/>
      <c r="W12" s="4"/>
      <c r="X12" s="4">
        <f t="shared" ref="X12:X13" si="2">+P12-T12</f>
        <v>-19851.87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--19851.87</f>
        <v>19851.87</v>
      </c>
      <c r="U13" s="2"/>
      <c r="V13" s="19"/>
      <c r="W13" s="2"/>
      <c r="X13" s="2">
        <f t="shared" si="2"/>
        <v>-19851.87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4810.79</v>
      </c>
      <c r="U15" s="4"/>
      <c r="V15" s="12">
        <f t="shared" ref="V15:V17" si="9">IF(T$12=0,0,T15/T$12)</f>
        <v>0.24233434935852391</v>
      </c>
      <c r="W15" s="4"/>
      <c r="X15" s="4">
        <f t="shared" ref="X15:X17" si="10">+P15-T15</f>
        <v>-4810.79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/>
      <c r="I16" s="2"/>
      <c r="J16" s="19">
        <f t="shared" si="5"/>
        <v>0</v>
      </c>
      <c r="K16" s="2"/>
      <c r="L16" s="2">
        <f t="shared" si="6"/>
        <v>0</v>
      </c>
      <c r="M16" s="2"/>
      <c r="N16" s="19">
        <f t="shared" si="7"/>
        <v>0</v>
      </c>
      <c r="O16" s="11"/>
      <c r="P16" s="2"/>
      <c r="Q16" s="2"/>
      <c r="R16" s="19">
        <f t="shared" si="8"/>
        <v>0</v>
      </c>
      <c r="S16" s="2"/>
      <c r="T16" s="2">
        <v>6367.79</v>
      </c>
      <c r="U16" s="2"/>
      <c r="V16" s="19">
        <f t="shared" si="9"/>
        <v>0.32076524780788912</v>
      </c>
      <c r="W16" s="2"/>
      <c r="X16" s="2">
        <f t="shared" si="10"/>
        <v>-6367.79</v>
      </c>
      <c r="Y16" s="2"/>
      <c r="Z16" s="19">
        <f t="shared" si="11"/>
        <v>-1</v>
      </c>
    </row>
    <row r="17" spans="1:26" s="24" customFormat="1" hidden="1" outlineLevel="1" x14ac:dyDescent="0.25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/>
      <c r="I17" s="2"/>
      <c r="J17" s="19">
        <f t="shared" si="5"/>
        <v>0</v>
      </c>
      <c r="K17" s="2"/>
      <c r="L17" s="2">
        <f t="shared" si="6"/>
        <v>0</v>
      </c>
      <c r="M17" s="2"/>
      <c r="N17" s="19">
        <f t="shared" si="7"/>
        <v>0</v>
      </c>
      <c r="O17" s="11"/>
      <c r="P17" s="2"/>
      <c r="Q17" s="2"/>
      <c r="R17" s="19">
        <f t="shared" si="8"/>
        <v>0</v>
      </c>
      <c r="S17" s="2"/>
      <c r="T17" s="2">
        <v>-1557</v>
      </c>
      <c r="U17" s="2"/>
      <c r="V17" s="19">
        <f t="shared" si="9"/>
        <v>-7.8430898449365224E-2</v>
      </c>
      <c r="W17" s="2"/>
      <c r="X17" s="2">
        <f t="shared" si="10"/>
        <v>1557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5" t="s">
        <v>6</v>
      </c>
      <c r="C19" s="25"/>
      <c r="D19" s="22">
        <f>D12-D15</f>
        <v>0</v>
      </c>
      <c r="E19" s="13"/>
      <c r="F19" s="21">
        <f>IF(D$12=0,0,D19/D$12)</f>
        <v>0</v>
      </c>
      <c r="G19" s="13"/>
      <c r="H19" s="22">
        <f>H12-H15</f>
        <v>0</v>
      </c>
      <c r="I19" s="13"/>
      <c r="J19" s="21">
        <f>IF(H$12=0,0,H19/H$12)</f>
        <v>0</v>
      </c>
      <c r="K19" s="15"/>
      <c r="L19" s="22">
        <f>+D19-H19</f>
        <v>0</v>
      </c>
      <c r="M19" s="15"/>
      <c r="N19" s="21">
        <f>IF(H19=0,0,L19/H19)</f>
        <v>0</v>
      </c>
      <c r="O19" s="26"/>
      <c r="P19" s="22">
        <f>P12-P15</f>
        <v>0</v>
      </c>
      <c r="Q19" s="13"/>
      <c r="R19" s="21">
        <f>IF(P$12=0,0,P19/P$12)</f>
        <v>0</v>
      </c>
      <c r="S19" s="13"/>
      <c r="T19" s="22">
        <f>T12-T15</f>
        <v>15041.079999999998</v>
      </c>
      <c r="U19" s="13"/>
      <c r="V19" s="21">
        <f>IF(T$12=0,0,T19/T$12)</f>
        <v>0.75766565064147606</v>
      </c>
      <c r="W19" s="15"/>
      <c r="X19" s="22">
        <f>+P19-T19</f>
        <v>-15041.079999999998</v>
      </c>
      <c r="Y19" s="15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6" t="s">
        <v>9</v>
      </c>
      <c r="C21" s="10"/>
      <c r="D21" s="20">
        <f>SUM(OSRRefD22x_0)</f>
        <v>555.02</v>
      </c>
      <c r="E21" s="20"/>
      <c r="F21" s="36">
        <f t="shared" ref="F21:F28" si="12">IF(D$12=0,0,D21/D$12)</f>
        <v>0</v>
      </c>
      <c r="G21" s="20"/>
      <c r="H21" s="20">
        <f>SUM(OSRRefH22x_0)</f>
        <v>3725.33</v>
      </c>
      <c r="I21" s="20"/>
      <c r="J21" s="36">
        <f t="shared" ref="J21:J28" si="13">IF(H$12=0,0,H21/H$12)</f>
        <v>0</v>
      </c>
      <c r="K21" s="4"/>
      <c r="L21" s="20">
        <f t="shared" ref="L21:L28" si="14">+D21-H21</f>
        <v>-3170.31</v>
      </c>
      <c r="M21" s="4"/>
      <c r="N21" s="36">
        <f t="shared" ref="N21:N28" si="15">IF(H21=0,0,L21/H21)</f>
        <v>-0.85101454099368379</v>
      </c>
      <c r="O21" s="10"/>
      <c r="P21" s="20">
        <f>SUM(OSRRefP22x_0)</f>
        <v>2539.7600000000002</v>
      </c>
      <c r="Q21" s="20"/>
      <c r="R21" s="36">
        <f t="shared" ref="R21:R28" si="16">IF(P$12=0,0,P21/P$12)</f>
        <v>0</v>
      </c>
      <c r="S21" s="20"/>
      <c r="T21" s="20">
        <f>SUM(OSRRefT22x_0)</f>
        <v>15642.890000000001</v>
      </c>
      <c r="U21" s="20"/>
      <c r="V21" s="36">
        <f t="shared" ref="V21:V28" si="17">IF(T$12=0,0,T21/T$12)</f>
        <v>0.78798067889826007</v>
      </c>
      <c r="W21" s="4"/>
      <c r="X21" s="20">
        <f t="shared" ref="X21:X28" si="18">+P21-T21</f>
        <v>-13103.130000000001</v>
      </c>
      <c r="Y21" s="4"/>
      <c r="Z21" s="36">
        <f t="shared" ref="Z21:Z28" si="19">IF(T21=0,0,X21/T21)</f>
        <v>-0.83764125426951153</v>
      </c>
    </row>
    <row r="22" spans="1:26" s="27" customFormat="1" outlineLevel="1" collapsed="1" x14ac:dyDescent="0.25">
      <c r="A22" s="29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323.69</v>
      </c>
      <c r="U22" s="1"/>
      <c r="V22" s="5">
        <f t="shared" si="17"/>
        <v>1.6305264944813765E-2</v>
      </c>
      <c r="W22" s="1"/>
      <c r="X22" s="1">
        <f t="shared" si="18"/>
        <v>-323.69</v>
      </c>
      <c r="Y22" s="1"/>
      <c r="Z22" s="5">
        <f t="shared" si="19"/>
        <v>-1</v>
      </c>
    </row>
    <row r="23" spans="1:26" s="24" customFormat="1" hidden="1" outlineLevel="2" x14ac:dyDescent="0.25">
      <c r="A23" s="28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/>
      <c r="I23" s="2"/>
      <c r="J23" s="6">
        <f t="shared" si="13"/>
        <v>0</v>
      </c>
      <c r="K23" s="2"/>
      <c r="L23" s="7">
        <f t="shared" si="14"/>
        <v>0</v>
      </c>
      <c r="M23" s="2"/>
      <c r="N23" s="6">
        <f t="shared" si="15"/>
        <v>0</v>
      </c>
      <c r="O23" s="11"/>
      <c r="P23" s="7"/>
      <c r="Q23" s="2"/>
      <c r="R23" s="6">
        <f t="shared" si="16"/>
        <v>0</v>
      </c>
      <c r="S23" s="2"/>
      <c r="T23" s="7">
        <v>323.69</v>
      </c>
      <c r="U23" s="2"/>
      <c r="V23" s="6">
        <f t="shared" si="17"/>
        <v>1.6305264944813765E-2</v>
      </c>
      <c r="W23" s="2"/>
      <c r="X23" s="7">
        <f t="shared" si="18"/>
        <v>-323.69</v>
      </c>
      <c r="Y23" s="2"/>
      <c r="Z23" s="6">
        <f t="shared" si="19"/>
        <v>-1</v>
      </c>
    </row>
    <row r="24" spans="1:26" s="27" customFormat="1" outlineLevel="1" collapsed="1" x14ac:dyDescent="0.25">
      <c r="A24" s="29"/>
      <c r="B24" s="14" t="str">
        <f>CONCATENATE("     ","*Payroll                                          ")</f>
        <v xml:space="preserve">     *Payroll                                          </v>
      </c>
      <c r="C24" s="14"/>
      <c r="D24" s="1">
        <f>SUM(OSRRefD22_1x_0)</f>
        <v>0</v>
      </c>
      <c r="E24" s="1"/>
      <c r="F24" s="5">
        <f t="shared" si="12"/>
        <v>0</v>
      </c>
      <c r="G24" s="1"/>
      <c r="H24" s="1">
        <f>SUM(OSRRefH22_1x_0)</f>
        <v>0</v>
      </c>
      <c r="I24" s="1"/>
      <c r="J24" s="5">
        <f t="shared" si="13"/>
        <v>0</v>
      </c>
      <c r="K24" s="1"/>
      <c r="L24" s="1">
        <f t="shared" si="14"/>
        <v>0</v>
      </c>
      <c r="M24" s="1"/>
      <c r="N24" s="5">
        <f t="shared" si="15"/>
        <v>0</v>
      </c>
      <c r="O24" s="14"/>
      <c r="P24" s="1">
        <f>SUM(OSRRefP22_1x_0)</f>
        <v>0</v>
      </c>
      <c r="Q24" s="1"/>
      <c r="R24" s="5">
        <f t="shared" si="16"/>
        <v>0</v>
      </c>
      <c r="S24" s="1"/>
      <c r="T24" s="1">
        <f>SUM(OSRRefT22_1x_0)</f>
        <v>4864.18</v>
      </c>
      <c r="U24" s="1"/>
      <c r="V24" s="5">
        <f t="shared" si="17"/>
        <v>0.24502376854170416</v>
      </c>
      <c r="W24" s="1"/>
      <c r="X24" s="1">
        <f t="shared" si="18"/>
        <v>-4864.18</v>
      </c>
      <c r="Y24" s="1"/>
      <c r="Z24" s="5">
        <f t="shared" si="19"/>
        <v>-1</v>
      </c>
    </row>
    <row r="25" spans="1:26" s="24" customFormat="1" hidden="1" outlineLevel="2" x14ac:dyDescent="0.25">
      <c r="A25" s="28"/>
      <c r="B25" s="11" t="str">
        <f>CONCATENATE("          ", "6005", " - ", "TEMPORARY WAGES-HOURLY")</f>
        <v xml:space="preserve">          6005 - TEMPORARY WAGES-HOURLY</v>
      </c>
      <c r="C25" s="11"/>
      <c r="D25" s="7"/>
      <c r="E25" s="2"/>
      <c r="F25" s="6">
        <f t="shared" si="12"/>
        <v>0</v>
      </c>
      <c r="G25" s="2"/>
      <c r="H25" s="7"/>
      <c r="I25" s="2"/>
      <c r="J25" s="6">
        <f t="shared" si="13"/>
        <v>0</v>
      </c>
      <c r="K25" s="2"/>
      <c r="L25" s="7">
        <f t="shared" si="14"/>
        <v>0</v>
      </c>
      <c r="M25" s="2"/>
      <c r="N25" s="6">
        <f t="shared" si="15"/>
        <v>0</v>
      </c>
      <c r="O25" s="11"/>
      <c r="P25" s="7"/>
      <c r="Q25" s="2"/>
      <c r="R25" s="6">
        <f t="shared" si="16"/>
        <v>0</v>
      </c>
      <c r="S25" s="2"/>
      <c r="T25" s="7">
        <v>1896.99</v>
      </c>
      <c r="U25" s="2"/>
      <c r="V25" s="6">
        <f t="shared" si="17"/>
        <v>9.5557244733115831E-2</v>
      </c>
      <c r="W25" s="2"/>
      <c r="X25" s="7">
        <f t="shared" si="18"/>
        <v>-1896.99</v>
      </c>
      <c r="Y25" s="2"/>
      <c r="Z25" s="6">
        <f t="shared" si="19"/>
        <v>-1</v>
      </c>
    </row>
    <row r="26" spans="1:26" s="24" customFormat="1" hidden="1" outlineLevel="2" x14ac:dyDescent="0.25">
      <c r="A26" s="28"/>
      <c r="B26" s="11" t="str">
        <f>CONCATENATE("          ", "6006", " - ", "TEMPORARY PART TIME")</f>
        <v xml:space="preserve">          6006 - TEMPORARY PART TIME</v>
      </c>
      <c r="C26" s="11"/>
      <c r="D26" s="7"/>
      <c r="E26" s="2"/>
      <c r="F26" s="6">
        <f t="shared" si="12"/>
        <v>0</v>
      </c>
      <c r="G26" s="2"/>
      <c r="H26" s="7"/>
      <c r="I26" s="2"/>
      <c r="J26" s="6">
        <f t="shared" si="13"/>
        <v>0</v>
      </c>
      <c r="K26" s="2"/>
      <c r="L26" s="7">
        <f t="shared" si="14"/>
        <v>0</v>
      </c>
      <c r="M26" s="2"/>
      <c r="N26" s="6">
        <f t="shared" si="15"/>
        <v>0</v>
      </c>
      <c r="O26" s="11"/>
      <c r="P26" s="7"/>
      <c r="Q26" s="2"/>
      <c r="R26" s="6">
        <f t="shared" si="16"/>
        <v>0</v>
      </c>
      <c r="S26" s="2"/>
      <c r="T26" s="7">
        <v>247.5</v>
      </c>
      <c r="U26" s="2"/>
      <c r="V26" s="6">
        <f t="shared" si="17"/>
        <v>1.2467339348887536E-2</v>
      </c>
      <c r="W26" s="2"/>
      <c r="X26" s="7">
        <f t="shared" si="18"/>
        <v>-247.5</v>
      </c>
      <c r="Y26" s="2"/>
      <c r="Z26" s="6">
        <f t="shared" si="19"/>
        <v>-1</v>
      </c>
    </row>
    <row r="27" spans="1:26" s="24" customFormat="1" hidden="1" outlineLevel="2" x14ac:dyDescent="0.25">
      <c r="A27" s="28"/>
      <c r="B27" s="11" t="str">
        <f>CONCATENATE("          ", "6007", " - ", "STUDENT HOURLY")</f>
        <v xml:space="preserve">          6007 - STUDENT HOURLY</v>
      </c>
      <c r="C27" s="11"/>
      <c r="D27" s="7"/>
      <c r="E27" s="2"/>
      <c r="F27" s="6">
        <f t="shared" si="12"/>
        <v>0</v>
      </c>
      <c r="G27" s="2"/>
      <c r="H27" s="7"/>
      <c r="I27" s="2"/>
      <c r="J27" s="6">
        <f t="shared" si="13"/>
        <v>0</v>
      </c>
      <c r="K27" s="2"/>
      <c r="L27" s="7">
        <f t="shared" si="14"/>
        <v>0</v>
      </c>
      <c r="M27" s="2"/>
      <c r="N27" s="6">
        <f t="shared" si="15"/>
        <v>0</v>
      </c>
      <c r="O27" s="11"/>
      <c r="P27" s="7"/>
      <c r="Q27" s="2"/>
      <c r="R27" s="6">
        <f t="shared" si="16"/>
        <v>0</v>
      </c>
      <c r="S27" s="2"/>
      <c r="T27" s="7">
        <v>2086.69</v>
      </c>
      <c r="U27" s="2"/>
      <c r="V27" s="6">
        <f t="shared" si="17"/>
        <v>0.10511301957951569</v>
      </c>
      <c r="W27" s="2"/>
      <c r="X27" s="7">
        <f t="shared" si="18"/>
        <v>-2086.69</v>
      </c>
      <c r="Y27" s="2"/>
      <c r="Z27" s="6">
        <f t="shared" si="19"/>
        <v>-1</v>
      </c>
    </row>
    <row r="28" spans="1:26" s="24" customFormat="1" hidden="1" outlineLevel="2" x14ac:dyDescent="0.25">
      <c r="A28" s="28"/>
      <c r="B28" s="11" t="str">
        <f>CONCATENATE("          ", "6008", " - ", "STUDENT HOURLY-FICA EXEMPT")</f>
        <v xml:space="preserve">          6008 - STUDENT HOURLY-FICA EXEMPT</v>
      </c>
      <c r="C28" s="11"/>
      <c r="D28" s="7"/>
      <c r="E28" s="2"/>
      <c r="F28" s="6">
        <f t="shared" si="12"/>
        <v>0</v>
      </c>
      <c r="G28" s="2"/>
      <c r="H28" s="7"/>
      <c r="I28" s="2"/>
      <c r="J28" s="6">
        <f t="shared" si="13"/>
        <v>0</v>
      </c>
      <c r="K28" s="2"/>
      <c r="L28" s="7">
        <f t="shared" si="14"/>
        <v>0</v>
      </c>
      <c r="M28" s="2"/>
      <c r="N28" s="6">
        <f t="shared" si="15"/>
        <v>0</v>
      </c>
      <c r="O28" s="11"/>
      <c r="P28" s="7"/>
      <c r="Q28" s="2"/>
      <c r="R28" s="6">
        <f t="shared" si="16"/>
        <v>0</v>
      </c>
      <c r="S28" s="2"/>
      <c r="T28" s="7">
        <v>633</v>
      </c>
      <c r="U28" s="2"/>
      <c r="V28" s="6">
        <f t="shared" si="17"/>
        <v>3.1886164880185093E-2</v>
      </c>
      <c r="W28" s="2"/>
      <c r="X28" s="7">
        <f t="shared" si="18"/>
        <v>-633</v>
      </c>
      <c r="Y28" s="2"/>
      <c r="Z28" s="6">
        <f t="shared" si="19"/>
        <v>-1</v>
      </c>
    </row>
    <row r="29" spans="1:26" s="27" customFormat="1" outlineLevel="1" collapsed="1" x14ac:dyDescent="0.25">
      <c r="A29" s="29"/>
      <c r="B29" s="14" t="str">
        <f>CONCATENATE("     ","Advertising/Promo                                 ")</f>
        <v xml:space="preserve">     Advertising/Promo                                 </v>
      </c>
      <c r="C29" s="14"/>
      <c r="D29" s="1">
        <f>SUM(OSRRefD22_2x_0)</f>
        <v>0</v>
      </c>
      <c r="E29" s="1"/>
      <c r="F29" s="5">
        <f t="shared" ref="F29:F43" si="20">IF(D$12=0,0,D29/D$12)</f>
        <v>0</v>
      </c>
      <c r="G29" s="1"/>
      <c r="H29" s="1">
        <f>SUM(OSRRefH22_2x_0)</f>
        <v>0</v>
      </c>
      <c r="I29" s="1"/>
      <c r="J29" s="5">
        <f t="shared" ref="J29:J43" si="21">IF(H$12=0,0,H29/H$12)</f>
        <v>0</v>
      </c>
      <c r="K29" s="1"/>
      <c r="L29" s="1">
        <f t="shared" ref="L29:L43" si="22">+D29-H29</f>
        <v>0</v>
      </c>
      <c r="M29" s="1"/>
      <c r="N29" s="5">
        <f t="shared" ref="N29:N43" si="23">IF(H29=0,0,L29/H29)</f>
        <v>0</v>
      </c>
      <c r="O29" s="14"/>
      <c r="P29" s="1">
        <f>SUM(OSRRefP22_2x_0)</f>
        <v>0</v>
      </c>
      <c r="Q29" s="1"/>
      <c r="R29" s="5">
        <f t="shared" ref="R29:R43" si="24">IF(P$12=0,0,P29/P$12)</f>
        <v>0</v>
      </c>
      <c r="S29" s="1"/>
      <c r="T29" s="1">
        <f>SUM(OSRRefT22_2x_0)</f>
        <v>103.95</v>
      </c>
      <c r="U29" s="1"/>
      <c r="V29" s="5">
        <f t="shared" ref="V29:V43" si="25">IF(T$12=0,0,T29/T$12)</f>
        <v>5.2362825265327654E-3</v>
      </c>
      <c r="W29" s="1"/>
      <c r="X29" s="1">
        <f t="shared" ref="X29:X43" si="26">+P29-T29</f>
        <v>-103.95</v>
      </c>
      <c r="Y29" s="1"/>
      <c r="Z29" s="5">
        <f t="shared" ref="Z29:Z43" si="27">IF(T29=0,0,X29/T29)</f>
        <v>-1</v>
      </c>
    </row>
    <row r="30" spans="1:26" s="24" customFormat="1" hidden="1" outlineLevel="2" x14ac:dyDescent="0.25">
      <c r="A30" s="28"/>
      <c r="B30" s="11" t="str">
        <f>CONCATENATE("          ", "6362", " - ", "ADVERTISING EXPENSE")</f>
        <v xml:space="preserve">          6362 - ADVERTISING EXPENSE</v>
      </c>
      <c r="C30" s="11"/>
      <c r="D30" s="7"/>
      <c r="E30" s="2"/>
      <c r="F30" s="6">
        <f t="shared" si="20"/>
        <v>0</v>
      </c>
      <c r="G30" s="2"/>
      <c r="H30" s="7"/>
      <c r="I30" s="2"/>
      <c r="J30" s="6">
        <f t="shared" si="21"/>
        <v>0</v>
      </c>
      <c r="K30" s="2"/>
      <c r="L30" s="7">
        <f t="shared" si="22"/>
        <v>0</v>
      </c>
      <c r="M30" s="2"/>
      <c r="N30" s="6">
        <f t="shared" si="23"/>
        <v>0</v>
      </c>
      <c r="O30" s="11"/>
      <c r="P30" s="7"/>
      <c r="Q30" s="2"/>
      <c r="R30" s="6">
        <f t="shared" si="24"/>
        <v>0</v>
      </c>
      <c r="S30" s="2"/>
      <c r="T30" s="7">
        <v>103.95</v>
      </c>
      <c r="U30" s="2"/>
      <c r="V30" s="6">
        <f t="shared" si="25"/>
        <v>5.2362825265327654E-3</v>
      </c>
      <c r="W30" s="2"/>
      <c r="X30" s="7">
        <f t="shared" si="26"/>
        <v>-103.95</v>
      </c>
      <c r="Y30" s="2"/>
      <c r="Z30" s="6">
        <f t="shared" si="27"/>
        <v>-1</v>
      </c>
    </row>
    <row r="31" spans="1:26" s="27" customFormat="1" outlineLevel="1" collapsed="1" x14ac:dyDescent="0.25">
      <c r="A31" s="29"/>
      <c r="B31" s="14" t="str">
        <f>CONCATENATE("     ","Bad Debts/Over/Short                              ")</f>
        <v xml:space="preserve">     Bad Debts/Over/Short                              </v>
      </c>
      <c r="C31" s="14"/>
      <c r="D31" s="1">
        <f>SUM(OSRRefD22_3x_0)</f>
        <v>0</v>
      </c>
      <c r="E31" s="1"/>
      <c r="F31" s="5">
        <f t="shared" si="20"/>
        <v>0</v>
      </c>
      <c r="G31" s="1"/>
      <c r="H31" s="1">
        <f>SUM(OSRRefH22_3x_0)</f>
        <v>0</v>
      </c>
      <c r="I31" s="1"/>
      <c r="J31" s="5">
        <f t="shared" si="21"/>
        <v>0</v>
      </c>
      <c r="K31" s="1"/>
      <c r="L31" s="1">
        <f t="shared" si="22"/>
        <v>0</v>
      </c>
      <c r="M31" s="1"/>
      <c r="N31" s="5">
        <f t="shared" si="23"/>
        <v>0</v>
      </c>
      <c r="O31" s="14"/>
      <c r="P31" s="1">
        <f>SUM(OSRRefP22_3x_0)</f>
        <v>0</v>
      </c>
      <c r="Q31" s="1"/>
      <c r="R31" s="5">
        <f t="shared" si="24"/>
        <v>0</v>
      </c>
      <c r="S31" s="1"/>
      <c r="T31" s="1">
        <f>SUM(OSRRefT22_3x_0)</f>
        <v>1.85</v>
      </c>
      <c r="U31" s="1"/>
      <c r="V31" s="5">
        <f t="shared" si="25"/>
        <v>9.3190213314916939E-5</v>
      </c>
      <c r="W31" s="1"/>
      <c r="X31" s="1">
        <f t="shared" si="26"/>
        <v>-1.85</v>
      </c>
      <c r="Y31" s="1"/>
      <c r="Z31" s="5">
        <f t="shared" si="27"/>
        <v>-1</v>
      </c>
    </row>
    <row r="32" spans="1:26" s="24" customFormat="1" hidden="1" outlineLevel="2" x14ac:dyDescent="0.25">
      <c r="A32" s="28"/>
      <c r="B32" s="11" t="str">
        <f>CONCATENATE("          ", "6272", " - ", "CASH (OVER/SHORT)")</f>
        <v xml:space="preserve">          6272 - CASH (OVER/SHORT)</v>
      </c>
      <c r="C32" s="11"/>
      <c r="D32" s="7"/>
      <c r="E32" s="2"/>
      <c r="F32" s="6">
        <f t="shared" si="20"/>
        <v>0</v>
      </c>
      <c r="G32" s="2"/>
      <c r="H32" s="7"/>
      <c r="I32" s="2"/>
      <c r="J32" s="6">
        <f t="shared" si="21"/>
        <v>0</v>
      </c>
      <c r="K32" s="2"/>
      <c r="L32" s="7">
        <f t="shared" si="22"/>
        <v>0</v>
      </c>
      <c r="M32" s="2"/>
      <c r="N32" s="6">
        <f t="shared" si="23"/>
        <v>0</v>
      </c>
      <c r="O32" s="11"/>
      <c r="P32" s="7"/>
      <c r="Q32" s="2"/>
      <c r="R32" s="6">
        <f t="shared" si="24"/>
        <v>0</v>
      </c>
      <c r="S32" s="2"/>
      <c r="T32" s="7">
        <v>1.85</v>
      </c>
      <c r="U32" s="2"/>
      <c r="V32" s="6">
        <f t="shared" si="25"/>
        <v>9.3190213314916939E-5</v>
      </c>
      <c r="W32" s="2"/>
      <c r="X32" s="7">
        <f t="shared" si="26"/>
        <v>-1.85</v>
      </c>
      <c r="Y32" s="2"/>
      <c r="Z32" s="6">
        <f t="shared" si="27"/>
        <v>-1</v>
      </c>
    </row>
    <row r="33" spans="1:26" s="27" customFormat="1" outlineLevel="1" collapsed="1" x14ac:dyDescent="0.25">
      <c r="A33" s="29"/>
      <c r="B33" s="14" t="str">
        <f>CONCATENATE("     ","Bank/card Fees                                    ")</f>
        <v xml:space="preserve">     Bank/card Fees                                    </v>
      </c>
      <c r="C33" s="14"/>
      <c r="D33" s="1">
        <f>SUM(OSRRefD22_4x_0)</f>
        <v>0</v>
      </c>
      <c r="E33" s="1"/>
      <c r="F33" s="5">
        <f t="shared" si="20"/>
        <v>0</v>
      </c>
      <c r="G33" s="1"/>
      <c r="H33" s="1">
        <f>SUM(OSRRefH22_4x_0)</f>
        <v>0</v>
      </c>
      <c r="I33" s="1"/>
      <c r="J33" s="5">
        <f t="shared" si="21"/>
        <v>0</v>
      </c>
      <c r="K33" s="1"/>
      <c r="L33" s="1">
        <f t="shared" si="22"/>
        <v>0</v>
      </c>
      <c r="M33" s="1"/>
      <c r="N33" s="5">
        <f t="shared" si="23"/>
        <v>0</v>
      </c>
      <c r="O33" s="14"/>
      <c r="P33" s="1">
        <f>SUM(OSRRefP22_4x_0)</f>
        <v>0</v>
      </c>
      <c r="Q33" s="1"/>
      <c r="R33" s="5">
        <f t="shared" si="24"/>
        <v>0</v>
      </c>
      <c r="S33" s="1"/>
      <c r="T33" s="1">
        <f>SUM(OSRRefT22_4x_0)</f>
        <v>333.47</v>
      </c>
      <c r="U33" s="1"/>
      <c r="V33" s="5">
        <f t="shared" si="25"/>
        <v>1.6797913748175866E-2</v>
      </c>
      <c r="W33" s="1"/>
      <c r="X33" s="1">
        <f t="shared" si="26"/>
        <v>-333.47</v>
      </c>
      <c r="Y33" s="1"/>
      <c r="Z33" s="5">
        <f t="shared" si="27"/>
        <v>-1</v>
      </c>
    </row>
    <row r="34" spans="1:26" s="24" customFormat="1" hidden="1" outlineLevel="2" x14ac:dyDescent="0.25">
      <c r="A34" s="28"/>
      <c r="B34" s="11" t="str">
        <f>CONCATENATE("          ", "6381", " - ", "BANK/CREDIT CARD FEES")</f>
        <v xml:space="preserve">          6381 - BANK/CREDIT CARD FEES</v>
      </c>
      <c r="C34" s="11"/>
      <c r="D34" s="7"/>
      <c r="E34" s="2"/>
      <c r="F34" s="6">
        <f t="shared" si="20"/>
        <v>0</v>
      </c>
      <c r="G34" s="2"/>
      <c r="H34" s="7"/>
      <c r="I34" s="2"/>
      <c r="J34" s="6">
        <f t="shared" si="21"/>
        <v>0</v>
      </c>
      <c r="K34" s="2"/>
      <c r="L34" s="7">
        <f t="shared" si="22"/>
        <v>0</v>
      </c>
      <c r="M34" s="2"/>
      <c r="N34" s="6">
        <f t="shared" si="23"/>
        <v>0</v>
      </c>
      <c r="O34" s="11"/>
      <c r="P34" s="7"/>
      <c r="Q34" s="2"/>
      <c r="R34" s="6">
        <f t="shared" si="24"/>
        <v>0</v>
      </c>
      <c r="S34" s="2"/>
      <c r="T34" s="7">
        <v>333.47</v>
      </c>
      <c r="U34" s="2"/>
      <c r="V34" s="6">
        <f t="shared" si="25"/>
        <v>1.6797913748175866E-2</v>
      </c>
      <c r="W34" s="2"/>
      <c r="X34" s="7">
        <f t="shared" si="26"/>
        <v>-333.47</v>
      </c>
      <c r="Y34" s="2"/>
      <c r="Z34" s="6">
        <f t="shared" si="27"/>
        <v>-1</v>
      </c>
    </row>
    <row r="35" spans="1:26" s="27" customFormat="1" outlineLevel="1" collapsed="1" x14ac:dyDescent="0.25">
      <c r="A35" s="29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SUM(OSRRefD22_5x_0)</f>
        <v>479.29</v>
      </c>
      <c r="E35" s="1"/>
      <c r="F35" s="5">
        <f t="shared" si="20"/>
        <v>0</v>
      </c>
      <c r="G35" s="1"/>
      <c r="H35" s="1">
        <f>SUM(OSRRefH22_5x_0)</f>
        <v>0</v>
      </c>
      <c r="I35" s="1"/>
      <c r="J35" s="5">
        <f t="shared" si="21"/>
        <v>0</v>
      </c>
      <c r="K35" s="1"/>
      <c r="L35" s="1">
        <f t="shared" si="22"/>
        <v>479.29</v>
      </c>
      <c r="M35" s="1"/>
      <c r="N35" s="5">
        <f t="shared" si="23"/>
        <v>0</v>
      </c>
      <c r="O35" s="14"/>
      <c r="P35" s="1">
        <f>SUM(OSRRefP22_5x_0)</f>
        <v>1437.87</v>
      </c>
      <c r="Q35" s="1"/>
      <c r="R35" s="5">
        <f t="shared" si="24"/>
        <v>0</v>
      </c>
      <c r="S35" s="1"/>
      <c r="T35" s="1">
        <f>SUM(OSRRefT22_5x_0)</f>
        <v>0</v>
      </c>
      <c r="U35" s="1"/>
      <c r="V35" s="5">
        <f t="shared" si="25"/>
        <v>0</v>
      </c>
      <c r="W35" s="1"/>
      <c r="X35" s="1">
        <f t="shared" si="26"/>
        <v>1437.87</v>
      </c>
      <c r="Y35" s="1"/>
      <c r="Z35" s="5">
        <f t="shared" si="27"/>
        <v>0</v>
      </c>
    </row>
    <row r="36" spans="1:26" s="24" customFormat="1" hidden="1" outlineLevel="2" x14ac:dyDescent="0.25">
      <c r="A36" s="28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479.29</v>
      </c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479.29</v>
      </c>
      <c r="M36" s="2"/>
      <c r="N36" s="6">
        <f t="shared" si="23"/>
        <v>0</v>
      </c>
      <c r="O36" s="11"/>
      <c r="P36" s="7">
        <v>1437.87</v>
      </c>
      <c r="Q36" s="2"/>
      <c r="R36" s="6">
        <f t="shared" si="24"/>
        <v>0</v>
      </c>
      <c r="S36" s="2"/>
      <c r="T36" s="7"/>
      <c r="U36" s="2"/>
      <c r="V36" s="6">
        <f t="shared" si="25"/>
        <v>0</v>
      </c>
      <c r="W36" s="2"/>
      <c r="X36" s="7">
        <f t="shared" si="26"/>
        <v>1437.87</v>
      </c>
      <c r="Y36" s="2"/>
      <c r="Z36" s="6">
        <f t="shared" si="27"/>
        <v>0</v>
      </c>
    </row>
    <row r="37" spans="1:26" s="27" customFormat="1" outlineLevel="1" collapsed="1" x14ac:dyDescent="0.25">
      <c r="A37" s="29"/>
      <c r="B37" s="14" t="str">
        <f>CONCATENATE("     ","Employees' Appreciation                           ")</f>
        <v xml:space="preserve">     Employees' Appreciation                           </v>
      </c>
      <c r="C37" s="14"/>
      <c r="D37" s="1">
        <f>SUM(OSRRefD22_6x_0)</f>
        <v>0</v>
      </c>
      <c r="E37" s="1"/>
      <c r="F37" s="5">
        <f t="shared" si="20"/>
        <v>0</v>
      </c>
      <c r="G37" s="1"/>
      <c r="H37" s="1">
        <f>SUM(OSRRefH22_6x_0)</f>
        <v>0</v>
      </c>
      <c r="I37" s="1"/>
      <c r="J37" s="5">
        <f t="shared" si="21"/>
        <v>0</v>
      </c>
      <c r="K37" s="1"/>
      <c r="L37" s="1">
        <f t="shared" si="22"/>
        <v>0</v>
      </c>
      <c r="M37" s="1"/>
      <c r="N37" s="5">
        <f t="shared" si="23"/>
        <v>0</v>
      </c>
      <c r="O37" s="14"/>
      <c r="P37" s="1">
        <f>SUM(OSRRefP22_6x_0)</f>
        <v>0</v>
      </c>
      <c r="Q37" s="1"/>
      <c r="R37" s="5">
        <f t="shared" si="24"/>
        <v>0</v>
      </c>
      <c r="S37" s="1"/>
      <c r="T37" s="1">
        <f>SUM(OSRRefT22_6x_0)</f>
        <v>114.64</v>
      </c>
      <c r="U37" s="1"/>
      <c r="V37" s="5">
        <f t="shared" si="25"/>
        <v>5.7747708402281503E-3</v>
      </c>
      <c r="W37" s="1"/>
      <c r="X37" s="1">
        <f t="shared" si="26"/>
        <v>-114.64</v>
      </c>
      <c r="Y37" s="1"/>
      <c r="Z37" s="5">
        <f t="shared" si="27"/>
        <v>-1</v>
      </c>
    </row>
    <row r="38" spans="1:26" s="24" customFormat="1" hidden="1" outlineLevel="2" x14ac:dyDescent="0.25">
      <c r="A38" s="28"/>
      <c r="B38" s="11" t="str">
        <f>CONCATENATE("          ", "6277", " - ", "EMPLOYEE APPRECIATION")</f>
        <v xml:space="preserve">          6277 - EMPLOYEE APPRECIATION</v>
      </c>
      <c r="C38" s="11"/>
      <c r="D38" s="7"/>
      <c r="E38" s="2"/>
      <c r="F38" s="6">
        <f t="shared" si="20"/>
        <v>0</v>
      </c>
      <c r="G38" s="2"/>
      <c r="H38" s="7"/>
      <c r="I38" s="2"/>
      <c r="J38" s="6">
        <f t="shared" si="21"/>
        <v>0</v>
      </c>
      <c r="K38" s="2"/>
      <c r="L38" s="7">
        <f t="shared" si="22"/>
        <v>0</v>
      </c>
      <c r="M38" s="2"/>
      <c r="N38" s="6">
        <f t="shared" si="23"/>
        <v>0</v>
      </c>
      <c r="O38" s="11"/>
      <c r="P38" s="7"/>
      <c r="Q38" s="2"/>
      <c r="R38" s="6">
        <f t="shared" si="24"/>
        <v>0</v>
      </c>
      <c r="S38" s="2"/>
      <c r="T38" s="7">
        <v>114.64</v>
      </c>
      <c r="U38" s="2"/>
      <c r="V38" s="6">
        <f t="shared" si="25"/>
        <v>5.7747708402281503E-3</v>
      </c>
      <c r="W38" s="2"/>
      <c r="X38" s="7">
        <f t="shared" si="26"/>
        <v>-114.64</v>
      </c>
      <c r="Y38" s="2"/>
      <c r="Z38" s="6">
        <f t="shared" si="27"/>
        <v>-1</v>
      </c>
    </row>
    <row r="39" spans="1:26" s="27" customFormat="1" outlineLevel="1" collapsed="1" x14ac:dyDescent="0.25">
      <c r="A39" s="29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SUM(OSRRefD22_7x_0)</f>
        <v>0</v>
      </c>
      <c r="E39" s="1"/>
      <c r="F39" s="5">
        <f t="shared" si="20"/>
        <v>0</v>
      </c>
      <c r="G39" s="1"/>
      <c r="H39" s="1">
        <f>SUM(OSRRefH22_7x_0)</f>
        <v>1250</v>
      </c>
      <c r="I39" s="1"/>
      <c r="J39" s="5">
        <f t="shared" si="21"/>
        <v>0</v>
      </c>
      <c r="K39" s="1"/>
      <c r="L39" s="1">
        <f t="shared" si="22"/>
        <v>-1250</v>
      </c>
      <c r="M39" s="1"/>
      <c r="N39" s="5">
        <f t="shared" si="23"/>
        <v>-1</v>
      </c>
      <c r="O39" s="14"/>
      <c r="P39" s="1">
        <f>SUM(OSRRefP22_7x_0)</f>
        <v>519.54999999999995</v>
      </c>
      <c r="Q39" s="1"/>
      <c r="R39" s="5">
        <f t="shared" si="24"/>
        <v>0</v>
      </c>
      <c r="S39" s="1"/>
      <c r="T39" s="1">
        <f>SUM(OSRRefT22_7x_0)</f>
        <v>2714.1</v>
      </c>
      <c r="U39" s="1"/>
      <c r="V39" s="5">
        <f t="shared" si="25"/>
        <v>0.1367175988962249</v>
      </c>
      <c r="W39" s="1"/>
      <c r="X39" s="1">
        <f t="shared" si="26"/>
        <v>-2194.5500000000002</v>
      </c>
      <c r="Y39" s="1"/>
      <c r="Z39" s="5">
        <f t="shared" si="27"/>
        <v>-0.80857374451936193</v>
      </c>
    </row>
    <row r="40" spans="1:26" s="24" customFormat="1" hidden="1" outlineLevel="2" x14ac:dyDescent="0.25">
      <c r="A40" s="28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20"/>
        <v>0</v>
      </c>
      <c r="G40" s="2"/>
      <c r="H40" s="7">
        <v>1250</v>
      </c>
      <c r="I40" s="2"/>
      <c r="J40" s="6">
        <f t="shared" si="21"/>
        <v>0</v>
      </c>
      <c r="K40" s="2"/>
      <c r="L40" s="7">
        <f t="shared" si="22"/>
        <v>-1250</v>
      </c>
      <c r="M40" s="2"/>
      <c r="N40" s="6">
        <f t="shared" si="23"/>
        <v>-1</v>
      </c>
      <c r="O40" s="11"/>
      <c r="P40" s="7">
        <v>519.54999999999995</v>
      </c>
      <c r="Q40" s="2"/>
      <c r="R40" s="6">
        <f t="shared" si="24"/>
        <v>0</v>
      </c>
      <c r="S40" s="2"/>
      <c r="T40" s="7">
        <v>2714.1</v>
      </c>
      <c r="U40" s="2"/>
      <c r="V40" s="6">
        <f t="shared" si="25"/>
        <v>0.1367175988962249</v>
      </c>
      <c r="W40" s="2"/>
      <c r="X40" s="7">
        <f t="shared" si="26"/>
        <v>-2194.5500000000002</v>
      </c>
      <c r="Y40" s="2"/>
      <c r="Z40" s="6">
        <f t="shared" si="27"/>
        <v>-0.80857374451936193</v>
      </c>
    </row>
    <row r="41" spans="1:26" s="27" customFormat="1" outlineLevel="1" collapsed="1" x14ac:dyDescent="0.25">
      <c r="A41" s="29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SUM(OSRRefD22_8x_0)</f>
        <v>75.73</v>
      </c>
      <c r="E41" s="1"/>
      <c r="F41" s="5">
        <f t="shared" si="20"/>
        <v>0</v>
      </c>
      <c r="G41" s="1"/>
      <c r="H41" s="1">
        <f>SUM(OSRRefH22_8x_0)</f>
        <v>296.64</v>
      </c>
      <c r="I41" s="1"/>
      <c r="J41" s="5">
        <f t="shared" si="21"/>
        <v>0</v>
      </c>
      <c r="K41" s="1"/>
      <c r="L41" s="1">
        <f t="shared" si="22"/>
        <v>-220.90999999999997</v>
      </c>
      <c r="M41" s="1"/>
      <c r="N41" s="5">
        <f t="shared" si="23"/>
        <v>-0.74470738942826309</v>
      </c>
      <c r="O41" s="14"/>
      <c r="P41" s="1">
        <f>SUM(OSRRefP22_8x_0)</f>
        <v>154.33000000000001</v>
      </c>
      <c r="Q41" s="1"/>
      <c r="R41" s="5">
        <f t="shared" si="24"/>
        <v>0</v>
      </c>
      <c r="S41" s="1"/>
      <c r="T41" s="1">
        <f>SUM(OSRRefT22_8x_0)</f>
        <v>434.72</v>
      </c>
      <c r="U41" s="1"/>
      <c r="V41" s="5">
        <f t="shared" si="25"/>
        <v>2.1898188936357133E-2</v>
      </c>
      <c r="W41" s="1"/>
      <c r="X41" s="1">
        <f t="shared" si="26"/>
        <v>-280.39</v>
      </c>
      <c r="Y41" s="1"/>
      <c r="Z41" s="5">
        <f t="shared" si="27"/>
        <v>-0.64498987854251</v>
      </c>
    </row>
    <row r="42" spans="1:26" s="24" customFormat="1" hidden="1" outlineLevel="2" x14ac:dyDescent="0.25">
      <c r="A42" s="28"/>
      <c r="B42" s="11" t="str">
        <f>CONCATENATE("          ", "6373", " - ", "MAINTENANCE CONTRACTS")</f>
        <v xml:space="preserve">          6373 - MAINTENANCE CONTRACTS</v>
      </c>
      <c r="C42" s="11"/>
      <c r="D42" s="7">
        <v>75.73</v>
      </c>
      <c r="E42" s="2"/>
      <c r="F42" s="6">
        <f t="shared" si="20"/>
        <v>0</v>
      </c>
      <c r="G42" s="2"/>
      <c r="H42" s="7">
        <v>296.64</v>
      </c>
      <c r="I42" s="2"/>
      <c r="J42" s="6">
        <f t="shared" si="21"/>
        <v>0</v>
      </c>
      <c r="K42" s="2"/>
      <c r="L42" s="7">
        <f t="shared" si="22"/>
        <v>-220.90999999999997</v>
      </c>
      <c r="M42" s="2"/>
      <c r="N42" s="6">
        <f t="shared" si="23"/>
        <v>-0.74470738942826309</v>
      </c>
      <c r="O42" s="11"/>
      <c r="P42" s="7">
        <v>154.33000000000001</v>
      </c>
      <c r="Q42" s="2"/>
      <c r="R42" s="6">
        <f t="shared" si="24"/>
        <v>0</v>
      </c>
      <c r="S42" s="2"/>
      <c r="T42" s="7">
        <v>296.64</v>
      </c>
      <c r="U42" s="2"/>
      <c r="V42" s="6">
        <f t="shared" si="25"/>
        <v>1.4942672906884842E-2</v>
      </c>
      <c r="W42" s="2"/>
      <c r="X42" s="7">
        <f t="shared" si="26"/>
        <v>-142.30999999999997</v>
      </c>
      <c r="Y42" s="2"/>
      <c r="Z42" s="6">
        <f t="shared" si="27"/>
        <v>-0.4797397518878101</v>
      </c>
    </row>
    <row r="43" spans="1:26" s="24" customFormat="1" hidden="1" outlineLevel="2" x14ac:dyDescent="0.25">
      <c r="A43" s="28"/>
      <c r="B43" s="11" t="str">
        <f>CONCATENATE("          ", "6375", " - ", "OUTSIDE REPAIRS &amp; MAINTENANCE")</f>
        <v xml:space="preserve">          6375 - OUTSIDE REPAIRS &amp; MAINTENANCE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138.08000000000001</v>
      </c>
      <c r="U43" s="2"/>
      <c r="V43" s="6">
        <f t="shared" si="25"/>
        <v>6.9555160294722876E-3</v>
      </c>
      <c r="W43" s="2"/>
      <c r="X43" s="7">
        <f t="shared" si="26"/>
        <v>-138.08000000000001</v>
      </c>
      <c r="Y43" s="2"/>
      <c r="Z43" s="6">
        <f t="shared" si="27"/>
        <v>-1</v>
      </c>
    </row>
    <row r="44" spans="1:26" s="27" customFormat="1" outlineLevel="1" collapsed="1" x14ac:dyDescent="0.25">
      <c r="A44" s="29"/>
      <c r="B44" s="14" t="str">
        <f>CONCATENATE("     ","Royalty &amp; Commissions                             ")</f>
        <v xml:space="preserve">     Royalty &amp; Commissions                             </v>
      </c>
      <c r="C44" s="14"/>
      <c r="D44" s="1">
        <f>SUM(OSRRefD22_9x_0)</f>
        <v>0</v>
      </c>
      <c r="E44" s="1"/>
      <c r="F44" s="5">
        <f t="shared" ref="F44:F48" si="28">IF(D$12=0,0,D44/D$12)</f>
        <v>0</v>
      </c>
      <c r="G44" s="1"/>
      <c r="H44" s="1">
        <f>SUM(OSRRefH22_9x_0)</f>
        <v>1454.85</v>
      </c>
      <c r="I44" s="1"/>
      <c r="J44" s="5">
        <f t="shared" ref="J44:J48" si="29">IF(H$12=0,0,H44/H$12)</f>
        <v>0</v>
      </c>
      <c r="K44" s="1"/>
      <c r="L44" s="1">
        <f t="shared" ref="L44:L48" si="30">+D44-H44</f>
        <v>-1454.85</v>
      </c>
      <c r="M44" s="1"/>
      <c r="N44" s="5">
        <f t="shared" ref="N44:N48" si="31">IF(H44=0,0,L44/H44)</f>
        <v>-1</v>
      </c>
      <c r="O44" s="14"/>
      <c r="P44" s="1">
        <f>SUM(OSRRefP22_9x_0)</f>
        <v>0</v>
      </c>
      <c r="Q44" s="1"/>
      <c r="R44" s="5">
        <f t="shared" ref="R44:R48" si="32">IF(P$12=0,0,P44/P$12)</f>
        <v>0</v>
      </c>
      <c r="S44" s="1"/>
      <c r="T44" s="1">
        <f>SUM(OSRRefT22_9x_0)</f>
        <v>5576.51</v>
      </c>
      <c r="U44" s="1"/>
      <c r="V44" s="5">
        <f t="shared" ref="V44:V48" si="33">IF(T$12=0,0,T44/T$12)</f>
        <v>0.28090603051500945</v>
      </c>
      <c r="W44" s="1"/>
      <c r="X44" s="1">
        <f t="shared" ref="X44:X48" si="34">+P44-T44</f>
        <v>-5576.51</v>
      </c>
      <c r="Y44" s="1"/>
      <c r="Z44" s="5">
        <f t="shared" ref="Z44:Z48" si="35">IF(T44=0,0,X44/T44)</f>
        <v>-1</v>
      </c>
    </row>
    <row r="45" spans="1:26" s="24" customFormat="1" hidden="1" outlineLevel="2" x14ac:dyDescent="0.25">
      <c r="A45" s="28"/>
      <c r="B45" s="11" t="str">
        <f>CONCATENATE("          ", "6254", " - ", "ROYALTY &amp; COMMISSIONS")</f>
        <v xml:space="preserve">          6254 - ROYALTY &amp; COMMISSIONS</v>
      </c>
      <c r="C45" s="11"/>
      <c r="D45" s="7"/>
      <c r="E45" s="2"/>
      <c r="F45" s="6">
        <f t="shared" si="28"/>
        <v>0</v>
      </c>
      <c r="G45" s="2"/>
      <c r="H45" s="7">
        <v>1454.85</v>
      </c>
      <c r="I45" s="2"/>
      <c r="J45" s="6">
        <f t="shared" si="29"/>
        <v>0</v>
      </c>
      <c r="K45" s="2"/>
      <c r="L45" s="7">
        <f t="shared" si="30"/>
        <v>-1454.85</v>
      </c>
      <c r="M45" s="2"/>
      <c r="N45" s="6">
        <f t="shared" si="31"/>
        <v>-1</v>
      </c>
      <c r="O45" s="11"/>
      <c r="P45" s="7"/>
      <c r="Q45" s="2"/>
      <c r="R45" s="6">
        <f t="shared" si="32"/>
        <v>0</v>
      </c>
      <c r="S45" s="2"/>
      <c r="T45" s="7">
        <v>5576.51</v>
      </c>
      <c r="U45" s="2"/>
      <c r="V45" s="6">
        <f t="shared" si="33"/>
        <v>0.28090603051500945</v>
      </c>
      <c r="W45" s="2"/>
      <c r="X45" s="7">
        <f t="shared" si="34"/>
        <v>-5576.51</v>
      </c>
      <c r="Y45" s="2"/>
      <c r="Z45" s="6">
        <f t="shared" si="35"/>
        <v>-1</v>
      </c>
    </row>
    <row r="46" spans="1:26" s="27" customFormat="1" outlineLevel="1" collapsed="1" x14ac:dyDescent="0.25">
      <c r="A46" s="29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SUM(OSRRefD22_10x_0)</f>
        <v>0</v>
      </c>
      <c r="E46" s="1"/>
      <c r="F46" s="5">
        <f t="shared" si="28"/>
        <v>0</v>
      </c>
      <c r="G46" s="1"/>
      <c r="H46" s="1">
        <f>SUM(OSRRefH22_10x_0)</f>
        <v>211.82999999999998</v>
      </c>
      <c r="I46" s="1"/>
      <c r="J46" s="5">
        <f t="shared" si="29"/>
        <v>0</v>
      </c>
      <c r="K46" s="1"/>
      <c r="L46" s="1">
        <f t="shared" si="30"/>
        <v>-211.82999999999998</v>
      </c>
      <c r="M46" s="1"/>
      <c r="N46" s="5">
        <f t="shared" si="31"/>
        <v>-1</v>
      </c>
      <c r="O46" s="14"/>
      <c r="P46" s="1">
        <f>SUM(OSRRefP22_10x_0)</f>
        <v>0</v>
      </c>
      <c r="Q46" s="1"/>
      <c r="R46" s="5">
        <f t="shared" si="32"/>
        <v>0</v>
      </c>
      <c r="S46" s="1"/>
      <c r="T46" s="1">
        <f>SUM(OSRRefT22_10x_0)</f>
        <v>533.75</v>
      </c>
      <c r="U46" s="1"/>
      <c r="V46" s="5">
        <f t="shared" si="33"/>
        <v>2.6886635868560493E-2</v>
      </c>
      <c r="W46" s="1"/>
      <c r="X46" s="1">
        <f t="shared" si="34"/>
        <v>-533.75</v>
      </c>
      <c r="Y46" s="1"/>
      <c r="Z46" s="5">
        <f t="shared" si="35"/>
        <v>-1</v>
      </c>
    </row>
    <row r="47" spans="1:26" s="24" customFormat="1" hidden="1" outlineLevel="2" x14ac:dyDescent="0.25">
      <c r="A47" s="28"/>
      <c r="B47" s="11" t="str">
        <f>CONCATENATE("          ", "6239", " - ", "KITCHEN SUPPLIES")</f>
        <v xml:space="preserve">          6239 - KITCHEN SUPPLIES</v>
      </c>
      <c r="C47" s="11"/>
      <c r="D47" s="7"/>
      <c r="E47" s="2"/>
      <c r="F47" s="6">
        <f t="shared" si="28"/>
        <v>0</v>
      </c>
      <c r="G47" s="2"/>
      <c r="H47" s="7">
        <v>106.94</v>
      </c>
      <c r="I47" s="2"/>
      <c r="J47" s="6">
        <f t="shared" si="29"/>
        <v>0</v>
      </c>
      <c r="K47" s="2"/>
      <c r="L47" s="7">
        <f t="shared" si="30"/>
        <v>-106.94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428.86</v>
      </c>
      <c r="U47" s="2"/>
      <c r="V47" s="6">
        <f t="shared" si="33"/>
        <v>2.1603002639046097E-2</v>
      </c>
      <c r="W47" s="2"/>
      <c r="X47" s="7">
        <f t="shared" si="34"/>
        <v>-428.86</v>
      </c>
      <c r="Y47" s="2"/>
      <c r="Z47" s="6">
        <f t="shared" si="35"/>
        <v>-1</v>
      </c>
    </row>
    <row r="48" spans="1:26" s="24" customFormat="1" hidden="1" outlineLevel="2" x14ac:dyDescent="0.25">
      <c r="A48" s="28"/>
      <c r="B48" s="11" t="str">
        <f>CONCATENATE("          ", "6247", " - ", "STORE SUPPLIES")</f>
        <v xml:space="preserve">          6247 - STORE SUPPLIES</v>
      </c>
      <c r="C48" s="11"/>
      <c r="D48" s="7"/>
      <c r="E48" s="2"/>
      <c r="F48" s="6">
        <f t="shared" si="28"/>
        <v>0</v>
      </c>
      <c r="G48" s="2"/>
      <c r="H48" s="7">
        <v>104.89</v>
      </c>
      <c r="I48" s="2"/>
      <c r="J48" s="6">
        <f t="shared" si="29"/>
        <v>0</v>
      </c>
      <c r="K48" s="2"/>
      <c r="L48" s="7">
        <f t="shared" si="30"/>
        <v>-104.89</v>
      </c>
      <c r="M48" s="2"/>
      <c r="N48" s="6">
        <f t="shared" si="31"/>
        <v>-1</v>
      </c>
      <c r="O48" s="11"/>
      <c r="P48" s="7"/>
      <c r="Q48" s="2"/>
      <c r="R48" s="6">
        <f t="shared" si="32"/>
        <v>0</v>
      </c>
      <c r="S48" s="2"/>
      <c r="T48" s="7">
        <v>104.89</v>
      </c>
      <c r="U48" s="2"/>
      <c r="V48" s="6">
        <f t="shared" si="33"/>
        <v>5.2836332295143991E-3</v>
      </c>
      <c r="W48" s="2"/>
      <c r="X48" s="7">
        <f t="shared" si="34"/>
        <v>-104.89</v>
      </c>
      <c r="Y48" s="2"/>
      <c r="Z48" s="6">
        <f t="shared" si="35"/>
        <v>-1</v>
      </c>
    </row>
    <row r="49" spans="1:26" s="27" customFormat="1" outlineLevel="1" collapsed="1" x14ac:dyDescent="0.25">
      <c r="A49" s="29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SUM(OSRRefD22_11x_0)</f>
        <v>0</v>
      </c>
      <c r="E49" s="1"/>
      <c r="F49" s="5">
        <f t="shared" ref="F49:F50" si="36">IF(D$12=0,0,D49/D$12)</f>
        <v>0</v>
      </c>
      <c r="G49" s="1"/>
      <c r="H49" s="1">
        <f>SUM(OSRRefH22_11x_0)</f>
        <v>512.01</v>
      </c>
      <c r="I49" s="1"/>
      <c r="J49" s="5">
        <f t="shared" ref="J49:J50" si="37">IF(H$12=0,0,H49/H$12)</f>
        <v>0</v>
      </c>
      <c r="K49" s="1"/>
      <c r="L49" s="1">
        <f t="shared" ref="L49:L50" si="38">+D49-H49</f>
        <v>-512.01</v>
      </c>
      <c r="M49" s="1"/>
      <c r="N49" s="5">
        <f t="shared" ref="N49:N50" si="39">IF(H49=0,0,L49/H49)</f>
        <v>-1</v>
      </c>
      <c r="O49" s="14"/>
      <c r="P49" s="1">
        <f>SUM(OSRRefP22_11x_0)</f>
        <v>428.01</v>
      </c>
      <c r="Q49" s="1"/>
      <c r="R49" s="5">
        <f t="shared" ref="R49:R50" si="40">IF(P$12=0,0,P49/P$12)</f>
        <v>0</v>
      </c>
      <c r="S49" s="1"/>
      <c r="T49" s="1">
        <f>SUM(OSRRefT22_11x_0)</f>
        <v>642.03</v>
      </c>
      <c r="U49" s="1"/>
      <c r="V49" s="5">
        <f t="shared" ref="V49:V50" si="41">IF(T$12=0,0,T49/T$12)</f>
        <v>3.2341033867338442E-2</v>
      </c>
      <c r="W49" s="1"/>
      <c r="X49" s="1">
        <f t="shared" ref="X49:X50" si="42">+P49-T49</f>
        <v>-214.01999999999998</v>
      </c>
      <c r="Y49" s="1"/>
      <c r="Z49" s="5">
        <f t="shared" ref="Z49:Z50" si="43">IF(T49=0,0,X49/T49)</f>
        <v>-0.33334890892948926</v>
      </c>
    </row>
    <row r="50" spans="1:26" s="24" customFormat="1" hidden="1" outlineLevel="2" x14ac:dyDescent="0.25">
      <c r="A50" s="28"/>
      <c r="B50" s="11" t="str">
        <f>CONCATENATE("          ", "6309", " - ", "TELEPHONE")</f>
        <v xml:space="preserve">          6309 - TELEPHONE</v>
      </c>
      <c r="C50" s="11"/>
      <c r="D50" s="7"/>
      <c r="E50" s="2"/>
      <c r="F50" s="6">
        <f t="shared" si="36"/>
        <v>0</v>
      </c>
      <c r="G50" s="2"/>
      <c r="H50" s="7">
        <v>512.01</v>
      </c>
      <c r="I50" s="2"/>
      <c r="J50" s="6">
        <f t="shared" si="37"/>
        <v>0</v>
      </c>
      <c r="K50" s="2"/>
      <c r="L50" s="7">
        <f t="shared" si="38"/>
        <v>-512.01</v>
      </c>
      <c r="M50" s="2"/>
      <c r="N50" s="6">
        <f t="shared" si="39"/>
        <v>-1</v>
      </c>
      <c r="O50" s="11"/>
      <c r="P50" s="7">
        <v>428.01</v>
      </c>
      <c r="Q50" s="2"/>
      <c r="R50" s="6">
        <f t="shared" si="40"/>
        <v>0</v>
      </c>
      <c r="S50" s="2"/>
      <c r="T50" s="7">
        <v>642.03</v>
      </c>
      <c r="U50" s="2"/>
      <c r="V50" s="6">
        <f t="shared" si="41"/>
        <v>3.2341033867338442E-2</v>
      </c>
      <c r="W50" s="2"/>
      <c r="X50" s="7">
        <f t="shared" si="42"/>
        <v>-214.01999999999998</v>
      </c>
      <c r="Y50" s="2"/>
      <c r="Z50" s="6">
        <f t="shared" si="43"/>
        <v>-0.33334890892948926</v>
      </c>
    </row>
    <row r="51" spans="1:26" s="60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6" t="s">
        <v>0</v>
      </c>
      <c r="C52" s="10"/>
      <c r="D52" s="4">
        <f>SUM(OSRRefD25x_0)</f>
        <v>0</v>
      </c>
      <c r="E52" s="4"/>
      <c r="F52" s="12">
        <f t="shared" ref="F52:F53" si="44">IF(D$12=0,0,D52/D$12)</f>
        <v>0</v>
      </c>
      <c r="G52" s="4"/>
      <c r="H52" s="4">
        <f>SUM(OSRRefH25x_0)</f>
        <v>2909.7</v>
      </c>
      <c r="I52" s="4"/>
      <c r="J52" s="12">
        <f t="shared" ref="J52:J53" si="45">IF(H$12=0,0,H52/H$12)</f>
        <v>0</v>
      </c>
      <c r="K52" s="4"/>
      <c r="L52" s="4">
        <f t="shared" ref="L52:L53" si="46">+D52-H52</f>
        <v>-2909.7</v>
      </c>
      <c r="M52" s="4"/>
      <c r="N52" s="12">
        <f t="shared" ref="N52:N53" si="47">IF(H52=0,0,L52/H52)</f>
        <v>-1</v>
      </c>
      <c r="O52" s="10"/>
      <c r="P52" s="4">
        <f>SUM(OSRRefP25x_0)</f>
        <v>0</v>
      </c>
      <c r="Q52" s="4"/>
      <c r="R52" s="12">
        <f t="shared" ref="R52:R53" si="48">IF(P$12=0,0,P52/P$12)</f>
        <v>0</v>
      </c>
      <c r="S52" s="4"/>
      <c r="T52" s="4">
        <f>SUM(OSRRefT25x_0)</f>
        <v>3455.9</v>
      </c>
      <c r="U52" s="4"/>
      <c r="V52" s="12">
        <f t="shared" ref="V52:V53" si="49">IF(T$12=0,0,T52/T$12)</f>
        <v>0.17408435578109269</v>
      </c>
      <c r="W52" s="4"/>
      <c r="X52" s="4">
        <f t="shared" ref="X52:X53" si="50">+P52-T52</f>
        <v>-3455.9</v>
      </c>
      <c r="Y52" s="4"/>
      <c r="Z52" s="12">
        <f t="shared" ref="Z52:Z53" si="51">IF(T52=0,0,X52/T52)</f>
        <v>-1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0</f>
        <v>0</v>
      </c>
      <c r="E53" s="2"/>
      <c r="F53" s="19">
        <f t="shared" si="44"/>
        <v>0</v>
      </c>
      <c r="G53" s="2"/>
      <c r="H53" s="2">
        <f>--2909.7</f>
        <v>2909.7</v>
      </c>
      <c r="I53" s="2"/>
      <c r="J53" s="19">
        <f t="shared" si="45"/>
        <v>0</v>
      </c>
      <c r="K53" s="2"/>
      <c r="L53" s="2">
        <f t="shared" si="46"/>
        <v>-2909.7</v>
      </c>
      <c r="M53" s="2"/>
      <c r="N53" s="19">
        <f t="shared" si="47"/>
        <v>-1</v>
      </c>
      <c r="O53" s="11"/>
      <c r="P53" s="2">
        <f>0</f>
        <v>0</v>
      </c>
      <c r="Q53" s="2"/>
      <c r="R53" s="19">
        <f t="shared" si="48"/>
        <v>0</v>
      </c>
      <c r="S53" s="2"/>
      <c r="T53" s="2">
        <f>--3455.9</f>
        <v>3455.9</v>
      </c>
      <c r="U53" s="2"/>
      <c r="V53" s="19">
        <f t="shared" si="49"/>
        <v>0.17408435578109269</v>
      </c>
      <c r="W53" s="2"/>
      <c r="X53" s="2">
        <f t="shared" si="50"/>
        <v>-3455.9</v>
      </c>
      <c r="Y53" s="2"/>
      <c r="Z53" s="19">
        <f t="shared" si="51"/>
        <v>-1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5" t="s">
        <v>3</v>
      </c>
      <c r="C55" s="25"/>
      <c r="D55" s="22">
        <f>+D19-D21+D52</f>
        <v>-555.02</v>
      </c>
      <c r="E55" s="13"/>
      <c r="F55" s="21">
        <f>IF(D$12=0,0,D55/D$12)</f>
        <v>0</v>
      </c>
      <c r="G55" s="13"/>
      <c r="H55" s="22">
        <f>+H19-H21+H52</f>
        <v>-815.63000000000011</v>
      </c>
      <c r="I55" s="13"/>
      <c r="J55" s="21">
        <f>IF(H$12=0,0,H55/H$12)</f>
        <v>0</v>
      </c>
      <c r="K55" s="15"/>
      <c r="L55" s="22">
        <f>+D55-H55</f>
        <v>260.61000000000013</v>
      </c>
      <c r="M55" s="15"/>
      <c r="N55" s="21">
        <f>IF(H55=0,0,L55/H55)</f>
        <v>-0.31951988033789841</v>
      </c>
      <c r="O55" s="26"/>
      <c r="P55" s="22">
        <f>+P19-P21+P52</f>
        <v>-2539.7600000000002</v>
      </c>
      <c r="Q55" s="13"/>
      <c r="R55" s="21">
        <f>IF(P$12=0,0,P55/P$12)</f>
        <v>0</v>
      </c>
      <c r="S55" s="13"/>
      <c r="T55" s="22">
        <f>+T19-T21+T52</f>
        <v>2854.089999999997</v>
      </c>
      <c r="U55" s="13"/>
      <c r="V55" s="21">
        <f>IF(T$12=0,0,T55/T$12)</f>
        <v>0.14376932752430865</v>
      </c>
      <c r="W55" s="15"/>
      <c r="X55" s="22">
        <f>+P55-T55</f>
        <v>-5393.8499999999967</v>
      </c>
      <c r="Y55" s="15"/>
      <c r="Z55" s="21">
        <f>IF(T55=0,0,X55/T55)</f>
        <v>-1.8898668227000559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1"/>
      <c r="B57" s="10" t="s">
        <v>13</v>
      </c>
      <c r="C57" s="10"/>
      <c r="D57" s="4"/>
      <c r="E57" s="4"/>
      <c r="F57" s="12">
        <f>IF(D$12=0,0,D57/D$12)</f>
        <v>0</v>
      </c>
      <c r="G57" s="4"/>
      <c r="H57" s="4">
        <v>-342.82</v>
      </c>
      <c r="I57" s="4"/>
      <c r="J57" s="12">
        <f>IF(H$12=0,0,H57/H$12)</f>
        <v>0</v>
      </c>
      <c r="K57" s="4"/>
      <c r="L57" s="4">
        <f>+D57-H57</f>
        <v>342.82</v>
      </c>
      <c r="M57" s="4"/>
      <c r="N57" s="12">
        <f>IF(H57=0,0,L57/H57)</f>
        <v>-1</v>
      </c>
      <c r="O57" s="10"/>
      <c r="P57" s="4"/>
      <c r="Q57" s="4"/>
      <c r="R57" s="12">
        <f>IF(P$12=0,0,P57/P$12)</f>
        <v>0</v>
      </c>
      <c r="S57" s="4"/>
      <c r="T57" s="4">
        <v>2132.35</v>
      </c>
      <c r="U57" s="4"/>
      <c r="V57" s="12">
        <f>IF(T$12=0,0,T57/T$12)</f>
        <v>0.10741305479030439</v>
      </c>
      <c r="W57" s="4"/>
      <c r="X57" s="4">
        <f>+P57-T57</f>
        <v>-2132.35</v>
      </c>
      <c r="Y57" s="4"/>
      <c r="Z57" s="12">
        <f>IF(T57=0,0,X57/T57)</f>
        <v>-1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5" t="s">
        <v>4</v>
      </c>
      <c r="C59" s="25"/>
      <c r="D59" s="33">
        <f>+D55-D57</f>
        <v>-555.02</v>
      </c>
      <c r="E59" s="13"/>
      <c r="F59" s="32">
        <f>IF(D$12=0,0,D59/D$12)</f>
        <v>0</v>
      </c>
      <c r="G59" s="13"/>
      <c r="H59" s="33">
        <f>+H55-H57</f>
        <v>-472.81000000000012</v>
      </c>
      <c r="I59" s="13"/>
      <c r="J59" s="32">
        <f>IF(H$12=0,0,H59/H$12)</f>
        <v>0</v>
      </c>
      <c r="K59" s="15"/>
      <c r="L59" s="33">
        <f>D59-H59</f>
        <v>-82.209999999999866</v>
      </c>
      <c r="M59" s="15"/>
      <c r="N59" s="32">
        <f>IF(H59=0,0,L59/H59)</f>
        <v>0.17387534104608585</v>
      </c>
      <c r="O59" s="26"/>
      <c r="P59" s="33">
        <f>+P55-P57</f>
        <v>-2539.7600000000002</v>
      </c>
      <c r="Q59" s="13"/>
      <c r="R59" s="32">
        <f>IF(P$12=0,0,P59/P$12)</f>
        <v>0</v>
      </c>
      <c r="S59" s="13"/>
      <c r="T59" s="33">
        <f>+T55-T57</f>
        <v>721.73999999999705</v>
      </c>
      <c r="U59" s="13"/>
      <c r="V59" s="32">
        <f>IF(T$12=0,0,T59/T$12)</f>
        <v>3.6356272734004255E-2</v>
      </c>
      <c r="W59" s="15"/>
      <c r="X59" s="33">
        <f>P59-T59</f>
        <v>-3261.4999999999973</v>
      </c>
      <c r="Y59" s="15"/>
      <c r="Z59" s="32">
        <f>IF(T59=0,0,X59/T59)</f>
        <v>-4.5189403386261127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5" t="s">
        <v>5</v>
      </c>
      <c r="C62" s="25"/>
      <c r="D62" s="34">
        <f>SUM(D59:D61)</f>
        <v>-555.02</v>
      </c>
      <c r="E62" s="13"/>
      <c r="F62" s="31">
        <f>IF(D$12=0,0,D62/D$12)</f>
        <v>0</v>
      </c>
      <c r="G62" s="13"/>
      <c r="H62" s="34">
        <f>SUM(H59:H61)</f>
        <v>-472.81000000000012</v>
      </c>
      <c r="I62" s="13"/>
      <c r="J62" s="31">
        <f>IF(H$12=0,0,H62/H$12)</f>
        <v>0</v>
      </c>
      <c r="K62" s="15"/>
      <c r="L62" s="34">
        <f>+D62-H62</f>
        <v>-82.209999999999866</v>
      </c>
      <c r="M62" s="15"/>
      <c r="N62" s="31">
        <f>IF(H62=0,0,L62/H62)</f>
        <v>0.17387534104608585</v>
      </c>
      <c r="O62" s="26"/>
      <c r="P62" s="34">
        <f>SUM(P59:P61)</f>
        <v>-2539.7600000000002</v>
      </c>
      <c r="Q62" s="13"/>
      <c r="R62" s="31">
        <f>IF(P$12=0,0,P62/P$12)</f>
        <v>0</v>
      </c>
      <c r="S62" s="13"/>
      <c r="T62" s="34">
        <f>SUM(T59:T61)</f>
        <v>721.73999999999705</v>
      </c>
      <c r="U62" s="13"/>
      <c r="V62" s="31">
        <f>IF(T$12=0,0,T62/T$12)</f>
        <v>3.6356272734004255E-2</v>
      </c>
      <c r="W62" s="15"/>
      <c r="X62" s="34">
        <f>+P62-T62</f>
        <v>-3261.4999999999973</v>
      </c>
      <c r="Y62" s="15"/>
      <c r="Z62" s="31">
        <f>IF(T62=0,0,X62/T62)</f>
        <v>-4.5189403386261127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2"/>
      <c r="K63" s="18"/>
      <c r="L63" s="18"/>
      <c r="M63" s="18"/>
      <c r="P63" s="18"/>
      <c r="Q63" s="18"/>
      <c r="R63" s="42"/>
      <c r="S63" s="18"/>
      <c r="T63" s="18"/>
      <c r="U63" s="18"/>
      <c r="V63" s="42"/>
      <c r="W63" s="18"/>
      <c r="X63" s="18"/>
    </row>
    <row r="64" spans="1:26" x14ac:dyDescent="0.25">
      <c r="A64" s="9"/>
      <c r="B64" s="54">
        <v>44123.565738229168</v>
      </c>
      <c r="D64" s="18"/>
      <c r="E64" s="18"/>
      <c r="G64" s="18"/>
      <c r="H64" s="18"/>
      <c r="I64" s="18"/>
      <c r="J64" s="42"/>
      <c r="K64" s="18"/>
      <c r="L64" s="18"/>
      <c r="M64" s="18"/>
      <c r="P64" s="18"/>
      <c r="Q64" s="18"/>
      <c r="R64" s="42"/>
      <c r="S64" s="18"/>
      <c r="T64" s="18"/>
      <c r="U64" s="18"/>
      <c r="V64" s="42"/>
      <c r="W64" s="18"/>
      <c r="X64" s="18"/>
    </row>
    <row r="65" spans="1:24" x14ac:dyDescent="0.25">
      <c r="A65" s="9"/>
      <c r="B65" s="59" t="s">
        <v>313</v>
      </c>
      <c r="D65" s="18"/>
      <c r="E65" s="18"/>
      <c r="G65" s="18"/>
      <c r="H65" s="18"/>
      <c r="I65" s="18"/>
      <c r="J65" s="42"/>
      <c r="K65" s="18"/>
      <c r="L65" s="18"/>
      <c r="M65" s="18"/>
      <c r="P65" s="18"/>
      <c r="Q65" s="18"/>
      <c r="R65" s="42"/>
      <c r="S65" s="18"/>
      <c r="T65" s="18"/>
      <c r="U65" s="18"/>
      <c r="V65" s="42"/>
      <c r="W65" s="18"/>
      <c r="X65" s="18"/>
    </row>
    <row r="66" spans="1:24" x14ac:dyDescent="0.25">
      <c r="A66" s="9"/>
      <c r="B66" s="58"/>
      <c r="D66" s="18"/>
      <c r="E66" s="18"/>
      <c r="G66" s="18"/>
      <c r="H66" s="18"/>
      <c r="I66" s="18"/>
      <c r="J66" s="42"/>
      <c r="K66" s="18"/>
      <c r="L66" s="18"/>
      <c r="M66" s="18"/>
      <c r="P66" s="18"/>
      <c r="Q66" s="18"/>
      <c r="R66" s="42"/>
      <c r="S66" s="18"/>
      <c r="T66" s="18"/>
      <c r="U66" s="18"/>
      <c r="V66" s="42"/>
      <c r="W66" s="18"/>
      <c r="X66" s="18"/>
    </row>
    <row r="67" spans="1:24" x14ac:dyDescent="0.25">
      <c r="D67" s="18"/>
      <c r="E67" s="18"/>
      <c r="G67" s="18"/>
      <c r="H67" s="18"/>
      <c r="I67" s="18"/>
      <c r="J67" s="42"/>
      <c r="K67" s="18"/>
      <c r="L67" s="18"/>
      <c r="M67" s="18"/>
      <c r="P67" s="18"/>
      <c r="Q67" s="18"/>
      <c r="R67" s="42"/>
      <c r="S67" s="18"/>
      <c r="T67" s="18"/>
      <c r="U67" s="18"/>
      <c r="V67" s="42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298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6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5" t="s">
        <v>6</v>
      </c>
      <c r="C18" s="25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5"/>
      <c r="L18" s="22" t="e">
        <f ca="1">+D18-H18</f>
        <v>#NAME?</v>
      </c>
      <c r="M18" s="15"/>
      <c r="N18" s="21" t="e">
        <f ca="1">IF(H18=0,0,L18/H18)</f>
        <v>#NAME?</v>
      </c>
      <c r="O18" s="26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5"/>
      <c r="X18" s="22" t="e">
        <f ca="1">+P18-T18</f>
        <v>#NAME?</v>
      </c>
      <c r="Y18" s="15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6" t="s">
        <v>9</v>
      </c>
      <c r="C20" s="10"/>
      <c r="D20" s="20" t="e">
        <f ca="1">SUM(_xll.OneStop.ReportPlayer.OSRFunctions.OSRRef(D22))</f>
        <v>#NAME?</v>
      </c>
      <c r="E20" s="20"/>
      <c r="F20" s="36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6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6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6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6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6" t="e">
        <f t="shared" ref="Z20:Z22" ca="1" si="19">IF(T20=0,0,X20/T20)</f>
        <v>#NAME?</v>
      </c>
    </row>
    <row r="21" spans="1:26" s="27" customFormat="1" outlineLevel="1" collapsed="1" x14ac:dyDescent="0.25">
      <c r="A21" s="29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8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60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6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5" t="s">
        <v>3</v>
      </c>
      <c r="C27" s="25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5"/>
      <c r="L27" s="22" t="e">
        <f ca="1">+D27-H27</f>
        <v>#NAME?</v>
      </c>
      <c r="M27" s="15"/>
      <c r="N27" s="21" t="e">
        <f ca="1">IF(H27=0,0,L27/H27)</f>
        <v>#NAME?</v>
      </c>
      <c r="O27" s="26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5"/>
      <c r="X27" s="22" t="e">
        <f ca="1">+P27-T27</f>
        <v>#NAME?</v>
      </c>
      <c r="Y27" s="15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5" t="s">
        <v>4</v>
      </c>
      <c r="C31" s="25"/>
      <c r="D31" s="33" t="e">
        <f ca="1">+D27-D29</f>
        <v>#NAME?</v>
      </c>
      <c r="E31" s="13"/>
      <c r="F31" s="32" t="e">
        <f ca="1">IF(D$12=0,0,D31/D$12)</f>
        <v>#NAME?</v>
      </c>
      <c r="G31" s="13"/>
      <c r="H31" s="33" t="e">
        <f ca="1">+H27-H29</f>
        <v>#NAME?</v>
      </c>
      <c r="I31" s="13"/>
      <c r="J31" s="32" t="e">
        <f ca="1">IF(H$12=0,0,H31/H$12)</f>
        <v>#NAME?</v>
      </c>
      <c r="K31" s="15"/>
      <c r="L31" s="33" t="e">
        <f ca="1">D31-H31</f>
        <v>#NAME?</v>
      </c>
      <c r="M31" s="15"/>
      <c r="N31" s="32" t="e">
        <f ca="1">IF(H31=0,0,L31/H31)</f>
        <v>#NAME?</v>
      </c>
      <c r="O31" s="26"/>
      <c r="P31" s="33" t="e">
        <f ca="1">+P27-P29</f>
        <v>#NAME?</v>
      </c>
      <c r="Q31" s="13"/>
      <c r="R31" s="32" t="e">
        <f ca="1">IF(P$12=0,0,P31/P$12)</f>
        <v>#NAME?</v>
      </c>
      <c r="S31" s="13"/>
      <c r="T31" s="33" t="e">
        <f ca="1">+T27-T29</f>
        <v>#NAME?</v>
      </c>
      <c r="U31" s="13"/>
      <c r="V31" s="32" t="e">
        <f ca="1">IF(T$12=0,0,T31/T$12)</f>
        <v>#NAME?</v>
      </c>
      <c r="W31" s="15"/>
      <c r="X31" s="33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5" t="s">
        <v>5</v>
      </c>
      <c r="C36" s="25"/>
      <c r="D36" s="34" t="e">
        <f ca="1">SUM(D31:D35)</f>
        <v>#NAME?</v>
      </c>
      <c r="E36" s="13"/>
      <c r="F36" s="31" t="e">
        <f ca="1">IF(D$12=0,0,D36/D$12)</f>
        <v>#NAME?</v>
      </c>
      <c r="G36" s="13"/>
      <c r="H36" s="34" t="e">
        <f ca="1">SUM(H31:H35)</f>
        <v>#NAME?</v>
      </c>
      <c r="I36" s="13"/>
      <c r="J36" s="31" t="e">
        <f ca="1">IF(H$12=0,0,H36/H$12)</f>
        <v>#NAME?</v>
      </c>
      <c r="K36" s="15"/>
      <c r="L36" s="34" t="e">
        <f ca="1">+D36-H36</f>
        <v>#NAME?</v>
      </c>
      <c r="M36" s="15"/>
      <c r="N36" s="31" t="e">
        <f ca="1">IF(H36=0,0,L36/H36)</f>
        <v>#NAME?</v>
      </c>
      <c r="O36" s="26"/>
      <c r="P36" s="34" t="e">
        <f ca="1">SUM(P31:P35)</f>
        <v>#NAME?</v>
      </c>
      <c r="Q36" s="13"/>
      <c r="R36" s="31" t="e">
        <f ca="1">IF(P$12=0,0,P36/P$12)</f>
        <v>#NAME?</v>
      </c>
      <c r="S36" s="13"/>
      <c r="T36" s="34" t="e">
        <f ca="1">SUM(T31:T35)</f>
        <v>#NAME?</v>
      </c>
      <c r="U36" s="13"/>
      <c r="V36" s="31" t="e">
        <f ca="1">IF(T$12=0,0,T36/T$12)</f>
        <v>#NAME?</v>
      </c>
      <c r="W36" s="15"/>
      <c r="X36" s="34" t="e">
        <f ca="1">+P36-T36</f>
        <v>#NAME?</v>
      </c>
      <c r="Y36" s="15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2"/>
      <c r="K37" s="18"/>
      <c r="L37" s="18"/>
      <c r="M37" s="18"/>
      <c r="P37" s="18"/>
      <c r="Q37" s="18"/>
      <c r="R37" s="42"/>
      <c r="S37" s="18"/>
      <c r="T37" s="18"/>
      <c r="U37" s="18"/>
      <c r="V37" s="42"/>
      <c r="W37" s="18"/>
      <c r="X37" s="18"/>
    </row>
    <row r="38" spans="1:26" x14ac:dyDescent="0.25">
      <c r="A38" s="9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2"/>
      <c r="K38" s="18"/>
      <c r="L38" s="18"/>
      <c r="M38" s="18"/>
      <c r="P38" s="18"/>
      <c r="Q38" s="18"/>
      <c r="R38" s="42"/>
      <c r="S38" s="18"/>
      <c r="T38" s="18"/>
      <c r="U38" s="18"/>
      <c r="V38" s="42"/>
      <c r="W38" s="18"/>
      <c r="X38" s="18"/>
    </row>
    <row r="39" spans="1:26" x14ac:dyDescent="0.25">
      <c r="A39" s="9"/>
      <c r="B39" s="59" t="e">
        <f ca="1">_xll.OneStop.ReportPlayer.OSRFunctions.OSRGet("User","UserId")</f>
        <v>#NAME?</v>
      </c>
      <c r="D39" s="18"/>
      <c r="E39" s="18"/>
      <c r="G39" s="18"/>
      <c r="H39" s="18"/>
      <c r="I39" s="18"/>
      <c r="J39" s="42"/>
      <c r="K39" s="18"/>
      <c r="L39" s="18"/>
      <c r="M39" s="18"/>
      <c r="P39" s="18"/>
      <c r="Q39" s="18"/>
      <c r="R39" s="42"/>
      <c r="S39" s="18"/>
      <c r="T39" s="18"/>
      <c r="U39" s="18"/>
      <c r="V39" s="42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2"/>
      <c r="K40" s="18"/>
      <c r="L40" s="18"/>
      <c r="M40" s="18"/>
      <c r="P40" s="18"/>
      <c r="Q40" s="18"/>
      <c r="R40" s="42"/>
      <c r="S40" s="18"/>
      <c r="T40" s="18"/>
      <c r="U40" s="18"/>
      <c r="V40" s="42"/>
      <c r="W40" s="18"/>
      <c r="X40" s="18"/>
    </row>
    <row r="41" spans="1:26" x14ac:dyDescent="0.25">
      <c r="D41" s="18"/>
      <c r="E41" s="18"/>
      <c r="G41" s="18"/>
      <c r="H41" s="18"/>
      <c r="I41" s="18"/>
      <c r="J41" s="42"/>
      <c r="K41" s="18"/>
      <c r="L41" s="18"/>
      <c r="M41" s="18"/>
      <c r="P41" s="18"/>
      <c r="Q41" s="18"/>
      <c r="R41" s="42"/>
      <c r="S41" s="18"/>
      <c r="T41" s="18"/>
      <c r="U41" s="18"/>
      <c r="V41" s="42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41299.660000000003</v>
      </c>
      <c r="I12" s="4"/>
      <c r="J12" s="12"/>
      <c r="K12" s="4"/>
      <c r="L12" s="4">
        <f t="shared" ref="L12:L14" si="0">+D12-H12</f>
        <v>-41299.660000000003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100801.36</v>
      </c>
      <c r="U12" s="4"/>
      <c r="V12" s="12"/>
      <c r="W12" s="4"/>
      <c r="X12" s="4">
        <f t="shared" ref="X12:X14" si="2">+P12-T12</f>
        <v>-100801.36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--39315.98</f>
        <v>39315.980000000003</v>
      </c>
      <c r="I13" s="2"/>
      <c r="J13" s="19"/>
      <c r="K13" s="2"/>
      <c r="L13" s="2">
        <f t="shared" si="0"/>
        <v>-39315.980000000003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--73820.81</f>
        <v>73820.81</v>
      </c>
      <c r="U13" s="2"/>
      <c r="V13" s="19"/>
      <c r="W13" s="2"/>
      <c r="X13" s="2">
        <f t="shared" si="2"/>
        <v>-73820.81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--1983.68</f>
        <v>1983.68</v>
      </c>
      <c r="I14" s="2"/>
      <c r="J14" s="19"/>
      <c r="K14" s="2"/>
      <c r="L14" s="2">
        <f t="shared" si="0"/>
        <v>-1983.68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--26980.55</f>
        <v>26980.55</v>
      </c>
      <c r="U14" s="2"/>
      <c r="V14" s="19"/>
      <c r="W14" s="2"/>
      <c r="X14" s="2">
        <f t="shared" si="2"/>
        <v>-26980.55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6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9452.8799999999992</v>
      </c>
      <c r="I16" s="4"/>
      <c r="J16" s="12">
        <f t="shared" ref="J16:J18" si="7">IF(H$12=0,0,H16/H$12)</f>
        <v>0.22888517726296048</v>
      </c>
      <c r="K16" s="4"/>
      <c r="L16" s="4">
        <f t="shared" ref="L16:L18" si="8">+D16-H16</f>
        <v>-9452.8799999999992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24083.47</v>
      </c>
      <c r="U16" s="4"/>
      <c r="V16" s="12">
        <f t="shared" ref="V16:V18" si="11">IF(T$12=0,0,T16/T$12)</f>
        <v>0.23892008996704014</v>
      </c>
      <c r="W16" s="4"/>
      <c r="X16" s="4">
        <f t="shared" ref="X16:X18" si="12">+P16-T16</f>
        <v>-24083.47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13446.88</v>
      </c>
      <c r="I17" s="2"/>
      <c r="J17" s="19">
        <f t="shared" si="7"/>
        <v>0.32559299519657059</v>
      </c>
      <c r="K17" s="2"/>
      <c r="L17" s="2">
        <f t="shared" si="8"/>
        <v>-13446.88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31885.47</v>
      </c>
      <c r="U17" s="2"/>
      <c r="V17" s="19">
        <f t="shared" si="11"/>
        <v>0.31631983933550106</v>
      </c>
      <c r="W17" s="2"/>
      <c r="X17" s="2">
        <f t="shared" si="12"/>
        <v>-31885.47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-3994</v>
      </c>
      <c r="I18" s="2"/>
      <c r="J18" s="19">
        <f t="shared" si="7"/>
        <v>-9.6707817933610093E-2</v>
      </c>
      <c r="K18" s="2"/>
      <c r="L18" s="2">
        <f t="shared" si="8"/>
        <v>3994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-7802</v>
      </c>
      <c r="U18" s="2"/>
      <c r="V18" s="19">
        <f t="shared" si="11"/>
        <v>-7.7399749368460904E-2</v>
      </c>
      <c r="W18" s="2"/>
      <c r="X18" s="2">
        <f t="shared" si="12"/>
        <v>7802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5" t="s">
        <v>6</v>
      </c>
      <c r="C20" s="25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31846.780000000006</v>
      </c>
      <c r="I20" s="13"/>
      <c r="J20" s="21">
        <f>IF(H$12=0,0,H20/H$12)</f>
        <v>0.77111482273703957</v>
      </c>
      <c r="K20" s="15"/>
      <c r="L20" s="22">
        <f>+D20-H20</f>
        <v>-31846.780000000006</v>
      </c>
      <c r="M20" s="15"/>
      <c r="N20" s="21">
        <f>IF(H20=0,0,L20/H20)</f>
        <v>-1</v>
      </c>
      <c r="O20" s="26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76717.89</v>
      </c>
      <c r="U20" s="13"/>
      <c r="V20" s="21">
        <f>IF(T$12=0,0,T20/T$12)</f>
        <v>0.76107991003295983</v>
      </c>
      <c r="W20" s="15"/>
      <c r="X20" s="22">
        <f>+P20-T20</f>
        <v>-76717.89</v>
      </c>
      <c r="Y20" s="15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6" t="s">
        <v>9</v>
      </c>
      <c r="C22" s="10"/>
      <c r="D22" s="20">
        <f>SUM(OSRRefD22x_0)</f>
        <v>1000.91</v>
      </c>
      <c r="E22" s="20"/>
      <c r="F22" s="36">
        <f t="shared" ref="F22:F31" si="14">IF(D$12=0,0,D22/D$12)</f>
        <v>0</v>
      </c>
      <c r="G22" s="20"/>
      <c r="H22" s="20">
        <f>SUM(OSRRefH22x_0)</f>
        <v>32579.97</v>
      </c>
      <c r="I22" s="20"/>
      <c r="J22" s="36">
        <f t="shared" ref="J22:J31" si="15">IF(H$12=0,0,H22/H$12)</f>
        <v>0.78886775339070581</v>
      </c>
      <c r="K22" s="4"/>
      <c r="L22" s="20">
        <f t="shared" ref="L22:L31" si="16">+D22-H22</f>
        <v>-31579.06</v>
      </c>
      <c r="M22" s="4"/>
      <c r="N22" s="36">
        <f t="shared" ref="N22:N31" si="17">IF(H22=0,0,L22/H22)</f>
        <v>-0.96927836336251993</v>
      </c>
      <c r="O22" s="10"/>
      <c r="P22" s="20">
        <f>SUM(OSRRefP22x_0)</f>
        <v>6148.89</v>
      </c>
      <c r="Q22" s="20"/>
      <c r="R22" s="36">
        <f t="shared" ref="R22:R31" si="18">IF(P$12=0,0,P22/P$12)</f>
        <v>0</v>
      </c>
      <c r="S22" s="20"/>
      <c r="T22" s="20">
        <f>SUM(OSRRefT22x_0)</f>
        <v>83866.359999999986</v>
      </c>
      <c r="U22" s="20"/>
      <c r="V22" s="36">
        <f t="shared" ref="V22:V31" si="19">IF(T$12=0,0,T22/T$12)</f>
        <v>0.83199631433544141</v>
      </c>
      <c r="W22" s="4"/>
      <c r="X22" s="20">
        <f t="shared" ref="X22:X31" si="20">+P22-T22</f>
        <v>-77717.469999999987</v>
      </c>
      <c r="Y22" s="4"/>
      <c r="Z22" s="36">
        <f t="shared" ref="Z22:Z31" si="21">IF(T22=0,0,X22/T22)</f>
        <v>-0.92668228357591764</v>
      </c>
    </row>
    <row r="23" spans="1:26" s="27" customFormat="1" outlineLevel="1" collapsed="1" x14ac:dyDescent="0.25">
      <c r="A23" s="29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2780.4000000000005</v>
      </c>
      <c r="I23" s="1"/>
      <c r="J23" s="5">
        <f t="shared" si="15"/>
        <v>6.7322588127844155E-2</v>
      </c>
      <c r="K23" s="1"/>
      <c r="L23" s="1">
        <f t="shared" si="16"/>
        <v>-2780.4000000000005</v>
      </c>
      <c r="M23" s="1"/>
      <c r="N23" s="5">
        <f t="shared" si="17"/>
        <v>-1</v>
      </c>
      <c r="O23" s="14"/>
      <c r="P23" s="1">
        <f>SUM(OSRRefP22_0x_0)</f>
        <v>1419.75</v>
      </c>
      <c r="Q23" s="1"/>
      <c r="R23" s="5">
        <f t="shared" si="18"/>
        <v>0</v>
      </c>
      <c r="S23" s="1"/>
      <c r="T23" s="1">
        <f>SUM(OSRRefT22_0x_0)</f>
        <v>8511.07</v>
      </c>
      <c r="U23" s="1"/>
      <c r="V23" s="5">
        <f t="shared" si="19"/>
        <v>8.4434079064012624E-2</v>
      </c>
      <c r="W23" s="1"/>
      <c r="X23" s="1">
        <f t="shared" si="20"/>
        <v>-7091.32</v>
      </c>
      <c r="Y23" s="1"/>
      <c r="Z23" s="5">
        <f t="shared" si="21"/>
        <v>-0.83318783654699113</v>
      </c>
    </row>
    <row r="24" spans="1:26" s="24" customFormat="1" hidden="1" outlineLevel="2" x14ac:dyDescent="0.25">
      <c r="A24" s="28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572.86</v>
      </c>
      <c r="I24" s="2"/>
      <c r="J24" s="6">
        <f t="shared" si="15"/>
        <v>1.3870816369916847E-2</v>
      </c>
      <c r="K24" s="2"/>
      <c r="L24" s="7">
        <f t="shared" si="16"/>
        <v>-572.86</v>
      </c>
      <c r="M24" s="2"/>
      <c r="N24" s="6">
        <f t="shared" si="17"/>
        <v>-1</v>
      </c>
      <c r="O24" s="11"/>
      <c r="P24" s="7">
        <v>170.79</v>
      </c>
      <c r="Q24" s="2"/>
      <c r="R24" s="6">
        <f t="shared" si="18"/>
        <v>0</v>
      </c>
      <c r="S24" s="2"/>
      <c r="T24" s="7">
        <v>1909.53</v>
      </c>
      <c r="U24" s="2"/>
      <c r="V24" s="6">
        <f t="shared" si="19"/>
        <v>1.8943494413170614E-2</v>
      </c>
      <c r="W24" s="2"/>
      <c r="X24" s="7">
        <f t="shared" si="20"/>
        <v>-1738.74</v>
      </c>
      <c r="Y24" s="2"/>
      <c r="Z24" s="6">
        <f t="shared" si="21"/>
        <v>-0.91055914282572148</v>
      </c>
    </row>
    <row r="25" spans="1:26" s="24" customFormat="1" hidden="1" outlineLevel="2" x14ac:dyDescent="0.25">
      <c r="A25" s="28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585.66999999999996</v>
      </c>
      <c r="I25" s="2"/>
      <c r="J25" s="6">
        <f t="shared" si="15"/>
        <v>1.4180988414916731E-2</v>
      </c>
      <c r="K25" s="2"/>
      <c r="L25" s="7">
        <f t="shared" si="16"/>
        <v>-585.66999999999996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1675.77</v>
      </c>
      <c r="U25" s="2"/>
      <c r="V25" s="6">
        <f t="shared" si="19"/>
        <v>1.6624478082438571E-2</v>
      </c>
      <c r="W25" s="2"/>
      <c r="X25" s="7">
        <f t="shared" si="20"/>
        <v>-1675.77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698.2</v>
      </c>
      <c r="I26" s="2"/>
      <c r="J26" s="6">
        <f t="shared" si="15"/>
        <v>1.6905708182585522E-2</v>
      </c>
      <c r="K26" s="2"/>
      <c r="L26" s="7">
        <f t="shared" si="16"/>
        <v>-698.2</v>
      </c>
      <c r="M26" s="2"/>
      <c r="N26" s="6">
        <f t="shared" si="17"/>
        <v>-1</v>
      </c>
      <c r="O26" s="11"/>
      <c r="P26" s="7">
        <v>699.3</v>
      </c>
      <c r="Q26" s="2"/>
      <c r="R26" s="6">
        <f t="shared" si="18"/>
        <v>0</v>
      </c>
      <c r="S26" s="2"/>
      <c r="T26" s="7">
        <v>2094.6</v>
      </c>
      <c r="U26" s="2"/>
      <c r="V26" s="6">
        <f t="shared" si="19"/>
        <v>2.0779481546677542E-2</v>
      </c>
      <c r="W26" s="2"/>
      <c r="X26" s="7">
        <f t="shared" si="20"/>
        <v>-1395.3</v>
      </c>
      <c r="Y26" s="2"/>
      <c r="Z26" s="6">
        <f t="shared" si="21"/>
        <v>-0.66614150673159556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39.25</v>
      </c>
      <c r="I27" s="2"/>
      <c r="J27" s="6">
        <f t="shared" si="15"/>
        <v>9.5037102000355446E-4</v>
      </c>
      <c r="K27" s="2"/>
      <c r="L27" s="7">
        <f t="shared" si="16"/>
        <v>-39.25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112.3</v>
      </c>
      <c r="U27" s="2"/>
      <c r="V27" s="6">
        <f t="shared" si="19"/>
        <v>1.1140722704534938E-3</v>
      </c>
      <c r="W27" s="2"/>
      <c r="X27" s="7">
        <f t="shared" si="20"/>
        <v>-112.3</v>
      </c>
      <c r="Y27" s="2"/>
      <c r="Z27" s="6">
        <f t="shared" si="21"/>
        <v>-1</v>
      </c>
    </row>
    <row r="28" spans="1:26" s="24" customFormat="1" hidden="1" outlineLevel="2" x14ac:dyDescent="0.25">
      <c r="A28" s="28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320.99</v>
      </c>
      <c r="I28" s="2"/>
      <c r="J28" s="6">
        <f t="shared" si="15"/>
        <v>7.7722189480494506E-3</v>
      </c>
      <c r="K28" s="2"/>
      <c r="L28" s="7">
        <f t="shared" si="16"/>
        <v>-320.99</v>
      </c>
      <c r="M28" s="2"/>
      <c r="N28" s="6">
        <f t="shared" si="17"/>
        <v>-1</v>
      </c>
      <c r="O28" s="11"/>
      <c r="P28" s="7">
        <v>355.22</v>
      </c>
      <c r="Q28" s="2"/>
      <c r="R28" s="6">
        <f t="shared" si="18"/>
        <v>0</v>
      </c>
      <c r="S28" s="2"/>
      <c r="T28" s="7">
        <v>962.97</v>
      </c>
      <c r="U28" s="2"/>
      <c r="V28" s="6">
        <f t="shared" si="19"/>
        <v>9.5531449178860289E-3</v>
      </c>
      <c r="W28" s="2"/>
      <c r="X28" s="7">
        <f t="shared" si="20"/>
        <v>-607.75</v>
      </c>
      <c r="Y28" s="2"/>
      <c r="Z28" s="6">
        <f t="shared" si="21"/>
        <v>-0.63112038796639558</v>
      </c>
    </row>
    <row r="29" spans="1:26" s="24" customFormat="1" hidden="1" outlineLevel="2" x14ac:dyDescent="0.25">
      <c r="A29" s="28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176.92</v>
      </c>
      <c r="I29" s="2"/>
      <c r="J29" s="6">
        <f t="shared" si="15"/>
        <v>4.2838125059625181E-3</v>
      </c>
      <c r="K29" s="2"/>
      <c r="L29" s="7">
        <f t="shared" si="16"/>
        <v>-176.92</v>
      </c>
      <c r="M29" s="2"/>
      <c r="N29" s="6">
        <f t="shared" si="17"/>
        <v>-1</v>
      </c>
      <c r="O29" s="11"/>
      <c r="P29" s="7">
        <v>88.46</v>
      </c>
      <c r="Q29" s="2"/>
      <c r="R29" s="6">
        <f t="shared" si="18"/>
        <v>0</v>
      </c>
      <c r="S29" s="2"/>
      <c r="T29" s="7">
        <v>557.05999999999995</v>
      </c>
      <c r="U29" s="2"/>
      <c r="V29" s="6">
        <f t="shared" si="19"/>
        <v>5.5263143275051047E-3</v>
      </c>
      <c r="W29" s="2"/>
      <c r="X29" s="7">
        <f t="shared" si="20"/>
        <v>-468.59999999999997</v>
      </c>
      <c r="Y29" s="2"/>
      <c r="Z29" s="6">
        <f t="shared" si="21"/>
        <v>-0.84120202491652607</v>
      </c>
    </row>
    <row r="30" spans="1:26" s="24" customFormat="1" hidden="1" outlineLevel="2" x14ac:dyDescent="0.25">
      <c r="A30" s="28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211.96</v>
      </c>
      <c r="I30" s="2"/>
      <c r="J30" s="6">
        <f t="shared" si="15"/>
        <v>5.1322456407631436E-3</v>
      </c>
      <c r="K30" s="2"/>
      <c r="L30" s="7">
        <f t="shared" si="16"/>
        <v>-211.96</v>
      </c>
      <c r="M30" s="2"/>
      <c r="N30" s="6">
        <f t="shared" si="17"/>
        <v>-1</v>
      </c>
      <c r="O30" s="11"/>
      <c r="P30" s="7">
        <v>105.98</v>
      </c>
      <c r="Q30" s="2"/>
      <c r="R30" s="6">
        <f t="shared" si="18"/>
        <v>0</v>
      </c>
      <c r="S30" s="2"/>
      <c r="T30" s="7">
        <v>729.72</v>
      </c>
      <c r="U30" s="2"/>
      <c r="V30" s="6">
        <f t="shared" si="19"/>
        <v>7.2391880427010117E-3</v>
      </c>
      <c r="W30" s="2"/>
      <c r="X30" s="7">
        <f t="shared" si="20"/>
        <v>-623.74</v>
      </c>
      <c r="Y30" s="2"/>
      <c r="Z30" s="6">
        <f t="shared" si="21"/>
        <v>-0.85476621169763745</v>
      </c>
    </row>
    <row r="31" spans="1:26" s="24" customFormat="1" hidden="1" outlineLevel="2" x14ac:dyDescent="0.25">
      <c r="A31" s="28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174.55</v>
      </c>
      <c r="I31" s="2"/>
      <c r="J31" s="6">
        <f t="shared" si="15"/>
        <v>4.2264270456463804E-3</v>
      </c>
      <c r="K31" s="2"/>
      <c r="L31" s="7">
        <f t="shared" si="16"/>
        <v>-174.55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469.12</v>
      </c>
      <c r="U31" s="2"/>
      <c r="V31" s="6">
        <f t="shared" si="19"/>
        <v>4.6539054631802588E-3</v>
      </c>
      <c r="W31" s="2"/>
      <c r="X31" s="7">
        <f t="shared" si="20"/>
        <v>-469.12</v>
      </c>
      <c r="Y31" s="2"/>
      <c r="Z31" s="6">
        <f t="shared" si="21"/>
        <v>-1</v>
      </c>
    </row>
    <row r="32" spans="1:26" s="27" customFormat="1" outlineLevel="1" collapsed="1" x14ac:dyDescent="0.25">
      <c r="A32" s="29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12545.15</v>
      </c>
      <c r="I32" s="1"/>
      <c r="J32" s="5">
        <f t="shared" ref="J32:J37" si="23">IF(H$12=0,0,H32/H$12)</f>
        <v>0.30375915927637176</v>
      </c>
      <c r="K32" s="1"/>
      <c r="L32" s="1">
        <f t="shared" ref="L32:L37" si="24">+D32-H32</f>
        <v>-12545.15</v>
      </c>
      <c r="M32" s="1"/>
      <c r="N32" s="5">
        <f t="shared" ref="N32:N37" si="25">IF(H32=0,0,L32/H32)</f>
        <v>-1</v>
      </c>
      <c r="O32" s="14"/>
      <c r="P32" s="1">
        <f>SUM(OSRRefP22_1x_0)</f>
        <v>1378.61</v>
      </c>
      <c r="Q32" s="1"/>
      <c r="R32" s="5">
        <f t="shared" ref="R32:R37" si="26">IF(P$12=0,0,P32/P$12)</f>
        <v>0</v>
      </c>
      <c r="S32" s="1"/>
      <c r="T32" s="1">
        <f>SUM(OSRRefT22_1x_0)</f>
        <v>32557.699999999997</v>
      </c>
      <c r="U32" s="1"/>
      <c r="V32" s="5">
        <f t="shared" ref="V32:V37" si="27">IF(T$12=0,0,T32/T$12)</f>
        <v>0.32298869777153799</v>
      </c>
      <c r="W32" s="1"/>
      <c r="X32" s="1">
        <f t="shared" ref="X32:X37" si="28">+P32-T32</f>
        <v>-31179.089999999997</v>
      </c>
      <c r="Y32" s="1"/>
      <c r="Z32" s="5">
        <f t="shared" ref="Z32:Z37" si="29">IF(T32=0,0,X32/T32)</f>
        <v>-0.9576564069329222</v>
      </c>
    </row>
    <row r="33" spans="1:26" s="24" customFormat="1" hidden="1" outlineLevel="2" x14ac:dyDescent="0.25">
      <c r="A33" s="28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3906.07</v>
      </c>
      <c r="I33" s="2"/>
      <c r="J33" s="6">
        <f t="shared" si="23"/>
        <v>9.4578744716058191E-2</v>
      </c>
      <c r="K33" s="2"/>
      <c r="L33" s="7">
        <f t="shared" si="24"/>
        <v>-3906.07</v>
      </c>
      <c r="M33" s="2"/>
      <c r="N33" s="6">
        <f t="shared" si="25"/>
        <v>-1</v>
      </c>
      <c r="O33" s="11"/>
      <c r="P33" s="7">
        <v>1378.61</v>
      </c>
      <c r="Q33" s="2"/>
      <c r="R33" s="6">
        <f t="shared" si="26"/>
        <v>0</v>
      </c>
      <c r="S33" s="2"/>
      <c r="T33" s="7">
        <v>14245.83</v>
      </c>
      <c r="U33" s="2"/>
      <c r="V33" s="6">
        <f t="shared" si="27"/>
        <v>0.14132577179514244</v>
      </c>
      <c r="W33" s="2"/>
      <c r="X33" s="7">
        <f t="shared" si="28"/>
        <v>-12867.22</v>
      </c>
      <c r="Y33" s="2"/>
      <c r="Z33" s="6">
        <f t="shared" si="29"/>
        <v>-0.90322711979575776</v>
      </c>
    </row>
    <row r="34" spans="1:26" s="24" customFormat="1" hidden="1" outlineLevel="2" x14ac:dyDescent="0.25">
      <c r="A34" s="28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2945.76</v>
      </c>
      <c r="I34" s="2"/>
      <c r="J34" s="6">
        <f t="shared" si="23"/>
        <v>7.1326495181800523E-2</v>
      </c>
      <c r="K34" s="2"/>
      <c r="L34" s="7">
        <f t="shared" si="24"/>
        <v>-2945.76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7097.23</v>
      </c>
      <c r="U34" s="2"/>
      <c r="V34" s="6">
        <f t="shared" si="27"/>
        <v>7.040807782752137E-2</v>
      </c>
      <c r="W34" s="2"/>
      <c r="X34" s="7">
        <f t="shared" si="28"/>
        <v>-7097.23</v>
      </c>
      <c r="Y34" s="2"/>
      <c r="Z34" s="6">
        <f t="shared" si="29"/>
        <v>-1</v>
      </c>
    </row>
    <row r="35" spans="1:26" s="24" customFormat="1" hidden="1" outlineLevel="2" x14ac:dyDescent="0.25">
      <c r="A35" s="28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303.38</v>
      </c>
      <c r="U35" s="2"/>
      <c r="V35" s="6">
        <f t="shared" si="27"/>
        <v>3.009681615406776E-3</v>
      </c>
      <c r="W35" s="2"/>
      <c r="X35" s="7">
        <f t="shared" si="28"/>
        <v>-303.38</v>
      </c>
      <c r="Y35" s="2"/>
      <c r="Z35" s="6">
        <f t="shared" si="29"/>
        <v>-1</v>
      </c>
    </row>
    <row r="36" spans="1:26" s="24" customFormat="1" hidden="1" outlineLevel="2" x14ac:dyDescent="0.25">
      <c r="A36" s="28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5147.32</v>
      </c>
      <c r="I36" s="2"/>
      <c r="J36" s="6">
        <f t="shared" si="23"/>
        <v>0.12463347155884574</v>
      </c>
      <c r="K36" s="2"/>
      <c r="L36" s="7">
        <f t="shared" si="24"/>
        <v>-5147.32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9570.26</v>
      </c>
      <c r="U36" s="2"/>
      <c r="V36" s="6">
        <f t="shared" si="27"/>
        <v>9.4941774595104667E-2</v>
      </c>
      <c r="W36" s="2"/>
      <c r="X36" s="7">
        <f t="shared" si="28"/>
        <v>-9570.26</v>
      </c>
      <c r="Y36" s="2"/>
      <c r="Z36" s="6">
        <f t="shared" si="29"/>
        <v>-1</v>
      </c>
    </row>
    <row r="37" spans="1:26" s="24" customFormat="1" hidden="1" outlineLevel="2" x14ac:dyDescent="0.25">
      <c r="A37" s="28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546</v>
      </c>
      <c r="I37" s="2"/>
      <c r="J37" s="6">
        <f t="shared" si="23"/>
        <v>1.322044781966728E-2</v>
      </c>
      <c r="K37" s="2"/>
      <c r="L37" s="7">
        <f t="shared" si="24"/>
        <v>-546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1341</v>
      </c>
      <c r="U37" s="2"/>
      <c r="V37" s="6">
        <f t="shared" si="27"/>
        <v>1.3303391938362736E-2</v>
      </c>
      <c r="W37" s="2"/>
      <c r="X37" s="7">
        <f t="shared" si="28"/>
        <v>-1341</v>
      </c>
      <c r="Y37" s="2"/>
      <c r="Z37" s="6">
        <f t="shared" si="29"/>
        <v>-1</v>
      </c>
    </row>
    <row r="38" spans="1:26" s="27" customFormat="1" outlineLevel="1" collapsed="1" x14ac:dyDescent="0.25">
      <c r="A38" s="29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5" si="30">IF(D$12=0,0,D38/D$12)</f>
        <v>0</v>
      </c>
      <c r="G38" s="1"/>
      <c r="H38" s="1">
        <f>SUM(OSRRefH22_2x_0)</f>
        <v>87.76</v>
      </c>
      <c r="I38" s="1"/>
      <c r="J38" s="5">
        <f t="shared" ref="J38:J55" si="31">IF(H$12=0,0,H38/H$12)</f>
        <v>2.1249569609047628E-3</v>
      </c>
      <c r="K38" s="1"/>
      <c r="L38" s="1">
        <f t="shared" ref="L38:L55" si="32">+D38-H38</f>
        <v>-87.76</v>
      </c>
      <c r="M38" s="1"/>
      <c r="N38" s="5">
        <f t="shared" ref="N38:N55" si="33">IF(H38=0,0,L38/H38)</f>
        <v>-1</v>
      </c>
      <c r="O38" s="14"/>
      <c r="P38" s="1">
        <f>SUM(OSRRefP22_2x_0)</f>
        <v>0</v>
      </c>
      <c r="Q38" s="1"/>
      <c r="R38" s="5">
        <f t="shared" ref="R38:R55" si="34">IF(P$12=0,0,P38/P$12)</f>
        <v>0</v>
      </c>
      <c r="S38" s="1"/>
      <c r="T38" s="1">
        <f>SUM(OSRRefT22_2x_0)</f>
        <v>137.33000000000001</v>
      </c>
      <c r="U38" s="1"/>
      <c r="V38" s="5">
        <f t="shared" ref="V38:V55" si="35">IF(T$12=0,0,T38/T$12)</f>
        <v>1.3623824123007865E-3</v>
      </c>
      <c r="W38" s="1"/>
      <c r="X38" s="1">
        <f t="shared" ref="X38:X55" si="36">+P38-T38</f>
        <v>-137.33000000000001</v>
      </c>
      <c r="Y38" s="1"/>
      <c r="Z38" s="5">
        <f t="shared" ref="Z38:Z55" si="37">IF(T38=0,0,X38/T38)</f>
        <v>-1</v>
      </c>
    </row>
    <row r="39" spans="1:26" s="24" customFormat="1" hidden="1" outlineLevel="2" x14ac:dyDescent="0.25">
      <c r="A39" s="28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87.76</v>
      </c>
      <c r="I39" s="2"/>
      <c r="J39" s="6">
        <f t="shared" si="31"/>
        <v>2.1249569609047628E-3</v>
      </c>
      <c r="K39" s="2"/>
      <c r="L39" s="7">
        <f t="shared" si="32"/>
        <v>-87.76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137.33000000000001</v>
      </c>
      <c r="U39" s="2"/>
      <c r="V39" s="6">
        <f t="shared" si="35"/>
        <v>1.3623824123007865E-3</v>
      </c>
      <c r="W39" s="2"/>
      <c r="X39" s="7">
        <f t="shared" si="36"/>
        <v>-137.33000000000001</v>
      </c>
      <c r="Y39" s="2"/>
      <c r="Z39" s="6">
        <f t="shared" si="37"/>
        <v>-1</v>
      </c>
    </row>
    <row r="40" spans="1:26" s="27" customFormat="1" outlineLevel="1" collapsed="1" x14ac:dyDescent="0.25">
      <c r="A40" s="29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-12.17</v>
      </c>
      <c r="I40" s="1"/>
      <c r="J40" s="5">
        <f t="shared" si="31"/>
        <v>-2.9467554938708936E-4</v>
      </c>
      <c r="K40" s="1"/>
      <c r="L40" s="1">
        <f t="shared" si="32"/>
        <v>12.17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-7.86</v>
      </c>
      <c r="U40" s="1"/>
      <c r="V40" s="5">
        <f t="shared" si="35"/>
        <v>-7.7975138430671966E-5</v>
      </c>
      <c r="W40" s="1"/>
      <c r="X40" s="1">
        <f t="shared" si="36"/>
        <v>7.86</v>
      </c>
      <c r="Y40" s="1"/>
      <c r="Z40" s="5">
        <f t="shared" si="37"/>
        <v>-1</v>
      </c>
    </row>
    <row r="41" spans="1:26" s="24" customFormat="1" hidden="1" outlineLevel="2" x14ac:dyDescent="0.25">
      <c r="A41" s="28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-12.17</v>
      </c>
      <c r="I41" s="2"/>
      <c r="J41" s="6">
        <f t="shared" si="31"/>
        <v>-2.9467554938708936E-4</v>
      </c>
      <c r="K41" s="2"/>
      <c r="L41" s="7">
        <f t="shared" si="32"/>
        <v>12.17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-7.86</v>
      </c>
      <c r="U41" s="2"/>
      <c r="V41" s="6">
        <f t="shared" si="35"/>
        <v>-7.7975138430671966E-5</v>
      </c>
      <c r="W41" s="2"/>
      <c r="X41" s="7">
        <f t="shared" si="36"/>
        <v>7.86</v>
      </c>
      <c r="Y41" s="2"/>
      <c r="Z41" s="6">
        <f t="shared" si="37"/>
        <v>-1</v>
      </c>
    </row>
    <row r="42" spans="1:26" s="27" customFormat="1" outlineLevel="1" collapsed="1" x14ac:dyDescent="0.25">
      <c r="A42" s="29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913.41</v>
      </c>
      <c r="I42" s="1"/>
      <c r="J42" s="5">
        <f t="shared" si="31"/>
        <v>2.2116646965132398E-2</v>
      </c>
      <c r="K42" s="1"/>
      <c r="L42" s="1">
        <f t="shared" si="32"/>
        <v>-913.41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2342.81</v>
      </c>
      <c r="U42" s="1"/>
      <c r="V42" s="5">
        <f t="shared" si="35"/>
        <v>2.3241849117908726E-2</v>
      </c>
      <c r="W42" s="1"/>
      <c r="X42" s="1">
        <f t="shared" si="36"/>
        <v>-2342.81</v>
      </c>
      <c r="Y42" s="1"/>
      <c r="Z42" s="5">
        <f t="shared" si="37"/>
        <v>-1</v>
      </c>
    </row>
    <row r="43" spans="1:26" s="24" customFormat="1" hidden="1" outlineLevel="2" x14ac:dyDescent="0.25">
      <c r="A43" s="28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913.41</v>
      </c>
      <c r="I43" s="2"/>
      <c r="J43" s="6">
        <f t="shared" si="31"/>
        <v>2.2116646965132398E-2</v>
      </c>
      <c r="K43" s="2"/>
      <c r="L43" s="7">
        <f t="shared" si="32"/>
        <v>-913.41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2342.81</v>
      </c>
      <c r="U43" s="2"/>
      <c r="V43" s="6">
        <f t="shared" si="35"/>
        <v>2.3241849117908726E-2</v>
      </c>
      <c r="W43" s="2"/>
      <c r="X43" s="7">
        <f t="shared" si="36"/>
        <v>-2342.81</v>
      </c>
      <c r="Y43" s="2"/>
      <c r="Z43" s="6">
        <f t="shared" si="37"/>
        <v>-1</v>
      </c>
    </row>
    <row r="44" spans="1:26" s="27" customFormat="1" outlineLevel="1" collapsed="1" x14ac:dyDescent="0.25">
      <c r="A44" s="29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1000.91</v>
      </c>
      <c r="E44" s="1"/>
      <c r="F44" s="5">
        <f t="shared" si="30"/>
        <v>0</v>
      </c>
      <c r="G44" s="1"/>
      <c r="H44" s="1">
        <f>SUM(OSRRefH22_5x_0)</f>
        <v>255.35</v>
      </c>
      <c r="I44" s="1"/>
      <c r="J44" s="5">
        <f t="shared" si="31"/>
        <v>6.1828596167619772E-3</v>
      </c>
      <c r="K44" s="1"/>
      <c r="L44" s="1">
        <f t="shared" si="32"/>
        <v>745.56</v>
      </c>
      <c r="M44" s="1"/>
      <c r="N44" s="5">
        <f t="shared" si="33"/>
        <v>2.9197571960054827</v>
      </c>
      <c r="O44" s="14"/>
      <c r="P44" s="1">
        <f>SUM(OSRRefP22_5x_0)</f>
        <v>3002.73</v>
      </c>
      <c r="Q44" s="1"/>
      <c r="R44" s="5">
        <f t="shared" si="34"/>
        <v>0</v>
      </c>
      <c r="S44" s="1"/>
      <c r="T44" s="1">
        <f>SUM(OSRRefT22_5x_0)</f>
        <v>766.05</v>
      </c>
      <c r="U44" s="1"/>
      <c r="V44" s="5">
        <f t="shared" si="35"/>
        <v>7.5995998466687345E-3</v>
      </c>
      <c r="W44" s="1"/>
      <c r="X44" s="1">
        <f t="shared" si="36"/>
        <v>2236.6800000000003</v>
      </c>
      <c r="Y44" s="1"/>
      <c r="Z44" s="5">
        <f t="shared" si="37"/>
        <v>2.9197571960054831</v>
      </c>
    </row>
    <row r="45" spans="1:26" s="24" customFormat="1" hidden="1" outlineLevel="2" x14ac:dyDescent="0.25">
      <c r="A45" s="28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1000.91</v>
      </c>
      <c r="E45" s="2"/>
      <c r="F45" s="6">
        <f t="shared" si="30"/>
        <v>0</v>
      </c>
      <c r="G45" s="2"/>
      <c r="H45" s="7">
        <v>255.35</v>
      </c>
      <c r="I45" s="2"/>
      <c r="J45" s="6">
        <f t="shared" si="31"/>
        <v>6.1828596167619772E-3</v>
      </c>
      <c r="K45" s="2"/>
      <c r="L45" s="7">
        <f t="shared" si="32"/>
        <v>745.56</v>
      </c>
      <c r="M45" s="2"/>
      <c r="N45" s="6">
        <f t="shared" si="33"/>
        <v>2.9197571960054827</v>
      </c>
      <c r="O45" s="11"/>
      <c r="P45" s="7">
        <v>3002.73</v>
      </c>
      <c r="Q45" s="2"/>
      <c r="R45" s="6">
        <f t="shared" si="34"/>
        <v>0</v>
      </c>
      <c r="S45" s="2"/>
      <c r="T45" s="7">
        <v>766.05</v>
      </c>
      <c r="U45" s="2"/>
      <c r="V45" s="6">
        <f t="shared" si="35"/>
        <v>7.5995998466687345E-3</v>
      </c>
      <c r="W45" s="2"/>
      <c r="X45" s="7">
        <f t="shared" si="36"/>
        <v>2236.6800000000003</v>
      </c>
      <c r="Y45" s="2"/>
      <c r="Z45" s="6">
        <f t="shared" si="37"/>
        <v>2.9197571960054831</v>
      </c>
    </row>
    <row r="46" spans="1:26" s="27" customFormat="1" outlineLevel="1" collapsed="1" x14ac:dyDescent="0.25">
      <c r="A46" s="29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0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4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88.6</v>
      </c>
      <c r="U46" s="1"/>
      <c r="V46" s="5">
        <f t="shared" si="35"/>
        <v>8.7895639503276536E-4</v>
      </c>
      <c r="W46" s="1"/>
      <c r="X46" s="1">
        <f t="shared" si="36"/>
        <v>-88.6</v>
      </c>
      <c r="Y46" s="1"/>
      <c r="Z46" s="5">
        <f t="shared" si="37"/>
        <v>-1</v>
      </c>
    </row>
    <row r="47" spans="1:26" s="24" customFormat="1" hidden="1" outlineLevel="2" x14ac:dyDescent="0.25">
      <c r="A47" s="28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0</v>
      </c>
      <c r="M47" s="2"/>
      <c r="N47" s="6">
        <f t="shared" si="33"/>
        <v>0</v>
      </c>
      <c r="O47" s="11"/>
      <c r="P47" s="7"/>
      <c r="Q47" s="2"/>
      <c r="R47" s="6">
        <f t="shared" si="34"/>
        <v>0</v>
      </c>
      <c r="S47" s="2"/>
      <c r="T47" s="7">
        <v>88.6</v>
      </c>
      <c r="U47" s="2"/>
      <c r="V47" s="6">
        <f t="shared" si="35"/>
        <v>8.7895639503276536E-4</v>
      </c>
      <c r="W47" s="2"/>
      <c r="X47" s="7">
        <f t="shared" si="36"/>
        <v>-88.6</v>
      </c>
      <c r="Y47" s="2"/>
      <c r="Z47" s="6">
        <f t="shared" si="37"/>
        <v>-1</v>
      </c>
    </row>
    <row r="48" spans="1:26" s="27" customFormat="1" outlineLevel="1" collapsed="1" x14ac:dyDescent="0.25">
      <c r="A48" s="29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350</v>
      </c>
      <c r="U48" s="1"/>
      <c r="V48" s="5">
        <f t="shared" si="35"/>
        <v>3.4721753754116016E-3</v>
      </c>
      <c r="W48" s="1"/>
      <c r="X48" s="1">
        <f t="shared" si="36"/>
        <v>-350</v>
      </c>
      <c r="Y48" s="1"/>
      <c r="Z48" s="5">
        <f t="shared" si="37"/>
        <v>-1</v>
      </c>
    </row>
    <row r="49" spans="1:26" s="24" customFormat="1" hidden="1" outlineLevel="2" x14ac:dyDescent="0.25">
      <c r="A49" s="28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0</v>
      </c>
      <c r="M49" s="2"/>
      <c r="N49" s="6">
        <f t="shared" si="33"/>
        <v>0</v>
      </c>
      <c r="O49" s="11"/>
      <c r="P49" s="7"/>
      <c r="Q49" s="2"/>
      <c r="R49" s="6">
        <f t="shared" si="34"/>
        <v>0</v>
      </c>
      <c r="S49" s="2"/>
      <c r="T49" s="7">
        <v>350</v>
      </c>
      <c r="U49" s="2"/>
      <c r="V49" s="6">
        <f t="shared" si="35"/>
        <v>3.4721753754116016E-3</v>
      </c>
      <c r="W49" s="2"/>
      <c r="X49" s="7">
        <f t="shared" si="36"/>
        <v>-350</v>
      </c>
      <c r="Y49" s="2"/>
      <c r="Z49" s="6">
        <f t="shared" si="37"/>
        <v>-1</v>
      </c>
    </row>
    <row r="50" spans="1:26" s="27" customFormat="1" outlineLevel="1" collapsed="1" x14ac:dyDescent="0.25">
      <c r="A50" s="29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2850</v>
      </c>
      <c r="I50" s="1"/>
      <c r="J50" s="5">
        <f t="shared" si="31"/>
        <v>6.9007832025735794E-2</v>
      </c>
      <c r="K50" s="1"/>
      <c r="L50" s="1">
        <f t="shared" si="32"/>
        <v>-2850</v>
      </c>
      <c r="M50" s="1"/>
      <c r="N50" s="5">
        <f t="shared" si="33"/>
        <v>-1</v>
      </c>
      <c r="O50" s="14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8248.49</v>
      </c>
      <c r="U50" s="1"/>
      <c r="V50" s="5">
        <f t="shared" si="35"/>
        <v>8.1829153892368112E-2</v>
      </c>
      <c r="W50" s="1"/>
      <c r="X50" s="1">
        <f t="shared" si="36"/>
        <v>-8248.49</v>
      </c>
      <c r="Y50" s="1"/>
      <c r="Z50" s="5">
        <f t="shared" si="37"/>
        <v>-1</v>
      </c>
    </row>
    <row r="51" spans="1:26" s="24" customFormat="1" hidden="1" outlineLevel="2" x14ac:dyDescent="0.25">
      <c r="A51" s="28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0"/>
        <v>0</v>
      </c>
      <c r="G51" s="2"/>
      <c r="H51" s="7">
        <v>2850</v>
      </c>
      <c r="I51" s="2"/>
      <c r="J51" s="6">
        <f t="shared" si="31"/>
        <v>6.9007832025735794E-2</v>
      </c>
      <c r="K51" s="2"/>
      <c r="L51" s="7">
        <f t="shared" si="32"/>
        <v>-2850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8248.49</v>
      </c>
      <c r="U51" s="2"/>
      <c r="V51" s="6">
        <f t="shared" si="35"/>
        <v>8.1829153892368112E-2</v>
      </c>
      <c r="W51" s="2"/>
      <c r="X51" s="7">
        <f t="shared" si="36"/>
        <v>-8248.49</v>
      </c>
      <c r="Y51" s="2"/>
      <c r="Z51" s="6">
        <f t="shared" si="37"/>
        <v>-1</v>
      </c>
    </row>
    <row r="52" spans="1:26" s="27" customFormat="1" outlineLevel="1" collapsed="1" x14ac:dyDescent="0.25">
      <c r="A52" s="29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0</v>
      </c>
      <c r="E52" s="1"/>
      <c r="F52" s="5">
        <f t="shared" si="30"/>
        <v>0</v>
      </c>
      <c r="G52" s="1"/>
      <c r="H52" s="1">
        <f>SUM(OSRRefH22_9x_0)</f>
        <v>2683.38</v>
      </c>
      <c r="I52" s="1"/>
      <c r="J52" s="5">
        <f t="shared" si="31"/>
        <v>6.4973416246041735E-2</v>
      </c>
      <c r="K52" s="1"/>
      <c r="L52" s="1">
        <f t="shared" si="32"/>
        <v>-2683.38</v>
      </c>
      <c r="M52" s="1"/>
      <c r="N52" s="5">
        <f t="shared" si="33"/>
        <v>-1</v>
      </c>
      <c r="O52" s="14"/>
      <c r="P52" s="1">
        <f>SUM(OSRRefP22_9x_0)</f>
        <v>235.8</v>
      </c>
      <c r="Q52" s="1"/>
      <c r="R52" s="5">
        <f t="shared" si="34"/>
        <v>0</v>
      </c>
      <c r="S52" s="1"/>
      <c r="T52" s="1">
        <f>SUM(OSRRefT22_9x_0)</f>
        <v>3522.33</v>
      </c>
      <c r="U52" s="1"/>
      <c r="V52" s="5">
        <f t="shared" si="35"/>
        <v>3.4943278543067273E-2</v>
      </c>
      <c r="W52" s="1"/>
      <c r="X52" s="1">
        <f t="shared" si="36"/>
        <v>-3286.5299999999997</v>
      </c>
      <c r="Y52" s="1"/>
      <c r="Z52" s="5">
        <f t="shared" si="37"/>
        <v>-0.93305567621432395</v>
      </c>
    </row>
    <row r="53" spans="1:26" s="24" customFormat="1" hidden="1" outlineLevel="2" x14ac:dyDescent="0.25">
      <c r="A53" s="28"/>
      <c r="B53" s="11" t="str">
        <f>CONCATENATE("          ", "6371", " - ", "COMPUTER SOFTWARE MAINTENANCE")</f>
        <v xml:space="preserve">          6371 - COMPUTER SOFTWARE MAINTENANCE</v>
      </c>
      <c r="C53" s="11"/>
      <c r="D53" s="7"/>
      <c r="E53" s="2"/>
      <c r="F53" s="6">
        <f t="shared" si="30"/>
        <v>0</v>
      </c>
      <c r="G53" s="2"/>
      <c r="H53" s="7">
        <v>2623.84</v>
      </c>
      <c r="I53" s="2"/>
      <c r="J53" s="6">
        <f t="shared" si="31"/>
        <v>6.3531757888563731E-2</v>
      </c>
      <c r="K53" s="2"/>
      <c r="L53" s="7">
        <f t="shared" si="32"/>
        <v>-2623.84</v>
      </c>
      <c r="M53" s="2"/>
      <c r="N53" s="6">
        <f t="shared" si="33"/>
        <v>-1</v>
      </c>
      <c r="O53" s="11"/>
      <c r="P53" s="7"/>
      <c r="Q53" s="2"/>
      <c r="R53" s="6">
        <f t="shared" si="34"/>
        <v>0</v>
      </c>
      <c r="S53" s="2"/>
      <c r="T53" s="7">
        <v>2623.84</v>
      </c>
      <c r="U53" s="2"/>
      <c r="V53" s="6">
        <f t="shared" si="35"/>
        <v>2.6029807534342791E-2</v>
      </c>
      <c r="W53" s="2"/>
      <c r="X53" s="7">
        <f t="shared" si="36"/>
        <v>-2623.84</v>
      </c>
      <c r="Y53" s="2"/>
      <c r="Z53" s="6">
        <f t="shared" si="37"/>
        <v>-1</v>
      </c>
    </row>
    <row r="54" spans="1:26" s="24" customFormat="1" hidden="1" outlineLevel="2" x14ac:dyDescent="0.25">
      <c r="A54" s="28"/>
      <c r="B54" s="11" t="str">
        <f>CONCATENATE("          ", "6373", " - ", "MAINTENANCE CONTRACTS")</f>
        <v xml:space="preserve">          6373 - MAINTENANCE CONTRACTS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>
        <v>235.8</v>
      </c>
      <c r="Q54" s="2"/>
      <c r="R54" s="6">
        <f t="shared" si="34"/>
        <v>0</v>
      </c>
      <c r="S54" s="2"/>
      <c r="T54" s="7"/>
      <c r="U54" s="2"/>
      <c r="V54" s="6">
        <f t="shared" si="35"/>
        <v>0</v>
      </c>
      <c r="W54" s="2"/>
      <c r="X54" s="7">
        <f t="shared" si="36"/>
        <v>235.8</v>
      </c>
      <c r="Y54" s="2"/>
      <c r="Z54" s="6">
        <f t="shared" si="37"/>
        <v>0</v>
      </c>
    </row>
    <row r="55" spans="1:26" s="24" customFormat="1" hidden="1" outlineLevel="2" x14ac:dyDescent="0.25">
      <c r="A55" s="28"/>
      <c r="B55" s="11" t="str">
        <f>CONCATENATE("          ", "6375", " - ", "OUTSIDE REPAIRS &amp; MAINTENANCE")</f>
        <v xml:space="preserve">          6375 - OUTSIDE REPAIRS &amp; MAINTENANCE</v>
      </c>
      <c r="C55" s="11"/>
      <c r="D55" s="7"/>
      <c r="E55" s="2"/>
      <c r="F55" s="6">
        <f t="shared" si="30"/>
        <v>0</v>
      </c>
      <c r="G55" s="2"/>
      <c r="H55" s="7">
        <v>59.54</v>
      </c>
      <c r="I55" s="2"/>
      <c r="J55" s="6">
        <f t="shared" si="31"/>
        <v>1.4416583574780033E-3</v>
      </c>
      <c r="K55" s="2"/>
      <c r="L55" s="7">
        <f t="shared" si="32"/>
        <v>-59.54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898.49</v>
      </c>
      <c r="U55" s="2"/>
      <c r="V55" s="6">
        <f t="shared" si="35"/>
        <v>8.9134710087244856E-3</v>
      </c>
      <c r="W55" s="2"/>
      <c r="X55" s="7">
        <f t="shared" si="36"/>
        <v>-898.49</v>
      </c>
      <c r="Y55" s="2"/>
      <c r="Z55" s="6">
        <f t="shared" si="37"/>
        <v>-1</v>
      </c>
    </row>
    <row r="56" spans="1:26" s="27" customFormat="1" outlineLevel="1" collapsed="1" x14ac:dyDescent="0.25">
      <c r="A56" s="29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SUM(OSRRefD22_10x_0)</f>
        <v>0</v>
      </c>
      <c r="E56" s="1"/>
      <c r="F56" s="5">
        <f t="shared" ref="F56:F60" si="38">IF(D$12=0,0,D56/D$12)</f>
        <v>0</v>
      </c>
      <c r="G56" s="1"/>
      <c r="H56" s="1">
        <f>SUM(OSRRefH22_10x_0)</f>
        <v>8359.1200000000008</v>
      </c>
      <c r="I56" s="1"/>
      <c r="J56" s="5">
        <f t="shared" ref="J56:J60" si="39">IF(H$12=0,0,H56/H$12)</f>
        <v>0.20240166626069075</v>
      </c>
      <c r="K56" s="1"/>
      <c r="L56" s="1">
        <f t="shared" ref="L56:L60" si="40">+D56-H56</f>
        <v>-8359.1200000000008</v>
      </c>
      <c r="M56" s="1"/>
      <c r="N56" s="5">
        <f t="shared" ref="N56:N60" si="41">IF(H56=0,0,L56/H56)</f>
        <v>-1</v>
      </c>
      <c r="O56" s="14"/>
      <c r="P56" s="1">
        <f>SUM(OSRRefP22_10x_0)</f>
        <v>0</v>
      </c>
      <c r="Q56" s="1"/>
      <c r="R56" s="5">
        <f t="shared" ref="R56:R60" si="42">IF(P$12=0,0,P56/P$12)</f>
        <v>0</v>
      </c>
      <c r="S56" s="1"/>
      <c r="T56" s="1">
        <f>SUM(OSRRefT22_10x_0)</f>
        <v>21736.2</v>
      </c>
      <c r="U56" s="1"/>
      <c r="V56" s="5">
        <f t="shared" ref="V56:V60" si="43">IF(T$12=0,0,T56/T$12)</f>
        <v>0.21563399541434758</v>
      </c>
      <c r="W56" s="1"/>
      <c r="X56" s="1">
        <f t="shared" ref="X56:X60" si="44">+P56-T56</f>
        <v>-21736.2</v>
      </c>
      <c r="Y56" s="1"/>
      <c r="Z56" s="5">
        <f t="shared" ref="Z56:Z60" si="45">IF(T56=0,0,X56/T56)</f>
        <v>-1</v>
      </c>
    </row>
    <row r="57" spans="1:26" s="24" customFormat="1" hidden="1" outlineLevel="2" x14ac:dyDescent="0.25">
      <c r="A57" s="28"/>
      <c r="B57" s="11" t="str">
        <f>CONCATENATE("          ", "6254", " - ", "ROYALTY &amp; COMMISSIONS")</f>
        <v xml:space="preserve">          6254 - ROYALTY &amp; COMMISSIONS</v>
      </c>
      <c r="C57" s="11"/>
      <c r="D57" s="7"/>
      <c r="E57" s="2"/>
      <c r="F57" s="6">
        <f t="shared" si="38"/>
        <v>0</v>
      </c>
      <c r="G57" s="2"/>
      <c r="H57" s="7">
        <v>8359.1200000000008</v>
      </c>
      <c r="I57" s="2"/>
      <c r="J57" s="6">
        <f t="shared" si="39"/>
        <v>0.20240166626069075</v>
      </c>
      <c r="K57" s="2"/>
      <c r="L57" s="7">
        <f t="shared" si="40"/>
        <v>-8359.1200000000008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21736.2</v>
      </c>
      <c r="U57" s="2"/>
      <c r="V57" s="6">
        <f t="shared" si="43"/>
        <v>0.21563399541434758</v>
      </c>
      <c r="W57" s="2"/>
      <c r="X57" s="7">
        <f t="shared" si="44"/>
        <v>-21736.2</v>
      </c>
      <c r="Y57" s="2"/>
      <c r="Z57" s="6">
        <f t="shared" si="45"/>
        <v>-1</v>
      </c>
    </row>
    <row r="58" spans="1:26" s="27" customFormat="1" outlineLevel="1" collapsed="1" x14ac:dyDescent="0.25">
      <c r="A58" s="29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SUM(OSRRefD22_11x_0)</f>
        <v>0</v>
      </c>
      <c r="E58" s="1"/>
      <c r="F58" s="5">
        <f t="shared" si="38"/>
        <v>0</v>
      </c>
      <c r="G58" s="1"/>
      <c r="H58" s="1">
        <f>SUM(OSRRefH22_11x_0)</f>
        <v>225.81</v>
      </c>
      <c r="I58" s="1"/>
      <c r="J58" s="5">
        <f t="shared" si="39"/>
        <v>5.4675994911338247E-3</v>
      </c>
      <c r="K58" s="1"/>
      <c r="L58" s="1">
        <f t="shared" si="40"/>
        <v>-225.81</v>
      </c>
      <c r="M58" s="1"/>
      <c r="N58" s="5">
        <f t="shared" si="41"/>
        <v>-1</v>
      </c>
      <c r="O58" s="14"/>
      <c r="P58" s="1">
        <f>SUM(OSRRefP22_11x_0)</f>
        <v>0</v>
      </c>
      <c r="Q58" s="1"/>
      <c r="R58" s="5">
        <f t="shared" si="42"/>
        <v>0</v>
      </c>
      <c r="S58" s="1"/>
      <c r="T58" s="1">
        <f>SUM(OSRRefT22_11x_0)</f>
        <v>734.29</v>
      </c>
      <c r="U58" s="1"/>
      <c r="V58" s="5">
        <f t="shared" si="43"/>
        <v>7.284524732602814E-3</v>
      </c>
      <c r="W58" s="1"/>
      <c r="X58" s="1">
        <f t="shared" si="44"/>
        <v>-734.29</v>
      </c>
      <c r="Y58" s="1"/>
      <c r="Z58" s="5">
        <f t="shared" si="45"/>
        <v>-1</v>
      </c>
    </row>
    <row r="59" spans="1:26" s="24" customFormat="1" hidden="1" outlineLevel="2" x14ac:dyDescent="0.25">
      <c r="A59" s="28"/>
      <c r="B59" s="11" t="str">
        <f>CONCATENATE("          ", "6282", " - ", "JANITORIAL/EXTERMINATOR EXPENS")</f>
        <v xml:space="preserve">          6282 - JANITORIAL/EXTERMINATOR EXPENS</v>
      </c>
      <c r="C59" s="11"/>
      <c r="D59" s="7"/>
      <c r="E59" s="2"/>
      <c r="F59" s="6">
        <f t="shared" si="38"/>
        <v>0</v>
      </c>
      <c r="G59" s="2"/>
      <c r="H59" s="7">
        <v>225.81</v>
      </c>
      <c r="I59" s="2"/>
      <c r="J59" s="6">
        <f t="shared" si="39"/>
        <v>5.4675994911338247E-3</v>
      </c>
      <c r="K59" s="2"/>
      <c r="L59" s="7">
        <f t="shared" si="40"/>
        <v>-225.81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677.43</v>
      </c>
      <c r="U59" s="2"/>
      <c r="V59" s="6">
        <f t="shared" si="43"/>
        <v>6.7204450416145176E-3</v>
      </c>
      <c r="W59" s="2"/>
      <c r="X59" s="7">
        <f t="shared" si="44"/>
        <v>-677.43</v>
      </c>
      <c r="Y59" s="2"/>
      <c r="Z59" s="6">
        <f t="shared" si="45"/>
        <v>-1</v>
      </c>
    </row>
    <row r="60" spans="1:26" s="24" customFormat="1" hidden="1" outlineLevel="2" x14ac:dyDescent="0.25">
      <c r="A60" s="28"/>
      <c r="B60" s="11" t="str">
        <f>CONCATENATE("          ", "6286", " - ", "LAUNDRY EXPENSE")</f>
        <v xml:space="preserve">          6286 - LAUNDRY EXPENSE</v>
      </c>
      <c r="C60" s="11"/>
      <c r="D60" s="7"/>
      <c r="E60" s="2"/>
      <c r="F60" s="6">
        <f t="shared" si="38"/>
        <v>0</v>
      </c>
      <c r="G60" s="2"/>
      <c r="H60" s="7"/>
      <c r="I60" s="2"/>
      <c r="J60" s="6">
        <f t="shared" si="39"/>
        <v>0</v>
      </c>
      <c r="K60" s="2"/>
      <c r="L60" s="7">
        <f t="shared" si="40"/>
        <v>0</v>
      </c>
      <c r="M60" s="2"/>
      <c r="N60" s="6">
        <f t="shared" si="41"/>
        <v>0</v>
      </c>
      <c r="O60" s="11"/>
      <c r="P60" s="7"/>
      <c r="Q60" s="2"/>
      <c r="R60" s="6">
        <f t="shared" si="42"/>
        <v>0</v>
      </c>
      <c r="S60" s="2"/>
      <c r="T60" s="7">
        <v>56.86</v>
      </c>
      <c r="U60" s="2"/>
      <c r="V60" s="6">
        <f t="shared" si="43"/>
        <v>5.6407969098829619E-4</v>
      </c>
      <c r="W60" s="2"/>
      <c r="X60" s="7">
        <f t="shared" si="44"/>
        <v>-56.86</v>
      </c>
      <c r="Y60" s="2"/>
      <c r="Z60" s="6">
        <f t="shared" si="45"/>
        <v>-1</v>
      </c>
    </row>
    <row r="61" spans="1:26" s="27" customFormat="1" outlineLevel="1" collapsed="1" x14ac:dyDescent="0.25">
      <c r="A61" s="29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SUM(OSRRefD22_12x_0)</f>
        <v>0</v>
      </c>
      <c r="E61" s="1"/>
      <c r="F61" s="5">
        <f t="shared" ref="F61:F66" si="46">IF(D$12=0,0,D61/D$12)</f>
        <v>0</v>
      </c>
      <c r="G61" s="1"/>
      <c r="H61" s="1">
        <f>SUM(OSRRefH22_12x_0)</f>
        <v>1791.76</v>
      </c>
      <c r="I61" s="1"/>
      <c r="J61" s="5">
        <f t="shared" ref="J61:J66" si="47">IF(H$12=0,0,H61/H$12)</f>
        <v>4.3384376529976273E-2</v>
      </c>
      <c r="K61" s="1"/>
      <c r="L61" s="1">
        <f t="shared" ref="L61:L66" si="48">+D61-H61</f>
        <v>-1791.76</v>
      </c>
      <c r="M61" s="1"/>
      <c r="N61" s="5">
        <f t="shared" ref="N61:N66" si="49">IF(H61=0,0,L61/H61)</f>
        <v>-1</v>
      </c>
      <c r="O61" s="14"/>
      <c r="P61" s="1">
        <f>SUM(OSRRefP22_12x_0)</f>
        <v>0</v>
      </c>
      <c r="Q61" s="1"/>
      <c r="R61" s="5">
        <f t="shared" ref="R61:R66" si="50">IF(P$12=0,0,P61/P$12)</f>
        <v>0</v>
      </c>
      <c r="S61" s="1"/>
      <c r="T61" s="1">
        <f>SUM(OSRRefT22_12x_0)</f>
        <v>4093.4900000000002</v>
      </c>
      <c r="U61" s="1"/>
      <c r="V61" s="5">
        <f t="shared" ref="V61:V66" si="51">IF(T$12=0,0,T61/T$12)</f>
        <v>4.0609471935696105E-2</v>
      </c>
      <c r="W61" s="1"/>
      <c r="X61" s="1">
        <f t="shared" ref="X61:X66" si="52">+P61-T61</f>
        <v>-4093.4900000000002</v>
      </c>
      <c r="Y61" s="1"/>
      <c r="Z61" s="5">
        <f t="shared" ref="Z61:Z66" si="53">IF(T61=0,0,X61/T61)</f>
        <v>-1</v>
      </c>
    </row>
    <row r="62" spans="1:26" s="24" customFormat="1" hidden="1" outlineLevel="2" x14ac:dyDescent="0.25">
      <c r="A62" s="28"/>
      <c r="B62" s="11" t="str">
        <f>CONCATENATE("          ", "6237", " - ", "JANITORIAL SUPPLIES")</f>
        <v xml:space="preserve">          6237 - JANITORIAL SUPPLIES</v>
      </c>
      <c r="C62" s="11"/>
      <c r="D62" s="7"/>
      <c r="E62" s="2"/>
      <c r="F62" s="6">
        <f t="shared" si="46"/>
        <v>0</v>
      </c>
      <c r="G62" s="2"/>
      <c r="H62" s="7">
        <v>240.56</v>
      </c>
      <c r="I62" s="2"/>
      <c r="J62" s="6">
        <f t="shared" si="47"/>
        <v>5.8247452884600016E-3</v>
      </c>
      <c r="K62" s="2"/>
      <c r="L62" s="7">
        <f t="shared" si="48"/>
        <v>-240.56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240.56</v>
      </c>
      <c r="U62" s="2"/>
      <c r="V62" s="6">
        <f t="shared" si="51"/>
        <v>2.3864757380257567E-3</v>
      </c>
      <c r="W62" s="2"/>
      <c r="X62" s="7">
        <f t="shared" si="52"/>
        <v>-240.56</v>
      </c>
      <c r="Y62" s="2"/>
      <c r="Z62" s="6">
        <f t="shared" si="53"/>
        <v>-1</v>
      </c>
    </row>
    <row r="63" spans="1:26" s="24" customFormat="1" hidden="1" outlineLevel="2" x14ac:dyDescent="0.25">
      <c r="A63" s="28"/>
      <c r="B63" s="11" t="str">
        <f>CONCATENATE("          ", "6239", " - ", "KITCHEN SUPPLIES")</f>
        <v xml:space="preserve">          6239 - KITCHEN SUPPLIES</v>
      </c>
      <c r="C63" s="11"/>
      <c r="D63" s="7"/>
      <c r="E63" s="2"/>
      <c r="F63" s="6">
        <f t="shared" si="46"/>
        <v>0</v>
      </c>
      <c r="G63" s="2"/>
      <c r="H63" s="7">
        <v>106.92</v>
      </c>
      <c r="I63" s="2"/>
      <c r="J63" s="6">
        <f t="shared" si="47"/>
        <v>2.5888832983128672E-3</v>
      </c>
      <c r="K63" s="2"/>
      <c r="L63" s="7">
        <f t="shared" si="48"/>
        <v>-106.92</v>
      </c>
      <c r="M63" s="2"/>
      <c r="N63" s="6">
        <f t="shared" si="49"/>
        <v>-1</v>
      </c>
      <c r="O63" s="11"/>
      <c r="P63" s="7"/>
      <c r="Q63" s="2"/>
      <c r="R63" s="6">
        <f t="shared" si="50"/>
        <v>0</v>
      </c>
      <c r="S63" s="2"/>
      <c r="T63" s="7">
        <v>1746.55</v>
      </c>
      <c r="U63" s="2"/>
      <c r="V63" s="6">
        <f t="shared" si="51"/>
        <v>1.7326651148357523E-2</v>
      </c>
      <c r="W63" s="2"/>
      <c r="X63" s="7">
        <f t="shared" si="52"/>
        <v>-1746.55</v>
      </c>
      <c r="Y63" s="2"/>
      <c r="Z63" s="6">
        <f t="shared" si="53"/>
        <v>-1</v>
      </c>
    </row>
    <row r="64" spans="1:26" s="24" customFormat="1" hidden="1" outlineLevel="2" x14ac:dyDescent="0.25">
      <c r="A64" s="28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46"/>
        <v>0</v>
      </c>
      <c r="G64" s="2"/>
      <c r="H64" s="7">
        <v>146.69</v>
      </c>
      <c r="I64" s="2"/>
      <c r="J64" s="6">
        <f t="shared" si="47"/>
        <v>3.5518452210018189E-3</v>
      </c>
      <c r="K64" s="2"/>
      <c r="L64" s="7">
        <f t="shared" si="48"/>
        <v>-146.69</v>
      </c>
      <c r="M64" s="2"/>
      <c r="N64" s="6">
        <f t="shared" si="49"/>
        <v>-1</v>
      </c>
      <c r="O64" s="11"/>
      <c r="P64" s="7"/>
      <c r="Q64" s="2"/>
      <c r="R64" s="6">
        <f t="shared" si="50"/>
        <v>0</v>
      </c>
      <c r="S64" s="2"/>
      <c r="T64" s="7">
        <v>508.79</v>
      </c>
      <c r="U64" s="2"/>
      <c r="V64" s="6">
        <f t="shared" si="51"/>
        <v>5.0474517407304827E-3</v>
      </c>
      <c r="W64" s="2"/>
      <c r="X64" s="7">
        <f t="shared" si="52"/>
        <v>-508.79</v>
      </c>
      <c r="Y64" s="2"/>
      <c r="Z64" s="6">
        <f t="shared" si="53"/>
        <v>-1</v>
      </c>
    </row>
    <row r="65" spans="1:26" s="24" customFormat="1" hidden="1" outlineLevel="2" x14ac:dyDescent="0.25">
      <c r="A65" s="28"/>
      <c r="B65" s="11" t="str">
        <f>CONCATENATE("          ", "6243", " - ", "PAPER SUPPLIES")</f>
        <v xml:space="preserve">          6243 - PAPER SUPPLIES</v>
      </c>
      <c r="C65" s="11"/>
      <c r="D65" s="7"/>
      <c r="E65" s="2"/>
      <c r="F65" s="6">
        <f t="shared" si="46"/>
        <v>0</v>
      </c>
      <c r="G65" s="2"/>
      <c r="H65" s="7">
        <v>843.15</v>
      </c>
      <c r="I65" s="2"/>
      <c r="J65" s="6">
        <f t="shared" si="47"/>
        <v>2.041542230614005E-2</v>
      </c>
      <c r="K65" s="2"/>
      <c r="L65" s="7">
        <f t="shared" si="48"/>
        <v>-843.15</v>
      </c>
      <c r="M65" s="2"/>
      <c r="N65" s="6">
        <f t="shared" si="49"/>
        <v>-1</v>
      </c>
      <c r="O65" s="11"/>
      <c r="P65" s="7"/>
      <c r="Q65" s="2"/>
      <c r="R65" s="6">
        <f t="shared" si="50"/>
        <v>0</v>
      </c>
      <c r="S65" s="2"/>
      <c r="T65" s="7">
        <v>1143.1500000000001</v>
      </c>
      <c r="U65" s="2"/>
      <c r="V65" s="6">
        <f t="shared" si="51"/>
        <v>1.1340620801147921E-2</v>
      </c>
      <c r="W65" s="2"/>
      <c r="X65" s="7">
        <f t="shared" si="52"/>
        <v>-1143.1500000000001</v>
      </c>
      <c r="Y65" s="2"/>
      <c r="Z65" s="6">
        <f t="shared" si="53"/>
        <v>-1</v>
      </c>
    </row>
    <row r="66" spans="1:26" s="24" customFormat="1" hidden="1" outlineLevel="2" x14ac:dyDescent="0.25">
      <c r="A66" s="28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46"/>
        <v>0</v>
      </c>
      <c r="G66" s="2"/>
      <c r="H66" s="7">
        <v>454.44</v>
      </c>
      <c r="I66" s="2"/>
      <c r="J66" s="6">
        <f t="shared" si="47"/>
        <v>1.1003480416061535E-2</v>
      </c>
      <c r="K66" s="2"/>
      <c r="L66" s="7">
        <f t="shared" si="48"/>
        <v>-454.44</v>
      </c>
      <c r="M66" s="2"/>
      <c r="N66" s="6">
        <f t="shared" si="49"/>
        <v>-1</v>
      </c>
      <c r="O66" s="11"/>
      <c r="P66" s="7"/>
      <c r="Q66" s="2"/>
      <c r="R66" s="6">
        <f t="shared" si="50"/>
        <v>0</v>
      </c>
      <c r="S66" s="2"/>
      <c r="T66" s="7">
        <v>454.44</v>
      </c>
      <c r="U66" s="2"/>
      <c r="V66" s="6">
        <f t="shared" si="51"/>
        <v>4.5082725074344233E-3</v>
      </c>
      <c r="W66" s="2"/>
      <c r="X66" s="7">
        <f t="shared" si="52"/>
        <v>-454.44</v>
      </c>
      <c r="Y66" s="2"/>
      <c r="Z66" s="6">
        <f t="shared" si="53"/>
        <v>-1</v>
      </c>
    </row>
    <row r="67" spans="1:26" s="27" customFormat="1" outlineLevel="1" collapsed="1" x14ac:dyDescent="0.25">
      <c r="A67" s="29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SUM(OSRRefD22_13x_0)</f>
        <v>0</v>
      </c>
      <c r="E67" s="1"/>
      <c r="F67" s="5">
        <f t="shared" ref="F67:F70" si="54">IF(D$12=0,0,D67/D$12)</f>
        <v>0</v>
      </c>
      <c r="G67" s="1"/>
      <c r="H67" s="1">
        <f>SUM(OSRRefH22_13x_0)</f>
        <v>100</v>
      </c>
      <c r="I67" s="1"/>
      <c r="J67" s="5">
        <f t="shared" ref="J67:J70" si="55">IF(H$12=0,0,H67/H$12)</f>
        <v>2.4213274394995019E-3</v>
      </c>
      <c r="K67" s="1"/>
      <c r="L67" s="1">
        <f t="shared" ref="L67:L70" si="56">+D67-H67</f>
        <v>-100</v>
      </c>
      <c r="M67" s="1"/>
      <c r="N67" s="5">
        <f t="shared" ref="N67:N70" si="57">IF(H67=0,0,L67/H67)</f>
        <v>-1</v>
      </c>
      <c r="O67" s="14"/>
      <c r="P67" s="1">
        <f>SUM(OSRRefP22_13x_0)</f>
        <v>112</v>
      </c>
      <c r="Q67" s="1"/>
      <c r="R67" s="5">
        <f t="shared" ref="R67:R70" si="58">IF(P$12=0,0,P67/P$12)</f>
        <v>0</v>
      </c>
      <c r="S67" s="1"/>
      <c r="T67" s="1">
        <f>SUM(OSRRefT22_13x_0)</f>
        <v>632.91</v>
      </c>
      <c r="U67" s="1"/>
      <c r="V67" s="5">
        <f t="shared" ref="V67:V70" si="59">IF(T$12=0,0,T67/T$12)</f>
        <v>6.2787843338621618E-3</v>
      </c>
      <c r="W67" s="1"/>
      <c r="X67" s="1">
        <f t="shared" ref="X67:X70" si="60">+P67-T67</f>
        <v>-520.91</v>
      </c>
      <c r="Y67" s="1"/>
      <c r="Z67" s="5">
        <f t="shared" ref="Z67:Z70" si="61">IF(T67=0,0,X67/T67)</f>
        <v>-0.82303961068714349</v>
      </c>
    </row>
    <row r="68" spans="1:26" s="24" customFormat="1" hidden="1" outlineLevel="2" x14ac:dyDescent="0.25">
      <c r="A68" s="28"/>
      <c r="B68" s="11" t="str">
        <f>CONCATENATE("          ", "6309", " - ", "TELEPHONE")</f>
        <v xml:space="preserve">          6309 - TELEPHONE</v>
      </c>
      <c r="C68" s="11"/>
      <c r="D68" s="7"/>
      <c r="E68" s="2"/>
      <c r="F68" s="6">
        <f t="shared" si="54"/>
        <v>0</v>
      </c>
      <c r="G68" s="2"/>
      <c r="H68" s="7">
        <v>100</v>
      </c>
      <c r="I68" s="2"/>
      <c r="J68" s="6">
        <f t="shared" si="55"/>
        <v>2.4213274394995019E-3</v>
      </c>
      <c r="K68" s="2"/>
      <c r="L68" s="7">
        <f t="shared" si="56"/>
        <v>-100</v>
      </c>
      <c r="M68" s="2"/>
      <c r="N68" s="6">
        <f t="shared" si="57"/>
        <v>-1</v>
      </c>
      <c r="O68" s="11"/>
      <c r="P68" s="7">
        <v>112</v>
      </c>
      <c r="Q68" s="2"/>
      <c r="R68" s="6">
        <f t="shared" si="58"/>
        <v>0</v>
      </c>
      <c r="S68" s="2"/>
      <c r="T68" s="7">
        <v>632.91</v>
      </c>
      <c r="U68" s="2"/>
      <c r="V68" s="6">
        <f t="shared" si="59"/>
        <v>6.2787843338621618E-3</v>
      </c>
      <c r="W68" s="2"/>
      <c r="X68" s="7">
        <f t="shared" si="60"/>
        <v>-520.91</v>
      </c>
      <c r="Y68" s="2"/>
      <c r="Z68" s="6">
        <f t="shared" si="61"/>
        <v>-0.82303961068714349</v>
      </c>
    </row>
    <row r="69" spans="1:26" s="27" customFormat="1" outlineLevel="1" collapsed="1" x14ac:dyDescent="0.25">
      <c r="A69" s="29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SUM(OSRRefD22_14x_0)</f>
        <v>0</v>
      </c>
      <c r="E69" s="1"/>
      <c r="F69" s="5">
        <f t="shared" si="54"/>
        <v>0</v>
      </c>
      <c r="G69" s="1"/>
      <c r="H69" s="1">
        <f>SUM(OSRRefH22_14x_0)</f>
        <v>0</v>
      </c>
      <c r="I69" s="1"/>
      <c r="J69" s="5">
        <f t="shared" si="55"/>
        <v>0</v>
      </c>
      <c r="K69" s="1"/>
      <c r="L69" s="1">
        <f t="shared" si="56"/>
        <v>0</v>
      </c>
      <c r="M69" s="1"/>
      <c r="N69" s="5">
        <f t="shared" si="57"/>
        <v>0</v>
      </c>
      <c r="O69" s="14"/>
      <c r="P69" s="1">
        <f>SUM(OSRRefP22_14x_0)</f>
        <v>0</v>
      </c>
      <c r="Q69" s="1"/>
      <c r="R69" s="5">
        <f t="shared" si="58"/>
        <v>0</v>
      </c>
      <c r="S69" s="1"/>
      <c r="T69" s="1">
        <f>SUM(OSRRefT22_14x_0)</f>
        <v>152.94999999999999</v>
      </c>
      <c r="U69" s="1"/>
      <c r="V69" s="5">
        <f t="shared" si="59"/>
        <v>1.5173406390548698E-3</v>
      </c>
      <c r="W69" s="1"/>
      <c r="X69" s="1">
        <f t="shared" si="60"/>
        <v>-152.94999999999999</v>
      </c>
      <c r="Y69" s="1"/>
      <c r="Z69" s="5">
        <f t="shared" si="61"/>
        <v>-1</v>
      </c>
    </row>
    <row r="70" spans="1:26" s="24" customFormat="1" hidden="1" outlineLevel="2" x14ac:dyDescent="0.25">
      <c r="A70" s="28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54"/>
        <v>0</v>
      </c>
      <c r="G70" s="2"/>
      <c r="H70" s="7"/>
      <c r="I70" s="2"/>
      <c r="J70" s="6">
        <f t="shared" si="55"/>
        <v>0</v>
      </c>
      <c r="K70" s="2"/>
      <c r="L70" s="7">
        <f t="shared" si="56"/>
        <v>0</v>
      </c>
      <c r="M70" s="2"/>
      <c r="N70" s="6">
        <f t="shared" si="57"/>
        <v>0</v>
      </c>
      <c r="O70" s="11"/>
      <c r="P70" s="7"/>
      <c r="Q70" s="2"/>
      <c r="R70" s="6">
        <f t="shared" si="58"/>
        <v>0</v>
      </c>
      <c r="S70" s="2"/>
      <c r="T70" s="7">
        <v>152.94999999999999</v>
      </c>
      <c r="U70" s="2"/>
      <c r="V70" s="6">
        <f t="shared" si="59"/>
        <v>1.5173406390548698E-3</v>
      </c>
      <c r="W70" s="2"/>
      <c r="X70" s="7">
        <f t="shared" si="60"/>
        <v>-152.94999999999999</v>
      </c>
      <c r="Y70" s="2"/>
      <c r="Z70" s="6">
        <f t="shared" si="61"/>
        <v>-1</v>
      </c>
    </row>
    <row r="71" spans="1:26" s="60" customFormat="1" x14ac:dyDescent="0.25">
      <c r="A71" s="37"/>
      <c r="B71" s="37"/>
      <c r="C71" s="37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7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collapsed="1" x14ac:dyDescent="0.25">
      <c r="A72" s="10"/>
      <c r="B72" s="26" t="s">
        <v>0</v>
      </c>
      <c r="C72" s="10"/>
      <c r="D72" s="4">
        <f>SUM(OSRRefD25x_0)</f>
        <v>0</v>
      </c>
      <c r="E72" s="4"/>
      <c r="F72" s="12">
        <f t="shared" ref="F72:F73" si="62">IF(D$12=0,0,D72/D$12)</f>
        <v>0</v>
      </c>
      <c r="G72" s="4"/>
      <c r="H72" s="4">
        <f>SUM(OSRRefH25x_0)</f>
        <v>0</v>
      </c>
      <c r="I72" s="4"/>
      <c r="J72" s="12">
        <f t="shared" ref="J72:J73" si="63">IF(H$12=0,0,H72/H$12)</f>
        <v>0</v>
      </c>
      <c r="K72" s="4"/>
      <c r="L72" s="4">
        <f t="shared" ref="L72:L73" si="64">+D72-H72</f>
        <v>0</v>
      </c>
      <c r="M72" s="4"/>
      <c r="N72" s="12">
        <f t="shared" ref="N72:N73" si="65">IF(H72=0,0,L72/H72)</f>
        <v>0</v>
      </c>
      <c r="O72" s="10"/>
      <c r="P72" s="4">
        <f>SUM(OSRRefP25x_0)</f>
        <v>0</v>
      </c>
      <c r="Q72" s="4"/>
      <c r="R72" s="12">
        <f t="shared" ref="R72:R73" si="66">IF(P$12=0,0,P72/P$12)</f>
        <v>0</v>
      </c>
      <c r="S72" s="4"/>
      <c r="T72" s="4">
        <f>SUM(OSRRefT25x_0)</f>
        <v>29281.48</v>
      </c>
      <c r="U72" s="4"/>
      <c r="V72" s="12">
        <f t="shared" ref="V72:V73" si="67">IF(T$12=0,0,T72/T$12)</f>
        <v>0.29048695374744943</v>
      </c>
      <c r="W72" s="4"/>
      <c r="X72" s="4">
        <f t="shared" ref="X72:X73" si="68">+P72-T72</f>
        <v>-29281.48</v>
      </c>
      <c r="Y72" s="4"/>
      <c r="Z72" s="12">
        <f t="shared" ref="Z72:Z73" si="69">IF(T72=0,0,X72/T72)</f>
        <v>-1</v>
      </c>
    </row>
    <row r="73" spans="1:26" s="24" customFormat="1" hidden="1" outlineLevel="1" x14ac:dyDescent="0.25">
      <c r="A73" s="44"/>
      <c r="B73" s="11" t="str">
        <f>CONCATENATE("          ", "9150", " - ", "MISC. INCOME")</f>
        <v xml:space="preserve">          9150 - MISC. INCOME</v>
      </c>
      <c r="C73" s="11"/>
      <c r="D73" s="2">
        <f>0</f>
        <v>0</v>
      </c>
      <c r="E73" s="2"/>
      <c r="F73" s="19">
        <f t="shared" si="62"/>
        <v>0</v>
      </c>
      <c r="G73" s="2"/>
      <c r="H73" s="2">
        <f>0</f>
        <v>0</v>
      </c>
      <c r="I73" s="2"/>
      <c r="J73" s="19">
        <f t="shared" si="63"/>
        <v>0</v>
      </c>
      <c r="K73" s="2"/>
      <c r="L73" s="2">
        <f t="shared" si="64"/>
        <v>0</v>
      </c>
      <c r="M73" s="2"/>
      <c r="N73" s="19">
        <f t="shared" si="65"/>
        <v>0</v>
      </c>
      <c r="O73" s="11"/>
      <c r="P73" s="2">
        <f>0</f>
        <v>0</v>
      </c>
      <c r="Q73" s="2"/>
      <c r="R73" s="19">
        <f t="shared" si="66"/>
        <v>0</v>
      </c>
      <c r="S73" s="2"/>
      <c r="T73" s="2">
        <f>--29281.48</f>
        <v>29281.48</v>
      </c>
      <c r="U73" s="2"/>
      <c r="V73" s="19">
        <f t="shared" si="67"/>
        <v>0.29048695374744943</v>
      </c>
      <c r="W73" s="2"/>
      <c r="X73" s="2">
        <f t="shared" si="68"/>
        <v>-29281.48</v>
      </c>
      <c r="Y73" s="2"/>
      <c r="Z73" s="19">
        <f t="shared" si="69"/>
        <v>-1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5" t="s">
        <v>3</v>
      </c>
      <c r="C75" s="25"/>
      <c r="D75" s="22">
        <f>+D20-D22+D72</f>
        <v>-1000.91</v>
      </c>
      <c r="E75" s="13"/>
      <c r="F75" s="21">
        <f>IF(D$12=0,0,D75/D$12)</f>
        <v>0</v>
      </c>
      <c r="G75" s="13"/>
      <c r="H75" s="22">
        <f>+H20-H22+H72</f>
        <v>-733.18999999999505</v>
      </c>
      <c r="I75" s="13"/>
      <c r="J75" s="21">
        <f>IF(H$12=0,0,H75/H$12)</f>
        <v>-1.7752930653666277E-2</v>
      </c>
      <c r="K75" s="15"/>
      <c r="L75" s="22">
        <f>+D75-H75</f>
        <v>-267.72000000000492</v>
      </c>
      <c r="M75" s="15"/>
      <c r="N75" s="21">
        <f>IF(H75=0,0,L75/H75)</f>
        <v>0.36514409634611317</v>
      </c>
      <c r="O75" s="26"/>
      <c r="P75" s="22">
        <f>+P20-P22+P72</f>
        <v>-6148.89</v>
      </c>
      <c r="Q75" s="13"/>
      <c r="R75" s="21">
        <f>IF(P$12=0,0,P75/P$12)</f>
        <v>0</v>
      </c>
      <c r="S75" s="13"/>
      <c r="T75" s="22">
        <f>+T20-T22+T72</f>
        <v>22133.010000000013</v>
      </c>
      <c r="U75" s="13"/>
      <c r="V75" s="21">
        <f>IF(T$12=0,0,T75/T$12)</f>
        <v>0.21957054944496793</v>
      </c>
      <c r="W75" s="15"/>
      <c r="X75" s="22">
        <f>+P75-T75</f>
        <v>-28281.900000000012</v>
      </c>
      <c r="Y75" s="15"/>
      <c r="Z75" s="21">
        <f>IF(T75=0,0,X75/T75)</f>
        <v>-1.2778153536279067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1"/>
      <c r="B77" s="10" t="s">
        <v>13</v>
      </c>
      <c r="C77" s="10"/>
      <c r="D77" s="4"/>
      <c r="E77" s="4"/>
      <c r="F77" s="12">
        <f>IF(D$12=0,0,D77/D$12)</f>
        <v>0</v>
      </c>
      <c r="G77" s="4"/>
      <c r="H77" s="4">
        <v>3408.62</v>
      </c>
      <c r="I77" s="4"/>
      <c r="J77" s="12">
        <f>IF(H$12=0,0,H77/H$12)</f>
        <v>8.2533851368267908E-2</v>
      </c>
      <c r="K77" s="4"/>
      <c r="L77" s="4">
        <f>+D77-H77</f>
        <v>-3408.62</v>
      </c>
      <c r="M77" s="4"/>
      <c r="N77" s="12">
        <f>IF(H77=0,0,L77/H77)</f>
        <v>-1</v>
      </c>
      <c r="O77" s="10"/>
      <c r="P77" s="4"/>
      <c r="Q77" s="4"/>
      <c r="R77" s="12">
        <f>IF(P$12=0,0,P77/P$12)</f>
        <v>0</v>
      </c>
      <c r="S77" s="4"/>
      <c r="T77" s="4">
        <v>10827.4</v>
      </c>
      <c r="U77" s="4"/>
      <c r="V77" s="12">
        <f>IF(T$12=0,0,T77/T$12)</f>
        <v>0.10741323331351878</v>
      </c>
      <c r="W77" s="4"/>
      <c r="X77" s="4">
        <f>+P77-T77</f>
        <v>-10827.4</v>
      </c>
      <c r="Y77" s="4"/>
      <c r="Z77" s="12">
        <f>IF(T77=0,0,X77/T77)</f>
        <v>-1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5" t="s">
        <v>4</v>
      </c>
      <c r="C79" s="25"/>
      <c r="D79" s="33">
        <f>+D75-D77</f>
        <v>-1000.91</v>
      </c>
      <c r="E79" s="13"/>
      <c r="F79" s="32">
        <f>IF(D$12=0,0,D79/D$12)</f>
        <v>0</v>
      </c>
      <c r="G79" s="13"/>
      <c r="H79" s="33">
        <f>+H75-H77</f>
        <v>-4141.8099999999949</v>
      </c>
      <c r="I79" s="13"/>
      <c r="J79" s="32">
        <f>IF(H$12=0,0,H79/H$12)</f>
        <v>-0.1002867820219342</v>
      </c>
      <c r="K79" s="15"/>
      <c r="L79" s="33">
        <f>D79-H79</f>
        <v>3140.8999999999951</v>
      </c>
      <c r="M79" s="15"/>
      <c r="N79" s="32">
        <f>IF(H79=0,0,L79/H79)</f>
        <v>-0.75833995282255795</v>
      </c>
      <c r="O79" s="26"/>
      <c r="P79" s="33">
        <f>+P75-P77</f>
        <v>-6148.89</v>
      </c>
      <c r="Q79" s="13"/>
      <c r="R79" s="32">
        <f>IF(P$12=0,0,P79/P$12)</f>
        <v>0</v>
      </c>
      <c r="S79" s="13"/>
      <c r="T79" s="33">
        <f>+T75-T77</f>
        <v>11305.610000000013</v>
      </c>
      <c r="U79" s="13"/>
      <c r="V79" s="32">
        <f>IF(T$12=0,0,T79/T$12)</f>
        <v>0.11215731613144915</v>
      </c>
      <c r="W79" s="15"/>
      <c r="X79" s="33">
        <f>P79-T79</f>
        <v>-17454.500000000015</v>
      </c>
      <c r="Y79" s="15"/>
      <c r="Z79" s="32">
        <f>IF(T79=0,0,X79/T79)</f>
        <v>-1.5438795429879497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5" t="s">
        <v>5</v>
      </c>
      <c r="C82" s="25"/>
      <c r="D82" s="34">
        <f>SUM(D79:D81)</f>
        <v>-1000.91</v>
      </c>
      <c r="E82" s="13"/>
      <c r="F82" s="31">
        <f>IF(D$12=0,0,D82/D$12)</f>
        <v>0</v>
      </c>
      <c r="G82" s="13"/>
      <c r="H82" s="34">
        <f>SUM(H79:H81)</f>
        <v>-4141.8099999999949</v>
      </c>
      <c r="I82" s="13"/>
      <c r="J82" s="31">
        <f>IF(H$12=0,0,H82/H$12)</f>
        <v>-0.1002867820219342</v>
      </c>
      <c r="K82" s="15"/>
      <c r="L82" s="34">
        <f>+D82-H82</f>
        <v>3140.8999999999951</v>
      </c>
      <c r="M82" s="15"/>
      <c r="N82" s="31">
        <f>IF(H82=0,0,L82/H82)</f>
        <v>-0.75833995282255795</v>
      </c>
      <c r="O82" s="26"/>
      <c r="P82" s="34">
        <f>SUM(P79:P81)</f>
        <v>-6148.89</v>
      </c>
      <c r="Q82" s="13"/>
      <c r="R82" s="31">
        <f>IF(P$12=0,0,P82/P$12)</f>
        <v>0</v>
      </c>
      <c r="S82" s="13"/>
      <c r="T82" s="34">
        <f>SUM(T79:T81)</f>
        <v>11305.610000000013</v>
      </c>
      <c r="U82" s="13"/>
      <c r="V82" s="31">
        <f>IF(T$12=0,0,T82/T$12)</f>
        <v>0.11215731613144915</v>
      </c>
      <c r="W82" s="15"/>
      <c r="X82" s="34">
        <f>+P82-T82</f>
        <v>-17454.500000000015</v>
      </c>
      <c r="Y82" s="15"/>
      <c r="Z82" s="31">
        <f>IF(T82=0,0,X82/T82)</f>
        <v>-1.5438795429879497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2"/>
      <c r="K83" s="18"/>
      <c r="L83" s="18"/>
      <c r="M83" s="18"/>
      <c r="P83" s="18"/>
      <c r="Q83" s="18"/>
      <c r="R83" s="42"/>
      <c r="S83" s="18"/>
      <c r="T83" s="18"/>
      <c r="U83" s="18"/>
      <c r="V83" s="42"/>
      <c r="W83" s="18"/>
      <c r="X83" s="18"/>
    </row>
    <row r="84" spans="1:26" x14ac:dyDescent="0.25">
      <c r="A84" s="9"/>
      <c r="B84" s="54">
        <v>44123.565754594907</v>
      </c>
      <c r="D84" s="18"/>
      <c r="E84" s="18"/>
      <c r="G84" s="18"/>
      <c r="H84" s="18"/>
      <c r="I84" s="18"/>
      <c r="J84" s="42"/>
      <c r="K84" s="18"/>
      <c r="L84" s="18"/>
      <c r="M84" s="18"/>
      <c r="P84" s="18"/>
      <c r="Q84" s="18"/>
      <c r="R84" s="42"/>
      <c r="S84" s="18"/>
      <c r="T84" s="18"/>
      <c r="U84" s="18"/>
      <c r="V84" s="42"/>
      <c r="W84" s="18"/>
      <c r="X84" s="18"/>
    </row>
    <row r="85" spans="1:26" x14ac:dyDescent="0.25">
      <c r="A85" s="9"/>
      <c r="B85" s="59" t="s">
        <v>313</v>
      </c>
      <c r="D85" s="18"/>
      <c r="E85" s="18"/>
      <c r="G85" s="18"/>
      <c r="H85" s="18"/>
      <c r="I85" s="18"/>
      <c r="J85" s="42"/>
      <c r="K85" s="18"/>
      <c r="L85" s="18"/>
      <c r="M85" s="18"/>
      <c r="P85" s="18"/>
      <c r="Q85" s="18"/>
      <c r="R85" s="42"/>
      <c r="S85" s="18"/>
      <c r="T85" s="18"/>
      <c r="U85" s="18"/>
      <c r="V85" s="42"/>
      <c r="W85" s="18"/>
      <c r="X85" s="18"/>
    </row>
    <row r="86" spans="1:26" x14ac:dyDescent="0.25">
      <c r="A86" s="9"/>
      <c r="B86" s="58"/>
      <c r="D86" s="18"/>
      <c r="E86" s="18"/>
      <c r="G86" s="18"/>
      <c r="H86" s="18"/>
      <c r="I86" s="18"/>
      <c r="J86" s="42"/>
      <c r="K86" s="18"/>
      <c r="L86" s="18"/>
      <c r="M86" s="18"/>
      <c r="P86" s="18"/>
      <c r="Q86" s="18"/>
      <c r="R86" s="42"/>
      <c r="S86" s="18"/>
      <c r="T86" s="18"/>
      <c r="U86" s="18"/>
      <c r="V86" s="42"/>
      <c r="W86" s="18"/>
      <c r="X86" s="18"/>
    </row>
    <row r="87" spans="1:26" x14ac:dyDescent="0.25">
      <c r="D87" s="18"/>
      <c r="E87" s="18"/>
      <c r="G87" s="18"/>
      <c r="H87" s="18"/>
      <c r="I87" s="18"/>
      <c r="J87" s="42"/>
      <c r="K87" s="18"/>
      <c r="L87" s="18"/>
      <c r="M87" s="18"/>
      <c r="P87" s="18"/>
      <c r="Q87" s="18"/>
      <c r="R87" s="42"/>
      <c r="S87" s="18"/>
      <c r="T87" s="18"/>
      <c r="U87" s="18"/>
      <c r="V87" s="42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","455", " - ", "Vending")</f>
        <v>Department 455 - Vending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0</v>
      </c>
      <c r="E18" s="20"/>
      <c r="F18" s="36">
        <f t="shared" ref="F18:F26" si="0">IF(D$12=0,0,D18/D$12)</f>
        <v>0</v>
      </c>
      <c r="G18" s="20"/>
      <c r="H18" s="20">
        <f>SUM(OSRRefH22x_0)</f>
        <v>12973.7</v>
      </c>
      <c r="I18" s="20"/>
      <c r="J18" s="36">
        <f t="shared" ref="J18:J26" si="1">IF(H$12=0,0,H18/H$12)</f>
        <v>0</v>
      </c>
      <c r="K18" s="4"/>
      <c r="L18" s="20">
        <f t="shared" ref="L18:L26" si="2">+D18-H18</f>
        <v>-12973.7</v>
      </c>
      <c r="M18" s="4"/>
      <c r="N18" s="36">
        <f t="shared" ref="N18:N26" si="3">IF(H18=0,0,L18/H18)</f>
        <v>-1</v>
      </c>
      <c r="O18" s="10"/>
      <c r="P18" s="20">
        <f>SUM(OSRRefP22x_0)</f>
        <v>0</v>
      </c>
      <c r="Q18" s="20"/>
      <c r="R18" s="36">
        <f t="shared" ref="R18:R26" si="4">IF(P$12=0,0,P18/P$12)</f>
        <v>0</v>
      </c>
      <c r="S18" s="20"/>
      <c r="T18" s="20">
        <f>SUM(OSRRefT22x_0)</f>
        <v>29091.4</v>
      </c>
      <c r="U18" s="20"/>
      <c r="V18" s="36">
        <f t="shared" ref="V18:V26" si="5">IF(T$12=0,0,T18/T$12)</f>
        <v>0</v>
      </c>
      <c r="W18" s="4"/>
      <c r="X18" s="20">
        <f t="shared" ref="X18:X26" si="6">+P18-T18</f>
        <v>-29091.4</v>
      </c>
      <c r="Y18" s="4"/>
      <c r="Z18" s="36">
        <f t="shared" ref="Z18:Z26" si="7">IF(T18=0,0,X18/T18)</f>
        <v>-1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8834.52</v>
      </c>
      <c r="I19" s="1"/>
      <c r="J19" s="5">
        <f t="shared" si="1"/>
        <v>0</v>
      </c>
      <c r="K19" s="1"/>
      <c r="L19" s="1">
        <f t="shared" si="2"/>
        <v>-8834.52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15803.59</v>
      </c>
      <c r="U19" s="1"/>
      <c r="V19" s="5">
        <f t="shared" si="5"/>
        <v>0</v>
      </c>
      <c r="W19" s="1"/>
      <c r="X19" s="1">
        <f t="shared" si="6"/>
        <v>-15803.59</v>
      </c>
      <c r="Y19" s="1"/>
      <c r="Z19" s="5">
        <f t="shared" si="7"/>
        <v>-1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384.92</v>
      </c>
      <c r="I20" s="2"/>
      <c r="J20" s="6">
        <f t="shared" si="1"/>
        <v>0</v>
      </c>
      <c r="K20" s="2"/>
      <c r="L20" s="7">
        <f t="shared" si="2"/>
        <v>-384.92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1084.76</v>
      </c>
      <c r="U20" s="2"/>
      <c r="V20" s="6">
        <f t="shared" si="5"/>
        <v>0</v>
      </c>
      <c r="W20" s="2"/>
      <c r="X20" s="7">
        <f t="shared" si="6"/>
        <v>-1084.76</v>
      </c>
      <c r="Y20" s="2"/>
      <c r="Z20" s="6">
        <f t="shared" si="7"/>
        <v>-1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17.11</v>
      </c>
      <c r="I21" s="2"/>
      <c r="J21" s="6">
        <f t="shared" si="1"/>
        <v>0</v>
      </c>
      <c r="K21" s="2"/>
      <c r="L21" s="7">
        <f t="shared" si="2"/>
        <v>-17.11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372.05</v>
      </c>
      <c r="U21" s="2"/>
      <c r="V21" s="6">
        <f t="shared" si="5"/>
        <v>0</v>
      </c>
      <c r="W21" s="2"/>
      <c r="X21" s="7">
        <f t="shared" si="6"/>
        <v>-372.05</v>
      </c>
      <c r="Y21" s="2"/>
      <c r="Z21" s="6">
        <f t="shared" si="7"/>
        <v>-1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931.95</v>
      </c>
      <c r="I22" s="2"/>
      <c r="J22" s="6">
        <f t="shared" si="1"/>
        <v>0</v>
      </c>
      <c r="K22" s="2"/>
      <c r="L22" s="7">
        <f t="shared" si="2"/>
        <v>-931.95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2795.85</v>
      </c>
      <c r="U22" s="2"/>
      <c r="V22" s="6">
        <f t="shared" si="5"/>
        <v>0</v>
      </c>
      <c r="W22" s="2"/>
      <c r="X22" s="7">
        <f t="shared" si="6"/>
        <v>-2795.85</v>
      </c>
      <c r="Y22" s="2"/>
      <c r="Z22" s="6">
        <f t="shared" si="7"/>
        <v>-1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13.08</v>
      </c>
      <c r="I23" s="2"/>
      <c r="J23" s="6">
        <f t="shared" si="1"/>
        <v>0</v>
      </c>
      <c r="K23" s="2"/>
      <c r="L23" s="7">
        <f t="shared" si="2"/>
        <v>-13.08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36.86</v>
      </c>
      <c r="U23" s="2"/>
      <c r="V23" s="6">
        <f t="shared" si="5"/>
        <v>0</v>
      </c>
      <c r="W23" s="2"/>
      <c r="X23" s="7">
        <f t="shared" si="6"/>
        <v>-36.86</v>
      </c>
      <c r="Y23" s="2"/>
      <c r="Z23" s="6">
        <f t="shared" si="7"/>
        <v>-1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514.27</v>
      </c>
      <c r="I24" s="2"/>
      <c r="J24" s="6">
        <f t="shared" si="1"/>
        <v>0</v>
      </c>
      <c r="K24" s="2"/>
      <c r="L24" s="7">
        <f t="shared" si="2"/>
        <v>-514.27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1449.31</v>
      </c>
      <c r="U24" s="2"/>
      <c r="V24" s="6">
        <f t="shared" si="5"/>
        <v>0</v>
      </c>
      <c r="W24" s="2"/>
      <c r="X24" s="7">
        <f t="shared" si="6"/>
        <v>-1449.31</v>
      </c>
      <c r="Y24" s="2"/>
      <c r="Z24" s="6">
        <f t="shared" si="7"/>
        <v>-1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0"/>
        <v>0</v>
      </c>
      <c r="G25" s="2"/>
      <c r="H25" s="7">
        <v>1578.84</v>
      </c>
      <c r="I25" s="2"/>
      <c r="J25" s="6">
        <f t="shared" si="1"/>
        <v>0</v>
      </c>
      <c r="K25" s="2"/>
      <c r="L25" s="7">
        <f t="shared" si="2"/>
        <v>-1578.84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2757.09</v>
      </c>
      <c r="U25" s="2"/>
      <c r="V25" s="6">
        <f t="shared" si="5"/>
        <v>0</v>
      </c>
      <c r="W25" s="2"/>
      <c r="X25" s="7">
        <f t="shared" si="6"/>
        <v>-2757.09</v>
      </c>
      <c r="Y25" s="2"/>
      <c r="Z25" s="6">
        <f t="shared" si="7"/>
        <v>-1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/>
      <c r="E26" s="2"/>
      <c r="F26" s="6">
        <f t="shared" si="0"/>
        <v>0</v>
      </c>
      <c r="G26" s="2"/>
      <c r="H26" s="7">
        <v>5394.35</v>
      </c>
      <c r="I26" s="2"/>
      <c r="J26" s="6">
        <f t="shared" si="1"/>
        <v>0</v>
      </c>
      <c r="K26" s="2"/>
      <c r="L26" s="7">
        <f t="shared" si="2"/>
        <v>-5394.35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7307.67</v>
      </c>
      <c r="U26" s="2"/>
      <c r="V26" s="6">
        <f t="shared" si="5"/>
        <v>0</v>
      </c>
      <c r="W26" s="2"/>
      <c r="X26" s="7">
        <f t="shared" si="6"/>
        <v>-7307.67</v>
      </c>
      <c r="Y26" s="2"/>
      <c r="Z26" s="6">
        <f t="shared" si="7"/>
        <v>-1</v>
      </c>
    </row>
    <row r="27" spans="1:26" s="27" customFormat="1" outlineLevel="1" collapsed="1" x14ac:dyDescent="0.25">
      <c r="A27" s="29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4139.18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-4139.18</v>
      </c>
      <c r="M27" s="1"/>
      <c r="N27" s="5">
        <f t="shared" ref="N27:N29" si="11">IF(H27=0,0,L27/H27)</f>
        <v>-1</v>
      </c>
      <c r="O27" s="14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13287.81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-13287.81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8"/>
      <c r="B28" s="11" t="str">
        <f>CONCATENATE("          ", "6001", " - ", "ADMINISTRATIVE SALARIES")</f>
        <v xml:space="preserve">          6001 - ADMINISTRATIVE SALARIES</v>
      </c>
      <c r="C28" s="11"/>
      <c r="D28" s="7"/>
      <c r="E28" s="2"/>
      <c r="F28" s="6">
        <f t="shared" si="8"/>
        <v>0</v>
      </c>
      <c r="G28" s="2"/>
      <c r="H28" s="7">
        <v>4139.18</v>
      </c>
      <c r="I28" s="2"/>
      <c r="J28" s="6">
        <f t="shared" si="9"/>
        <v>0</v>
      </c>
      <c r="K28" s="2"/>
      <c r="L28" s="7">
        <f t="shared" si="10"/>
        <v>-4139.18</v>
      </c>
      <c r="M28" s="2"/>
      <c r="N28" s="6">
        <f t="shared" si="11"/>
        <v>-1</v>
      </c>
      <c r="O28" s="11"/>
      <c r="P28" s="7"/>
      <c r="Q28" s="2"/>
      <c r="R28" s="6">
        <f t="shared" si="12"/>
        <v>0</v>
      </c>
      <c r="S28" s="2"/>
      <c r="T28" s="7">
        <v>13287.81</v>
      </c>
      <c r="U28" s="2"/>
      <c r="V28" s="6">
        <f t="shared" si="13"/>
        <v>0</v>
      </c>
      <c r="W28" s="2"/>
      <c r="X28" s="7">
        <f t="shared" si="14"/>
        <v>-13287.81</v>
      </c>
      <c r="Y28" s="2"/>
      <c r="Z28" s="6">
        <f t="shared" si="15"/>
        <v>-1</v>
      </c>
    </row>
    <row r="29" spans="1:26" s="24" customFormat="1" hidden="1" outlineLevel="2" x14ac:dyDescent="0.25">
      <c r="A29" s="28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/>
      <c r="I29" s="2"/>
      <c r="J29" s="6">
        <f t="shared" si="9"/>
        <v>0</v>
      </c>
      <c r="K29" s="2"/>
      <c r="L29" s="7">
        <f t="shared" si="10"/>
        <v>0</v>
      </c>
      <c r="M29" s="2"/>
      <c r="N29" s="6">
        <f t="shared" si="11"/>
        <v>0</v>
      </c>
      <c r="O29" s="11"/>
      <c r="P29" s="7"/>
      <c r="Q29" s="2"/>
      <c r="R29" s="6">
        <f t="shared" si="12"/>
        <v>0</v>
      </c>
      <c r="S29" s="2"/>
      <c r="T29" s="7">
        <v>0</v>
      </c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60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6" t="s">
        <v>0</v>
      </c>
      <c r="C31" s="10"/>
      <c r="D31" s="4">
        <f>SUM(OSRRefD25x_0)</f>
        <v>624.67999999999995</v>
      </c>
      <c r="E31" s="4"/>
      <c r="F31" s="12">
        <f t="shared" ref="F31:F33" si="16">IF(D$12=0,0,D31/D$12)</f>
        <v>0</v>
      </c>
      <c r="G31" s="4"/>
      <c r="H31" s="4">
        <f>SUM(OSRRefH25x_0)</f>
        <v>218527.34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-217902.66</v>
      </c>
      <c r="M31" s="4"/>
      <c r="N31" s="12">
        <f t="shared" ref="N31:N33" si="19">IF(H31=0,0,L31/H31)</f>
        <v>-0.99714141031506631</v>
      </c>
      <c r="O31" s="10"/>
      <c r="P31" s="4">
        <f>SUM(OSRRefP25x_0)</f>
        <v>2188.81</v>
      </c>
      <c r="Q31" s="4"/>
      <c r="R31" s="12">
        <f t="shared" ref="R31:R33" si="20">IF(P$12=0,0,P31/P$12)</f>
        <v>0</v>
      </c>
      <c r="S31" s="4"/>
      <c r="T31" s="4">
        <f>SUM(OSRRefT25x_0)</f>
        <v>235123.12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-232934.31</v>
      </c>
      <c r="Y31" s="4"/>
      <c r="Z31" s="12">
        <f t="shared" ref="Z31:Z33" si="23">IF(T31=0,0,X31/T31)</f>
        <v>-0.99069079212626987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>0</f>
        <v>0</v>
      </c>
      <c r="E32" s="2"/>
      <c r="F32" s="19">
        <f t="shared" si="16"/>
        <v>0</v>
      </c>
      <c r="G32" s="2"/>
      <c r="H32" s="2">
        <f>--20000</f>
        <v>20000</v>
      </c>
      <c r="I32" s="2"/>
      <c r="J32" s="19">
        <f t="shared" si="17"/>
        <v>0</v>
      </c>
      <c r="K32" s="2"/>
      <c r="L32" s="2">
        <f t="shared" si="18"/>
        <v>-20000</v>
      </c>
      <c r="M32" s="2"/>
      <c r="N32" s="19">
        <f t="shared" si="19"/>
        <v>-1</v>
      </c>
      <c r="O32" s="11"/>
      <c r="P32" s="2">
        <f>--1363.63</f>
        <v>1363.63</v>
      </c>
      <c r="Q32" s="2"/>
      <c r="R32" s="19">
        <f t="shared" si="20"/>
        <v>0</v>
      </c>
      <c r="S32" s="2"/>
      <c r="T32" s="2">
        <f>--29962.34</f>
        <v>29962.34</v>
      </c>
      <c r="U32" s="2"/>
      <c r="V32" s="19">
        <f t="shared" si="21"/>
        <v>0</v>
      </c>
      <c r="W32" s="2"/>
      <c r="X32" s="2">
        <f t="shared" si="22"/>
        <v>-28598.71</v>
      </c>
      <c r="Y32" s="2"/>
      <c r="Z32" s="19">
        <f t="shared" si="23"/>
        <v>-0.95448853460711014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>--624.68</f>
        <v>624.67999999999995</v>
      </c>
      <c r="E33" s="2"/>
      <c r="F33" s="19">
        <f t="shared" si="16"/>
        <v>0</v>
      </c>
      <c r="G33" s="2"/>
      <c r="H33" s="2">
        <f>--198527.34</f>
        <v>198527.34</v>
      </c>
      <c r="I33" s="2"/>
      <c r="J33" s="19">
        <f t="shared" si="17"/>
        <v>0</v>
      </c>
      <c r="K33" s="2"/>
      <c r="L33" s="2">
        <f t="shared" si="18"/>
        <v>-197902.66</v>
      </c>
      <c r="M33" s="2"/>
      <c r="N33" s="19">
        <f t="shared" si="19"/>
        <v>-0.99685343086750677</v>
      </c>
      <c r="O33" s="11"/>
      <c r="P33" s="2">
        <f>--825.18</f>
        <v>825.18</v>
      </c>
      <c r="Q33" s="2"/>
      <c r="R33" s="19">
        <f t="shared" si="20"/>
        <v>0</v>
      </c>
      <c r="S33" s="2"/>
      <c r="T33" s="2">
        <f>--205160.78</f>
        <v>205160.78</v>
      </c>
      <c r="U33" s="2"/>
      <c r="V33" s="19">
        <f t="shared" si="21"/>
        <v>0</v>
      </c>
      <c r="W33" s="2"/>
      <c r="X33" s="2">
        <f t="shared" si="22"/>
        <v>-204335.6</v>
      </c>
      <c r="Y33" s="2"/>
      <c r="Z33" s="19">
        <f t="shared" si="23"/>
        <v>-0.99597788622172334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5" t="s">
        <v>3</v>
      </c>
      <c r="C35" s="25"/>
      <c r="D35" s="22">
        <f>+D16-D18+D31</f>
        <v>624.67999999999995</v>
      </c>
      <c r="E35" s="13"/>
      <c r="F35" s="21">
        <f>IF(D$12=0,0,D35/D$12)</f>
        <v>0</v>
      </c>
      <c r="G35" s="13"/>
      <c r="H35" s="22">
        <f>+H16-H18+H31</f>
        <v>205553.63999999998</v>
      </c>
      <c r="I35" s="13"/>
      <c r="J35" s="21">
        <f>IF(H$12=0,0,H35/H$12)</f>
        <v>0</v>
      </c>
      <c r="K35" s="15"/>
      <c r="L35" s="22">
        <f>+D35-H35</f>
        <v>-204928.96</v>
      </c>
      <c r="M35" s="15"/>
      <c r="N35" s="21">
        <f>IF(H35=0,0,L35/H35)</f>
        <v>-0.99696098789590881</v>
      </c>
      <c r="O35" s="26"/>
      <c r="P35" s="22">
        <f>+P16-P18+P31</f>
        <v>2188.81</v>
      </c>
      <c r="Q35" s="13"/>
      <c r="R35" s="21">
        <f>IF(P$12=0,0,P35/P$12)</f>
        <v>0</v>
      </c>
      <c r="S35" s="13"/>
      <c r="T35" s="22">
        <f>+T16-T18+T31</f>
        <v>206031.72</v>
      </c>
      <c r="U35" s="13"/>
      <c r="V35" s="21">
        <f>IF(T$12=0,0,T35/T$12)</f>
        <v>0</v>
      </c>
      <c r="W35" s="15"/>
      <c r="X35" s="22">
        <f>+P35-T35</f>
        <v>-203842.91</v>
      </c>
      <c r="Y35" s="15"/>
      <c r="Z35" s="21">
        <f>IF(T35=0,0,X35/T35)</f>
        <v>-0.98937634457451507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5" t="s">
        <v>4</v>
      </c>
      <c r="C39" s="25"/>
      <c r="D39" s="33">
        <f>+D35-D37</f>
        <v>624.67999999999995</v>
      </c>
      <c r="E39" s="13"/>
      <c r="F39" s="32">
        <f>IF(D$12=0,0,D39/D$12)</f>
        <v>0</v>
      </c>
      <c r="G39" s="13"/>
      <c r="H39" s="33">
        <f>+H35-H37</f>
        <v>205553.63999999998</v>
      </c>
      <c r="I39" s="13"/>
      <c r="J39" s="32">
        <f>IF(H$12=0,0,H39/H$12)</f>
        <v>0</v>
      </c>
      <c r="K39" s="15"/>
      <c r="L39" s="33">
        <f>D39-H39</f>
        <v>-204928.96</v>
      </c>
      <c r="M39" s="15"/>
      <c r="N39" s="32">
        <f>IF(H39=0,0,L39/H39)</f>
        <v>-0.99696098789590881</v>
      </c>
      <c r="O39" s="26"/>
      <c r="P39" s="33">
        <f>+P35-P37</f>
        <v>2188.81</v>
      </c>
      <c r="Q39" s="13"/>
      <c r="R39" s="32">
        <f>IF(P$12=0,0,P39/P$12)</f>
        <v>0</v>
      </c>
      <c r="S39" s="13"/>
      <c r="T39" s="33">
        <f>+T35-T37</f>
        <v>206031.72</v>
      </c>
      <c r="U39" s="13"/>
      <c r="V39" s="32">
        <f>IF(T$12=0,0,T39/T$12)</f>
        <v>0</v>
      </c>
      <c r="W39" s="15"/>
      <c r="X39" s="33">
        <f>P39-T39</f>
        <v>-203842.91</v>
      </c>
      <c r="Y39" s="15"/>
      <c r="Z39" s="32">
        <f>IF(T39=0,0,X39/T39)</f>
        <v>-0.98937634457451507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5" t="s">
        <v>5</v>
      </c>
      <c r="C42" s="25"/>
      <c r="D42" s="34">
        <f>SUM(D39:D41)</f>
        <v>624.67999999999995</v>
      </c>
      <c r="E42" s="13"/>
      <c r="F42" s="31">
        <f>IF(D$12=0,0,D42/D$12)</f>
        <v>0</v>
      </c>
      <c r="G42" s="13"/>
      <c r="H42" s="34">
        <f>SUM(H39:H41)</f>
        <v>205553.63999999998</v>
      </c>
      <c r="I42" s="13"/>
      <c r="J42" s="31">
        <f>IF(H$12=0,0,H42/H$12)</f>
        <v>0</v>
      </c>
      <c r="K42" s="15"/>
      <c r="L42" s="34">
        <f>+D42-H42</f>
        <v>-204928.96</v>
      </c>
      <c r="M42" s="15"/>
      <c r="N42" s="31">
        <f>IF(H42=0,0,L42/H42)</f>
        <v>-0.99696098789590881</v>
      </c>
      <c r="O42" s="26"/>
      <c r="P42" s="34">
        <f>SUM(P39:P41)</f>
        <v>2188.81</v>
      </c>
      <c r="Q42" s="13"/>
      <c r="R42" s="31">
        <f>IF(P$12=0,0,P42/P$12)</f>
        <v>0</v>
      </c>
      <c r="S42" s="13"/>
      <c r="T42" s="34">
        <f>SUM(T39:T41)</f>
        <v>206031.72</v>
      </c>
      <c r="U42" s="13"/>
      <c r="V42" s="31">
        <f>IF(T$12=0,0,T42/T$12)</f>
        <v>0</v>
      </c>
      <c r="W42" s="15"/>
      <c r="X42" s="34">
        <f>+P42-T42</f>
        <v>-203842.91</v>
      </c>
      <c r="Y42" s="15"/>
      <c r="Z42" s="31">
        <f>IF(T42=0,0,X42/T42)</f>
        <v>-0.98937634457451507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2"/>
      <c r="K43" s="18"/>
      <c r="L43" s="18"/>
      <c r="M43" s="18"/>
      <c r="P43" s="18"/>
      <c r="Q43" s="18"/>
      <c r="R43" s="42"/>
      <c r="S43" s="18"/>
      <c r="T43" s="18"/>
      <c r="U43" s="18"/>
      <c r="V43" s="42"/>
      <c r="W43" s="18"/>
      <c r="X43" s="18"/>
    </row>
    <row r="44" spans="1:26" x14ac:dyDescent="0.25">
      <c r="A44" s="9"/>
      <c r="B44" s="54">
        <v>44123.565875844906</v>
      </c>
      <c r="D44" s="18"/>
      <c r="E44" s="18"/>
      <c r="G44" s="18"/>
      <c r="H44" s="18"/>
      <c r="I44" s="18"/>
      <c r="J44" s="42"/>
      <c r="K44" s="18"/>
      <c r="L44" s="18"/>
      <c r="M44" s="18"/>
      <c r="P44" s="18"/>
      <c r="Q44" s="18"/>
      <c r="R44" s="42"/>
      <c r="S44" s="18"/>
      <c r="T44" s="18"/>
      <c r="U44" s="18"/>
      <c r="V44" s="42"/>
      <c r="W44" s="18"/>
      <c r="X44" s="18"/>
    </row>
    <row r="45" spans="1:26" x14ac:dyDescent="0.25">
      <c r="A45" s="9"/>
      <c r="B45" s="59" t="s">
        <v>313</v>
      </c>
      <c r="D45" s="18"/>
      <c r="E45" s="18"/>
      <c r="G45" s="18"/>
      <c r="H45" s="18"/>
      <c r="I45" s="18"/>
      <c r="J45" s="42"/>
      <c r="K45" s="18"/>
      <c r="L45" s="18"/>
      <c r="M45" s="18"/>
      <c r="P45" s="18"/>
      <c r="Q45" s="18"/>
      <c r="R45" s="42"/>
      <c r="S45" s="18"/>
      <c r="T45" s="18"/>
      <c r="U45" s="18"/>
      <c r="V45" s="42"/>
      <c r="W45" s="18"/>
      <c r="X45" s="18"/>
    </row>
    <row r="46" spans="1:26" x14ac:dyDescent="0.25">
      <c r="A46" s="9"/>
      <c r="B46" s="58"/>
      <c r="D46" s="18"/>
      <c r="E46" s="18"/>
      <c r="G46" s="18"/>
      <c r="H46" s="18"/>
      <c r="I46" s="18"/>
      <c r="J46" s="42"/>
      <c r="K46" s="18"/>
      <c r="L46" s="18"/>
      <c r="M46" s="18"/>
      <c r="P46" s="18"/>
      <c r="Q46" s="18"/>
      <c r="R46" s="42"/>
      <c r="S46" s="18"/>
      <c r="T46" s="18"/>
      <c r="U46" s="18"/>
      <c r="V46" s="42"/>
      <c r="W46" s="18"/>
      <c r="X46" s="18"/>
    </row>
    <row r="47" spans="1:26" x14ac:dyDescent="0.25">
      <c r="D47" s="18"/>
      <c r="E47" s="18"/>
      <c r="G47" s="18"/>
      <c r="H47" s="18"/>
      <c r="I47" s="18"/>
      <c r="J47" s="42"/>
      <c r="K47" s="18"/>
      <c r="L47" s="18"/>
      <c r="M47" s="18"/>
      <c r="P47" s="18"/>
      <c r="Q47" s="18"/>
      <c r="R47" s="42"/>
      <c r="S47" s="18"/>
      <c r="T47" s="18"/>
      <c r="U47" s="18"/>
      <c r="V47" s="42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300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222354.97999999998</v>
      </c>
      <c r="E12" s="4"/>
      <c r="F12" s="12"/>
      <c r="G12" s="4"/>
      <c r="H12" s="4">
        <f>SUM(OSRRefH13x_0)</f>
        <v>1459282.9000000001</v>
      </c>
      <c r="I12" s="4"/>
      <c r="J12" s="12"/>
      <c r="K12" s="4"/>
      <c r="L12" s="4">
        <f t="shared" ref="L12:L17" si="0">+D12-H12</f>
        <v>-1236927.9200000002</v>
      </c>
      <c r="M12" s="4"/>
      <c r="N12" s="12">
        <f t="shared" ref="N12:N17" si="1">IF(H12=0,0,L12/H12)</f>
        <v>-0.84762722841472349</v>
      </c>
      <c r="O12" s="10"/>
      <c r="P12" s="4">
        <f>SUM(OSRRefP13x_0)</f>
        <v>291510.98</v>
      </c>
      <c r="Q12" s="4"/>
      <c r="R12" s="12"/>
      <c r="S12" s="4"/>
      <c r="T12" s="4">
        <f>SUM(OSRRefT13x_0)</f>
        <v>2475318.06</v>
      </c>
      <c r="U12" s="4"/>
      <c r="V12" s="12"/>
      <c r="W12" s="4"/>
      <c r="X12" s="4">
        <f t="shared" ref="X12:X17" si="2">+P12-T12</f>
        <v>-2183807.08</v>
      </c>
      <c r="Y12" s="4"/>
      <c r="Z12" s="12">
        <f t="shared" ref="Z12:Z17" si="3">IF(T12=0,0,X12/T12)</f>
        <v>-0.8822329199989758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--62.54</f>
        <v>62.54</v>
      </c>
      <c r="E13" s="2"/>
      <c r="F13" s="19"/>
      <c r="G13" s="2"/>
      <c r="H13" s="2">
        <f>--1901.62</f>
        <v>1901.62</v>
      </c>
      <c r="I13" s="2"/>
      <c r="J13" s="19"/>
      <c r="K13" s="2"/>
      <c r="L13" s="2">
        <f t="shared" si="0"/>
        <v>-1839.08</v>
      </c>
      <c r="M13" s="2"/>
      <c r="N13" s="19">
        <f t="shared" si="1"/>
        <v>-0.96711225165911174</v>
      </c>
      <c r="O13" s="11"/>
      <c r="P13" s="2">
        <f>--402.44</f>
        <v>402.44</v>
      </c>
      <c r="Q13" s="2"/>
      <c r="R13" s="19"/>
      <c r="S13" s="2"/>
      <c r="T13" s="2">
        <f>--3334.01</f>
        <v>3334.01</v>
      </c>
      <c r="U13" s="2"/>
      <c r="V13" s="19"/>
      <c r="W13" s="2"/>
      <c r="X13" s="2">
        <f t="shared" si="2"/>
        <v>-2931.57</v>
      </c>
      <c r="Y13" s="2"/>
      <c r="Z13" s="19">
        <f t="shared" si="3"/>
        <v>-0.87929250362176481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--233.67</f>
        <v>233.67</v>
      </c>
      <c r="I14" s="2"/>
      <c r="J14" s="19"/>
      <c r="K14" s="2"/>
      <c r="L14" s="2">
        <f t="shared" si="0"/>
        <v>-233.67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--279.32</f>
        <v>279.32</v>
      </c>
      <c r="U14" s="2"/>
      <c r="V14" s="19"/>
      <c r="W14" s="2"/>
      <c r="X14" s="2">
        <f t="shared" si="2"/>
        <v>-279.32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--219014.08</f>
        <v>219014.08</v>
      </c>
      <c r="E15" s="2"/>
      <c r="F15" s="19"/>
      <c r="G15" s="2"/>
      <c r="H15" s="2">
        <f>--1416913.83</f>
        <v>1416913.83</v>
      </c>
      <c r="I15" s="2"/>
      <c r="J15" s="19"/>
      <c r="K15" s="2"/>
      <c r="L15" s="2">
        <f t="shared" si="0"/>
        <v>-1197899.75</v>
      </c>
      <c r="M15" s="2"/>
      <c r="N15" s="19">
        <f t="shared" si="1"/>
        <v>-0.84542879364795243</v>
      </c>
      <c r="O15" s="11"/>
      <c r="P15" s="2">
        <f>--260864.76</f>
        <v>260864.76</v>
      </c>
      <c r="Q15" s="2"/>
      <c r="R15" s="19"/>
      <c r="S15" s="2"/>
      <c r="T15" s="2">
        <f>--2311448.04</f>
        <v>2311448.04</v>
      </c>
      <c r="U15" s="2"/>
      <c r="V15" s="19"/>
      <c r="W15" s="2"/>
      <c r="X15" s="2">
        <f t="shared" si="2"/>
        <v>-2050583.28</v>
      </c>
      <c r="Y15" s="2"/>
      <c r="Z15" s="19">
        <f t="shared" si="3"/>
        <v>-0.88714227813660906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--3278.36</f>
        <v>3278.36</v>
      </c>
      <c r="E16" s="2"/>
      <c r="F16" s="19"/>
      <c r="G16" s="2"/>
      <c r="H16" s="2">
        <f>--39533.66</f>
        <v>39533.660000000003</v>
      </c>
      <c r="I16" s="2"/>
      <c r="J16" s="19"/>
      <c r="K16" s="2"/>
      <c r="L16" s="2">
        <f t="shared" si="0"/>
        <v>-36255.300000000003</v>
      </c>
      <c r="M16" s="2"/>
      <c r="N16" s="19">
        <f t="shared" si="1"/>
        <v>-0.91707420967347819</v>
      </c>
      <c r="O16" s="11"/>
      <c r="P16" s="2">
        <f>--30243.78</f>
        <v>30243.78</v>
      </c>
      <c r="Q16" s="2"/>
      <c r="R16" s="19"/>
      <c r="S16" s="2"/>
      <c r="T16" s="2">
        <f>--159285.58</f>
        <v>159285.57999999999</v>
      </c>
      <c r="U16" s="2"/>
      <c r="V16" s="19"/>
      <c r="W16" s="2"/>
      <c r="X16" s="2">
        <f t="shared" si="2"/>
        <v>-129041.79999999999</v>
      </c>
      <c r="Y16" s="2"/>
      <c r="Z16" s="19">
        <f t="shared" si="3"/>
        <v>-0.81012857535503213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--700.12</f>
        <v>700.12</v>
      </c>
      <c r="I17" s="2"/>
      <c r="J17" s="19"/>
      <c r="K17" s="2"/>
      <c r="L17" s="2">
        <f t="shared" si="0"/>
        <v>-700.12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--971.11</f>
        <v>971.11</v>
      </c>
      <c r="U17" s="2"/>
      <c r="V17" s="19"/>
      <c r="W17" s="2"/>
      <c r="X17" s="2">
        <f t="shared" si="2"/>
        <v>-971.11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6" t="s">
        <v>8</v>
      </c>
      <c r="C19" s="10"/>
      <c r="D19" s="4">
        <f>SUM(OSRRefD16x_0)</f>
        <v>43646.619999999995</v>
      </c>
      <c r="E19" s="4"/>
      <c r="F19" s="12">
        <f t="shared" ref="F19:F21" si="4">IF(D$12=0,0,D19/D$12)</f>
        <v>0.19629252288390392</v>
      </c>
      <c r="G19" s="4"/>
      <c r="H19" s="4">
        <f>SUM(OSRRefH16x_0)</f>
        <v>308220.23000000004</v>
      </c>
      <c r="I19" s="4"/>
      <c r="J19" s="12">
        <f t="shared" ref="J19:J21" si="5">IF(H$12=0,0,H19/H$12)</f>
        <v>0.21121348711754245</v>
      </c>
      <c r="K19" s="4"/>
      <c r="L19" s="4">
        <f t="shared" ref="L19:L21" si="6">+D19-H19</f>
        <v>-264573.61000000004</v>
      </c>
      <c r="M19" s="4"/>
      <c r="N19" s="12">
        <f t="shared" ref="N19:N21" si="7">IF(H19=0,0,L19/H19)</f>
        <v>-0.85839144951647073</v>
      </c>
      <c r="O19" s="10"/>
      <c r="P19" s="4">
        <f>SUM(OSRRefP16x_0)</f>
        <v>101408.83999999998</v>
      </c>
      <c r="Q19" s="4"/>
      <c r="R19" s="12">
        <f t="shared" ref="R19:R21" si="8">IF(P$12=0,0,P19/P$12)</f>
        <v>0.34787314014724247</v>
      </c>
      <c r="S19" s="4"/>
      <c r="T19" s="4">
        <f>SUM(OSRRefT16x_0)</f>
        <v>609071.32999999996</v>
      </c>
      <c r="U19" s="4"/>
      <c r="V19" s="12">
        <f t="shared" ref="V19:V21" si="9">IF(T$12=0,0,T19/T$12)</f>
        <v>0.24605780559771778</v>
      </c>
      <c r="W19" s="4"/>
      <c r="X19" s="4">
        <f t="shared" ref="X19:X21" si="10">+P19-T19</f>
        <v>-507662.49</v>
      </c>
      <c r="Y19" s="4"/>
      <c r="Z19" s="12">
        <f t="shared" ref="Z19:Z21" si="11">IF(T19=0,0,X19/T19)</f>
        <v>-0.83350252260273028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40326.199999999997</v>
      </c>
      <c r="E20" s="2"/>
      <c r="F20" s="19">
        <f t="shared" si="4"/>
        <v>0.18135955398885154</v>
      </c>
      <c r="G20" s="2"/>
      <c r="H20" s="2">
        <v>304869.08</v>
      </c>
      <c r="I20" s="2"/>
      <c r="J20" s="19">
        <f t="shared" si="5"/>
        <v>0.20891705097071991</v>
      </c>
      <c r="K20" s="2"/>
      <c r="L20" s="2">
        <f t="shared" si="6"/>
        <v>-264542.88</v>
      </c>
      <c r="M20" s="2"/>
      <c r="N20" s="19">
        <f t="shared" si="7"/>
        <v>-0.86772617282146158</v>
      </c>
      <c r="O20" s="11"/>
      <c r="P20" s="2">
        <v>124935.41999999998</v>
      </c>
      <c r="Q20" s="2"/>
      <c r="R20" s="19">
        <f t="shared" si="8"/>
        <v>0.42857877943396844</v>
      </c>
      <c r="S20" s="2"/>
      <c r="T20" s="2">
        <v>630005.13</v>
      </c>
      <c r="U20" s="2"/>
      <c r="V20" s="19">
        <f t="shared" si="9"/>
        <v>0.25451481980461127</v>
      </c>
      <c r="W20" s="2"/>
      <c r="X20" s="2">
        <f t="shared" si="10"/>
        <v>-505069.71</v>
      </c>
      <c r="Y20" s="2"/>
      <c r="Z20" s="19">
        <f t="shared" si="11"/>
        <v>-0.80169142432221152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3320.42</v>
      </c>
      <c r="E21" s="2"/>
      <c r="F21" s="19">
        <f t="shared" si="4"/>
        <v>1.4932968895052409E-2</v>
      </c>
      <c r="G21" s="2"/>
      <c r="H21" s="2">
        <v>3351.15</v>
      </c>
      <c r="I21" s="2"/>
      <c r="J21" s="19">
        <f t="shared" si="5"/>
        <v>2.2964361468225248E-3</v>
      </c>
      <c r="K21" s="2"/>
      <c r="L21" s="2">
        <f t="shared" si="6"/>
        <v>-30.730000000000018</v>
      </c>
      <c r="M21" s="2"/>
      <c r="N21" s="19">
        <f t="shared" si="7"/>
        <v>-9.1699864225713613E-3</v>
      </c>
      <c r="O21" s="11"/>
      <c r="P21" s="2">
        <v>-23526.58</v>
      </c>
      <c r="Q21" s="2"/>
      <c r="R21" s="19">
        <f t="shared" si="8"/>
        <v>-8.0705639286726027E-2</v>
      </c>
      <c r="S21" s="2"/>
      <c r="T21" s="2">
        <v>-20933.8</v>
      </c>
      <c r="U21" s="2"/>
      <c r="V21" s="19">
        <f t="shared" si="9"/>
        <v>-8.4570142068934769E-3</v>
      </c>
      <c r="W21" s="2"/>
      <c r="X21" s="2">
        <f t="shared" si="10"/>
        <v>-2592.7800000000025</v>
      </c>
      <c r="Y21" s="2"/>
      <c r="Z21" s="19">
        <f t="shared" si="11"/>
        <v>0.12385615607295392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5" t="s">
        <v>6</v>
      </c>
      <c r="C23" s="25"/>
      <c r="D23" s="22">
        <f>D12-D19</f>
        <v>178708.36</v>
      </c>
      <c r="E23" s="13"/>
      <c r="F23" s="21">
        <f>IF(D$12=0,0,D23/D$12)</f>
        <v>0.80370747711609603</v>
      </c>
      <c r="G23" s="13"/>
      <c r="H23" s="22">
        <f>H12-H19</f>
        <v>1151062.6700000002</v>
      </c>
      <c r="I23" s="13"/>
      <c r="J23" s="21">
        <f>IF(H$12=0,0,H23/H$12)</f>
        <v>0.7887865128824576</v>
      </c>
      <c r="K23" s="15"/>
      <c r="L23" s="22">
        <f>+D23-H23</f>
        <v>-972354.31000000017</v>
      </c>
      <c r="M23" s="15"/>
      <c r="N23" s="21">
        <f>IF(H23=0,0,L23/H23)</f>
        <v>-0.84474489125774532</v>
      </c>
      <c r="O23" s="26"/>
      <c r="P23" s="22">
        <f>P12-P19</f>
        <v>190102.14</v>
      </c>
      <c r="Q23" s="13"/>
      <c r="R23" s="21">
        <f>IF(P$12=0,0,P23/P$12)</f>
        <v>0.65212685985275765</v>
      </c>
      <c r="S23" s="13"/>
      <c r="T23" s="22">
        <f>T12-T19</f>
        <v>1866246.73</v>
      </c>
      <c r="U23" s="13"/>
      <c r="V23" s="21">
        <f>IF(T$12=0,0,T23/T$12)</f>
        <v>0.75394219440228216</v>
      </c>
      <c r="W23" s="15"/>
      <c r="X23" s="22">
        <f>+P23-T23</f>
        <v>-1676144.5899999999</v>
      </c>
      <c r="Y23" s="15"/>
      <c r="Z23" s="21">
        <f>IF(T23=0,0,X23/T23)</f>
        <v>-0.89813665205993409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6" t="s">
        <v>9</v>
      </c>
      <c r="C25" s="10"/>
      <c r="D25" s="20">
        <f>SUM(OSRRefD22x_0)</f>
        <v>241864.58</v>
      </c>
      <c r="E25" s="20"/>
      <c r="F25" s="36">
        <f t="shared" ref="F25:F35" si="12">IF(D$12=0,0,D25/D$12)</f>
        <v>1.08774078277896</v>
      </c>
      <c r="G25" s="20"/>
      <c r="H25" s="20">
        <f>SUM(OSRRefH22x_0)</f>
        <v>568917.11999999988</v>
      </c>
      <c r="I25" s="20"/>
      <c r="J25" s="36">
        <f t="shared" ref="J25:J35" si="13">IF(H$12=0,0,H25/H$12)</f>
        <v>0.38986074598695003</v>
      </c>
      <c r="K25" s="4"/>
      <c r="L25" s="20">
        <f t="shared" ref="L25:L35" si="14">+D25-H25</f>
        <v>-327052.53999999992</v>
      </c>
      <c r="M25" s="4"/>
      <c r="N25" s="36">
        <f t="shared" ref="N25:N35" si="15">IF(H25=0,0,L25/H25)</f>
        <v>-0.5748685151186872</v>
      </c>
      <c r="O25" s="10"/>
      <c r="P25" s="20">
        <f>SUM(OSRRefP22x_0)</f>
        <v>625926.92999999982</v>
      </c>
      <c r="Q25" s="20"/>
      <c r="R25" s="36">
        <f t="shared" ref="R25:R35" si="16">IF(P$12=0,0,P25/P$12)</f>
        <v>2.1471813171497001</v>
      </c>
      <c r="S25" s="20"/>
      <c r="T25" s="20">
        <f>SUM(OSRRefT22x_0)</f>
        <v>1344677.5299999996</v>
      </c>
      <c r="U25" s="20"/>
      <c r="V25" s="36">
        <f t="shared" ref="V25:V35" si="17">IF(T$12=0,0,T25/T$12)</f>
        <v>0.54323424198666392</v>
      </c>
      <c r="W25" s="4"/>
      <c r="X25" s="20">
        <f t="shared" ref="X25:X35" si="18">+P25-T25</f>
        <v>-718750.59999999974</v>
      </c>
      <c r="Y25" s="4"/>
      <c r="Z25" s="36">
        <f t="shared" ref="Z25:Z35" si="19">IF(T25=0,0,X25/T25)</f>
        <v>-0.53451521570379779</v>
      </c>
    </row>
    <row r="26" spans="1:26" s="27" customFormat="1" outlineLevel="1" collapsed="1" x14ac:dyDescent="0.25">
      <c r="A26" s="29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76244.08</v>
      </c>
      <c r="E26" s="1"/>
      <c r="F26" s="5">
        <f t="shared" si="12"/>
        <v>0.34289351198700391</v>
      </c>
      <c r="G26" s="1"/>
      <c r="H26" s="1">
        <f>SUM(OSRRefH22_0x_0)</f>
        <v>89749.02</v>
      </c>
      <c r="I26" s="1"/>
      <c r="J26" s="5">
        <f t="shared" si="13"/>
        <v>6.150213916712105E-2</v>
      </c>
      <c r="K26" s="1"/>
      <c r="L26" s="1">
        <f t="shared" si="14"/>
        <v>-13504.940000000002</v>
      </c>
      <c r="M26" s="1"/>
      <c r="N26" s="5">
        <f t="shared" si="15"/>
        <v>-0.15047451214509086</v>
      </c>
      <c r="O26" s="14"/>
      <c r="P26" s="1">
        <f>SUM(OSRRefP22_0x_0)</f>
        <v>220126.58999999997</v>
      </c>
      <c r="Q26" s="1"/>
      <c r="R26" s="5">
        <f t="shared" si="16"/>
        <v>0.75512280875320714</v>
      </c>
      <c r="S26" s="1"/>
      <c r="T26" s="1">
        <f>SUM(OSRRefT22_0x_0)</f>
        <v>277235.30999999994</v>
      </c>
      <c r="U26" s="1"/>
      <c r="V26" s="5">
        <f t="shared" si="17"/>
        <v>0.11199987366472006</v>
      </c>
      <c r="W26" s="1"/>
      <c r="X26" s="1">
        <f t="shared" si="18"/>
        <v>-57108.719999999972</v>
      </c>
      <c r="Y26" s="1"/>
      <c r="Z26" s="5">
        <f t="shared" si="19"/>
        <v>-0.2059936737495667</v>
      </c>
    </row>
    <row r="27" spans="1:26" s="24" customFormat="1" hidden="1" outlineLevel="2" x14ac:dyDescent="0.25">
      <c r="A27" s="28"/>
      <c r="B27" s="11" t="str">
        <f>CONCATENATE("          ", "6111", " - ", "F.I.C.A.")</f>
        <v xml:space="preserve">          6111 - F.I.C.A.</v>
      </c>
      <c r="C27" s="11"/>
      <c r="D27" s="7">
        <v>8222.0400000000009</v>
      </c>
      <c r="E27" s="2"/>
      <c r="F27" s="6">
        <f t="shared" si="12"/>
        <v>3.6977089516951687E-2</v>
      </c>
      <c r="G27" s="2"/>
      <c r="H27" s="7">
        <v>13110</v>
      </c>
      <c r="I27" s="2"/>
      <c r="J27" s="6">
        <f t="shared" si="13"/>
        <v>8.9838646091172578E-3</v>
      </c>
      <c r="K27" s="2"/>
      <c r="L27" s="7">
        <f t="shared" si="14"/>
        <v>-4887.9599999999991</v>
      </c>
      <c r="M27" s="2"/>
      <c r="N27" s="6">
        <f t="shared" si="15"/>
        <v>-0.37284210526315781</v>
      </c>
      <c r="O27" s="11"/>
      <c r="P27" s="7">
        <v>21585.69</v>
      </c>
      <c r="Q27" s="2"/>
      <c r="R27" s="6">
        <f t="shared" si="16"/>
        <v>7.4047605342344225E-2</v>
      </c>
      <c r="S27" s="2"/>
      <c r="T27" s="7">
        <v>39143.93</v>
      </c>
      <c r="U27" s="2"/>
      <c r="V27" s="6">
        <f t="shared" si="17"/>
        <v>1.5813697089092461E-2</v>
      </c>
      <c r="W27" s="2"/>
      <c r="X27" s="7">
        <f t="shared" si="18"/>
        <v>-17558.240000000002</v>
      </c>
      <c r="Y27" s="2"/>
      <c r="Z27" s="6">
        <f t="shared" si="19"/>
        <v>-0.44855588082239062</v>
      </c>
    </row>
    <row r="28" spans="1:26" s="24" customFormat="1" hidden="1" outlineLevel="2" x14ac:dyDescent="0.25">
      <c r="A28" s="28"/>
      <c r="B28" s="11" t="str">
        <f>CONCATENATE("          ", "6112", " - ", "COMPENSATION INSURANCE")</f>
        <v xml:space="preserve">          6112 - COMPENSATION INSURANCE</v>
      </c>
      <c r="C28" s="11"/>
      <c r="D28" s="7">
        <v>5274.71</v>
      </c>
      <c r="E28" s="2"/>
      <c r="F28" s="6">
        <f t="shared" si="12"/>
        <v>2.3722023226104495E-2</v>
      </c>
      <c r="G28" s="2"/>
      <c r="H28" s="7">
        <v>11226.08</v>
      </c>
      <c r="I28" s="2"/>
      <c r="J28" s="6">
        <f t="shared" si="13"/>
        <v>7.6928743563019885E-3</v>
      </c>
      <c r="K28" s="2"/>
      <c r="L28" s="7">
        <f t="shared" si="14"/>
        <v>-5951.37</v>
      </c>
      <c r="M28" s="2"/>
      <c r="N28" s="6">
        <f t="shared" si="15"/>
        <v>-0.53013785756025256</v>
      </c>
      <c r="O28" s="11"/>
      <c r="P28" s="7">
        <v>12709.34</v>
      </c>
      <c r="Q28" s="2"/>
      <c r="R28" s="6">
        <f t="shared" si="16"/>
        <v>4.3598151946111947E-2</v>
      </c>
      <c r="S28" s="2"/>
      <c r="T28" s="7">
        <v>25215.47</v>
      </c>
      <c r="U28" s="2"/>
      <c r="V28" s="6">
        <f t="shared" si="17"/>
        <v>1.018675959565374E-2</v>
      </c>
      <c r="W28" s="2"/>
      <c r="X28" s="7">
        <f t="shared" si="18"/>
        <v>-12506.130000000001</v>
      </c>
      <c r="Y28" s="2"/>
      <c r="Z28" s="6">
        <f t="shared" si="19"/>
        <v>-0.49597052920290602</v>
      </c>
    </row>
    <row r="29" spans="1:26" s="24" customFormat="1" hidden="1" outlineLevel="2" x14ac:dyDescent="0.25">
      <c r="A29" s="28"/>
      <c r="B29" s="11" t="str">
        <f>CONCATENATE("          ", "6113", " - ", "GROUP INSURANCE")</f>
        <v xml:space="preserve">          6113 - GROUP INSURANCE</v>
      </c>
      <c r="C29" s="11"/>
      <c r="D29" s="7">
        <v>44390.990000000005</v>
      </c>
      <c r="E29" s="2"/>
      <c r="F29" s="6">
        <f t="shared" si="12"/>
        <v>0.19964018795531366</v>
      </c>
      <c r="G29" s="2"/>
      <c r="H29" s="7">
        <v>45625.93</v>
      </c>
      <c r="I29" s="2"/>
      <c r="J29" s="6">
        <f t="shared" si="13"/>
        <v>3.1265993728837635E-2</v>
      </c>
      <c r="K29" s="2"/>
      <c r="L29" s="7">
        <f t="shared" si="14"/>
        <v>-1234.9399999999951</v>
      </c>
      <c r="M29" s="2"/>
      <c r="N29" s="6">
        <f t="shared" si="15"/>
        <v>-2.7066626367944612E-2</v>
      </c>
      <c r="O29" s="11"/>
      <c r="P29" s="7">
        <v>130473.06999999999</v>
      </c>
      <c r="Q29" s="2"/>
      <c r="R29" s="6">
        <f t="shared" si="16"/>
        <v>0.44757514794125425</v>
      </c>
      <c r="S29" s="2"/>
      <c r="T29" s="7">
        <v>135712.88999999998</v>
      </c>
      <c r="U29" s="2"/>
      <c r="V29" s="6">
        <f t="shared" si="17"/>
        <v>5.4826445212458871E-2</v>
      </c>
      <c r="W29" s="2"/>
      <c r="X29" s="7">
        <f t="shared" si="18"/>
        <v>-5239.8199999999924</v>
      </c>
      <c r="Y29" s="2"/>
      <c r="Z29" s="6">
        <f t="shared" si="19"/>
        <v>-3.8609597069224545E-2</v>
      </c>
    </row>
    <row r="30" spans="1:26" s="24" customFormat="1" hidden="1" outlineLevel="2" x14ac:dyDescent="0.25">
      <c r="A30" s="28"/>
      <c r="B30" s="11" t="str">
        <f>CONCATENATE("          ", "6114", " - ", "STATE UNEMPLOYMENT INSURANCE")</f>
        <v xml:space="preserve">          6114 - STATE UNEMPLOYMENT INSURANCE</v>
      </c>
      <c r="C30" s="11"/>
      <c r="D30" s="7">
        <v>319.66000000000003</v>
      </c>
      <c r="E30" s="2"/>
      <c r="F30" s="6">
        <f t="shared" si="12"/>
        <v>1.4376111567188648E-3</v>
      </c>
      <c r="G30" s="2"/>
      <c r="H30" s="7">
        <v>755.68</v>
      </c>
      <c r="I30" s="2"/>
      <c r="J30" s="6">
        <f t="shared" si="13"/>
        <v>5.1784338732400678E-4</v>
      </c>
      <c r="K30" s="2"/>
      <c r="L30" s="7">
        <f t="shared" si="14"/>
        <v>-436.01999999999992</v>
      </c>
      <c r="M30" s="2"/>
      <c r="N30" s="6">
        <f t="shared" si="15"/>
        <v>-0.57699026042769419</v>
      </c>
      <c r="O30" s="11"/>
      <c r="P30" s="7">
        <v>851.06</v>
      </c>
      <c r="Q30" s="2"/>
      <c r="R30" s="6">
        <f t="shared" si="16"/>
        <v>2.9194783675043734E-3</v>
      </c>
      <c r="S30" s="2"/>
      <c r="T30" s="7">
        <v>1696.23</v>
      </c>
      <c r="U30" s="2"/>
      <c r="V30" s="6">
        <f t="shared" si="17"/>
        <v>6.8525739274087464E-4</v>
      </c>
      <c r="W30" s="2"/>
      <c r="X30" s="7">
        <f t="shared" si="18"/>
        <v>-845.17000000000007</v>
      </c>
      <c r="Y30" s="2"/>
      <c r="Z30" s="6">
        <f t="shared" si="19"/>
        <v>-0.49826379677284333</v>
      </c>
    </row>
    <row r="31" spans="1:26" s="24" customFormat="1" hidden="1" outlineLevel="2" x14ac:dyDescent="0.25">
      <c r="A31" s="28"/>
      <c r="B31" s="11" t="str">
        <f>CONCATENATE("          ", "6115", " - ", "P.E.R.S.")</f>
        <v xml:space="preserve">          6115 - P.E.R.S.</v>
      </c>
      <c r="C31" s="11"/>
      <c r="D31" s="7">
        <v>3585.18</v>
      </c>
      <c r="E31" s="2"/>
      <c r="F31" s="6">
        <f t="shared" si="12"/>
        <v>1.6123677553792591E-2</v>
      </c>
      <c r="G31" s="2"/>
      <c r="H31" s="7">
        <v>3962.54</v>
      </c>
      <c r="I31" s="2"/>
      <c r="J31" s="6">
        <f t="shared" si="13"/>
        <v>2.7154022019993517E-3</v>
      </c>
      <c r="K31" s="2"/>
      <c r="L31" s="7">
        <f t="shared" si="14"/>
        <v>-377.36000000000013</v>
      </c>
      <c r="M31" s="2"/>
      <c r="N31" s="6">
        <f t="shared" si="15"/>
        <v>-9.5231846240037984E-2</v>
      </c>
      <c r="O31" s="11"/>
      <c r="P31" s="7">
        <v>12548.12</v>
      </c>
      <c r="Q31" s="2"/>
      <c r="R31" s="6">
        <f t="shared" si="16"/>
        <v>4.3045102452058587E-2</v>
      </c>
      <c r="S31" s="2"/>
      <c r="T31" s="7">
        <v>12140.4</v>
      </c>
      <c r="U31" s="2"/>
      <c r="V31" s="6">
        <f t="shared" si="17"/>
        <v>4.9045818378588481E-3</v>
      </c>
      <c r="W31" s="2"/>
      <c r="X31" s="7">
        <f t="shared" si="18"/>
        <v>407.72000000000116</v>
      </c>
      <c r="Y31" s="2"/>
      <c r="Z31" s="6">
        <f t="shared" si="19"/>
        <v>3.3583736944417082E-2</v>
      </c>
    </row>
    <row r="32" spans="1:26" s="24" customFormat="1" hidden="1" outlineLevel="2" x14ac:dyDescent="0.25">
      <c r="A32" s="28"/>
      <c r="B32" s="11" t="str">
        <f>CONCATENATE("          ", "6117", " - ", "RETIREMENT STAFF HOURLY")</f>
        <v xml:space="preserve">          6117 - RETIREMENT STAFF HOURLY</v>
      </c>
      <c r="C32" s="11"/>
      <c r="D32" s="7">
        <v>1526.6</v>
      </c>
      <c r="E32" s="2"/>
      <c r="F32" s="6">
        <f t="shared" si="12"/>
        <v>6.8655984228462074E-3</v>
      </c>
      <c r="G32" s="2"/>
      <c r="H32" s="7">
        <v>2285.4699999999998</v>
      </c>
      <c r="I32" s="2"/>
      <c r="J32" s="6">
        <f t="shared" si="13"/>
        <v>1.5661596527993301E-3</v>
      </c>
      <c r="K32" s="2"/>
      <c r="L32" s="7">
        <f t="shared" si="14"/>
        <v>-758.86999999999989</v>
      </c>
      <c r="M32" s="2"/>
      <c r="N32" s="6">
        <f t="shared" si="15"/>
        <v>-0.33204111189383362</v>
      </c>
      <c r="O32" s="11"/>
      <c r="P32" s="7">
        <v>4869.62</v>
      </c>
      <c r="Q32" s="2"/>
      <c r="R32" s="6">
        <f t="shared" si="16"/>
        <v>1.6704756712766018E-2</v>
      </c>
      <c r="S32" s="2"/>
      <c r="T32" s="7">
        <v>4832.78</v>
      </c>
      <c r="U32" s="2"/>
      <c r="V32" s="6">
        <f t="shared" si="17"/>
        <v>1.9523874842976743E-3</v>
      </c>
      <c r="W32" s="2"/>
      <c r="X32" s="7">
        <f t="shared" si="18"/>
        <v>36.840000000000146</v>
      </c>
      <c r="Y32" s="2"/>
      <c r="Z32" s="6">
        <f t="shared" si="19"/>
        <v>7.6229416609074167E-3</v>
      </c>
    </row>
    <row r="33" spans="1:26" s="24" customFormat="1" hidden="1" outlineLevel="2" x14ac:dyDescent="0.25">
      <c r="A33" s="28"/>
      <c r="B33" s="11" t="str">
        <f>CONCATENATE("          ", "6118", " - ", "VACATION")</f>
        <v xml:space="preserve">          6118 - VACATION</v>
      </c>
      <c r="C33" s="11"/>
      <c r="D33" s="7">
        <v>6416.14</v>
      </c>
      <c r="E33" s="2"/>
      <c r="F33" s="6">
        <f t="shared" si="12"/>
        <v>2.8855391500563651E-2</v>
      </c>
      <c r="G33" s="2"/>
      <c r="H33" s="7">
        <v>7564.06</v>
      </c>
      <c r="I33" s="2"/>
      <c r="J33" s="6">
        <f t="shared" si="13"/>
        <v>5.1834089195453466E-3</v>
      </c>
      <c r="K33" s="2"/>
      <c r="L33" s="7">
        <f t="shared" si="14"/>
        <v>-1147.92</v>
      </c>
      <c r="M33" s="2"/>
      <c r="N33" s="6">
        <f t="shared" si="15"/>
        <v>-0.1517597692244641</v>
      </c>
      <c r="O33" s="11"/>
      <c r="P33" s="7">
        <v>17737.41</v>
      </c>
      <c r="Q33" s="2"/>
      <c r="R33" s="6">
        <f t="shared" si="16"/>
        <v>6.0846455937954722E-2</v>
      </c>
      <c r="S33" s="2"/>
      <c r="T33" s="7">
        <v>25962.18</v>
      </c>
      <c r="U33" s="2"/>
      <c r="V33" s="6">
        <f t="shared" si="17"/>
        <v>1.0488421839414043E-2</v>
      </c>
      <c r="W33" s="2"/>
      <c r="X33" s="7">
        <f t="shared" si="18"/>
        <v>-8224.77</v>
      </c>
      <c r="Y33" s="2"/>
      <c r="Z33" s="6">
        <f t="shared" si="19"/>
        <v>-0.31679812712183647</v>
      </c>
    </row>
    <row r="34" spans="1:26" s="24" customFormat="1" hidden="1" outlineLevel="2" x14ac:dyDescent="0.25">
      <c r="A34" s="28"/>
      <c r="B34" s="11" t="str">
        <f>CONCATENATE("          ", "6119", " - ", "SICK LEAVE")</f>
        <v xml:space="preserve">          6119 - SICK LEAVE</v>
      </c>
      <c r="C34" s="11"/>
      <c r="D34" s="7">
        <v>4078.56</v>
      </c>
      <c r="E34" s="2"/>
      <c r="F34" s="6">
        <f t="shared" si="12"/>
        <v>1.8342561970053472E-2</v>
      </c>
      <c r="G34" s="2"/>
      <c r="H34" s="7">
        <v>1648.91</v>
      </c>
      <c r="I34" s="2"/>
      <c r="J34" s="6">
        <f t="shared" si="13"/>
        <v>1.1299453998947016E-3</v>
      </c>
      <c r="K34" s="2"/>
      <c r="L34" s="7">
        <f t="shared" si="14"/>
        <v>2429.6499999999996</v>
      </c>
      <c r="M34" s="2"/>
      <c r="N34" s="6">
        <f t="shared" si="15"/>
        <v>1.4734885469795196</v>
      </c>
      <c r="O34" s="11"/>
      <c r="P34" s="7">
        <v>12235.68</v>
      </c>
      <c r="Q34" s="2"/>
      <c r="R34" s="6">
        <f t="shared" si="16"/>
        <v>4.1973307489138148E-2</v>
      </c>
      <c r="S34" s="2"/>
      <c r="T34" s="7">
        <v>22823.329999999998</v>
      </c>
      <c r="U34" s="2"/>
      <c r="V34" s="6">
        <f t="shared" si="17"/>
        <v>9.2203625743351933E-3</v>
      </c>
      <c r="W34" s="2"/>
      <c r="X34" s="7">
        <f t="shared" si="18"/>
        <v>-10587.649999999998</v>
      </c>
      <c r="Y34" s="2"/>
      <c r="Z34" s="6">
        <f t="shared" si="19"/>
        <v>-0.46389593455468586</v>
      </c>
    </row>
    <row r="35" spans="1:26" s="24" customFormat="1" hidden="1" outlineLevel="2" x14ac:dyDescent="0.25">
      <c r="A35" s="28"/>
      <c r="B35" s="11" t="str">
        <f>CONCATENATE("          ", "6156", " - ", "EMPLOYEE MEALS")</f>
        <v xml:space="preserve">          6156 - EMPLOYEE MEALS</v>
      </c>
      <c r="C35" s="11"/>
      <c r="D35" s="7">
        <v>2430.1999999999998</v>
      </c>
      <c r="E35" s="2"/>
      <c r="F35" s="6">
        <f t="shared" si="12"/>
        <v>1.0929370684659278E-2</v>
      </c>
      <c r="G35" s="2"/>
      <c r="H35" s="7">
        <v>3570.35</v>
      </c>
      <c r="I35" s="2"/>
      <c r="J35" s="6">
        <f t="shared" si="13"/>
        <v>2.4466469113014343E-3</v>
      </c>
      <c r="K35" s="2"/>
      <c r="L35" s="7">
        <f t="shared" si="14"/>
        <v>-1140.1500000000001</v>
      </c>
      <c r="M35" s="2"/>
      <c r="N35" s="6">
        <f t="shared" si="15"/>
        <v>-0.31933844020894314</v>
      </c>
      <c r="O35" s="11"/>
      <c r="P35" s="7">
        <v>7116.6</v>
      </c>
      <c r="Q35" s="2"/>
      <c r="R35" s="6">
        <f t="shared" si="16"/>
        <v>2.4412802564074947E-2</v>
      </c>
      <c r="S35" s="2"/>
      <c r="T35" s="7">
        <v>9708.1</v>
      </c>
      <c r="U35" s="2"/>
      <c r="V35" s="6">
        <f t="shared" si="17"/>
        <v>3.921960638868364E-3</v>
      </c>
      <c r="W35" s="2"/>
      <c r="X35" s="7">
        <f t="shared" si="18"/>
        <v>-2591.5</v>
      </c>
      <c r="Y35" s="2"/>
      <c r="Z35" s="6">
        <f t="shared" si="19"/>
        <v>-0.26694203809190264</v>
      </c>
    </row>
    <row r="36" spans="1:26" s="27" customFormat="1" outlineLevel="1" collapsed="1" x14ac:dyDescent="0.25">
      <c r="A36" s="29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119920.17000000001</v>
      </c>
      <c r="E36" s="1"/>
      <c r="F36" s="5">
        <f t="shared" ref="F36:F43" si="20">IF(D$12=0,0,D36/D$12)</f>
        <v>0.53931857069268263</v>
      </c>
      <c r="G36" s="1"/>
      <c r="H36" s="1">
        <f>SUM(OSRRefH22_1x_0)</f>
        <v>290441.40000000002</v>
      </c>
      <c r="I36" s="1"/>
      <c r="J36" s="5">
        <f t="shared" ref="J36:J43" si="21">IF(H$12=0,0,H36/H$12)</f>
        <v>0.19903022230987563</v>
      </c>
      <c r="K36" s="1"/>
      <c r="L36" s="1">
        <f t="shared" ref="L36:L43" si="22">+D36-H36</f>
        <v>-170521.23</v>
      </c>
      <c r="M36" s="1"/>
      <c r="N36" s="5">
        <f t="shared" ref="N36:N43" si="23">IF(H36=0,0,L36/H36)</f>
        <v>-0.587110618527524</v>
      </c>
      <c r="O36" s="14"/>
      <c r="P36" s="1">
        <f>SUM(OSRRefP22_1x_0)</f>
        <v>294613.64999999997</v>
      </c>
      <c r="Q36" s="1"/>
      <c r="R36" s="5">
        <f t="shared" ref="R36:R43" si="24">IF(P$12=0,0,P36/P$12)</f>
        <v>1.0106434069824746</v>
      </c>
      <c r="S36" s="1"/>
      <c r="T36" s="1">
        <f>SUM(OSRRefT22_1x_0)</f>
        <v>688730.15999999992</v>
      </c>
      <c r="U36" s="1"/>
      <c r="V36" s="5">
        <f t="shared" ref="V36:V43" si="25">IF(T$12=0,0,T36/T$12)</f>
        <v>0.27823905587308645</v>
      </c>
      <c r="W36" s="1"/>
      <c r="X36" s="1">
        <f t="shared" ref="X36:X43" si="26">+P36-T36</f>
        <v>-394116.50999999995</v>
      </c>
      <c r="Y36" s="1"/>
      <c r="Z36" s="5">
        <f t="shared" ref="Z36:Z43" si="27">IF(T36=0,0,X36/T36)</f>
        <v>-0.57223646195485323</v>
      </c>
    </row>
    <row r="37" spans="1:26" s="24" customFormat="1" hidden="1" outlineLevel="2" x14ac:dyDescent="0.25">
      <c r="A37" s="28"/>
      <c r="B37" s="11" t="str">
        <f>CONCATENATE("          ", "6001", " - ", "ADMINISTRATIVE SALARIES")</f>
        <v xml:space="preserve">          6001 - ADMINISTRATIVE SALARIES</v>
      </c>
      <c r="C37" s="11"/>
      <c r="D37" s="7">
        <v>8959.5400000000009</v>
      </c>
      <c r="E37" s="2"/>
      <c r="F37" s="6">
        <f t="shared" si="20"/>
        <v>4.0293858046264591E-2</v>
      </c>
      <c r="G37" s="2"/>
      <c r="H37" s="7">
        <v>8145.04</v>
      </c>
      <c r="I37" s="2"/>
      <c r="J37" s="6">
        <f t="shared" si="21"/>
        <v>5.5815359722230689E-3</v>
      </c>
      <c r="K37" s="2"/>
      <c r="L37" s="7">
        <f t="shared" si="22"/>
        <v>814.50000000000091</v>
      </c>
      <c r="M37" s="2"/>
      <c r="N37" s="6">
        <f t="shared" si="23"/>
        <v>9.9999508903578241E-2</v>
      </c>
      <c r="O37" s="11"/>
      <c r="P37" s="7">
        <v>25534.799999999999</v>
      </c>
      <c r="Q37" s="2"/>
      <c r="R37" s="6">
        <f t="shared" si="24"/>
        <v>8.7594642232687092E-2</v>
      </c>
      <c r="S37" s="2"/>
      <c r="T37" s="7">
        <v>21176.85</v>
      </c>
      <c r="U37" s="2"/>
      <c r="V37" s="6">
        <f t="shared" si="25"/>
        <v>8.5552036088647129E-3</v>
      </c>
      <c r="W37" s="2"/>
      <c r="X37" s="7">
        <f t="shared" si="26"/>
        <v>4357.9500000000007</v>
      </c>
      <c r="Y37" s="2"/>
      <c r="Z37" s="6">
        <f t="shared" si="27"/>
        <v>0.20578839629123316</v>
      </c>
    </row>
    <row r="38" spans="1:26" s="24" customFormat="1" hidden="1" outlineLevel="2" x14ac:dyDescent="0.25">
      <c r="A38" s="28"/>
      <c r="B38" s="11" t="str">
        <f>CONCATENATE("          ", "6002", " - ", "STAFF SALARIES")</f>
        <v xml:space="preserve">          6002 - STAFF SALARIES</v>
      </c>
      <c r="C38" s="11"/>
      <c r="D38" s="7">
        <v>28059.710000000003</v>
      </c>
      <c r="E38" s="2"/>
      <c r="F38" s="6">
        <f t="shared" si="20"/>
        <v>0.12619330585714791</v>
      </c>
      <c r="G38" s="2"/>
      <c r="H38" s="7">
        <v>37762.21</v>
      </c>
      <c r="I38" s="2"/>
      <c r="J38" s="6">
        <f t="shared" si="21"/>
        <v>2.5877237374603648E-2</v>
      </c>
      <c r="K38" s="2"/>
      <c r="L38" s="7">
        <f t="shared" si="22"/>
        <v>-9702.4999999999964</v>
      </c>
      <c r="M38" s="2"/>
      <c r="N38" s="6">
        <f t="shared" si="23"/>
        <v>-0.25693676297017565</v>
      </c>
      <c r="O38" s="11"/>
      <c r="P38" s="7">
        <v>89923.83</v>
      </c>
      <c r="Q38" s="2"/>
      <c r="R38" s="6">
        <f t="shared" si="24"/>
        <v>0.30847493291676359</v>
      </c>
      <c r="S38" s="2"/>
      <c r="T38" s="7">
        <v>120589.31999999999</v>
      </c>
      <c r="U38" s="2"/>
      <c r="V38" s="6">
        <f t="shared" si="25"/>
        <v>4.8716697037309215E-2</v>
      </c>
      <c r="W38" s="2"/>
      <c r="X38" s="7">
        <f t="shared" si="26"/>
        <v>-30665.489999999991</v>
      </c>
      <c r="Y38" s="2"/>
      <c r="Z38" s="6">
        <f t="shared" si="27"/>
        <v>-0.25429689793424487</v>
      </c>
    </row>
    <row r="39" spans="1:26" s="24" customFormat="1" hidden="1" outlineLevel="2" x14ac:dyDescent="0.25">
      <c r="A39" s="28"/>
      <c r="B39" s="11" t="str">
        <f>CONCATENATE("          ", "6004", " - ", "STAFF HOURLY")</f>
        <v xml:space="preserve">          6004 - STAFF HOURLY</v>
      </c>
      <c r="C39" s="11"/>
      <c r="D39" s="7">
        <v>48764.51</v>
      </c>
      <c r="E39" s="2"/>
      <c r="F39" s="6">
        <f t="shared" si="20"/>
        <v>0.21930927744456188</v>
      </c>
      <c r="G39" s="2"/>
      <c r="H39" s="7">
        <v>63403.87999999999</v>
      </c>
      <c r="I39" s="2"/>
      <c r="J39" s="6">
        <f t="shared" si="21"/>
        <v>4.344865550058867E-2</v>
      </c>
      <c r="K39" s="2"/>
      <c r="L39" s="7">
        <f t="shared" si="22"/>
        <v>-14639.369999999988</v>
      </c>
      <c r="M39" s="2"/>
      <c r="N39" s="6">
        <f t="shared" si="23"/>
        <v>-0.23089075936677678</v>
      </c>
      <c r="O39" s="11"/>
      <c r="P39" s="7">
        <v>123645.51</v>
      </c>
      <c r="Q39" s="2"/>
      <c r="R39" s="6">
        <f t="shared" si="24"/>
        <v>0.4241538689211638</v>
      </c>
      <c r="S39" s="2"/>
      <c r="T39" s="7">
        <v>146921.47999999998</v>
      </c>
      <c r="U39" s="2"/>
      <c r="V39" s="6">
        <f t="shared" si="25"/>
        <v>5.935458653745692E-2</v>
      </c>
      <c r="W39" s="2"/>
      <c r="X39" s="7">
        <f t="shared" si="26"/>
        <v>-23275.969999999987</v>
      </c>
      <c r="Y39" s="2"/>
      <c r="Z39" s="6">
        <f t="shared" si="27"/>
        <v>-0.15842455439463304</v>
      </c>
    </row>
    <row r="40" spans="1:26" s="24" customFormat="1" hidden="1" outlineLevel="2" x14ac:dyDescent="0.25">
      <c r="A40" s="28"/>
      <c r="B40" s="11" t="str">
        <f>CONCATENATE("          ", "6005", " - ", "TEMPORARY WAGES-HOURLY")</f>
        <v xml:space="preserve">          6005 - TEMPORARY WAGES-HOURLY</v>
      </c>
      <c r="C40" s="11"/>
      <c r="D40" s="7">
        <v>13566.64</v>
      </c>
      <c r="E40" s="2"/>
      <c r="F40" s="6">
        <f t="shared" si="20"/>
        <v>6.1013429966803534E-2</v>
      </c>
      <c r="G40" s="2"/>
      <c r="H40" s="7">
        <v>54042.879999999997</v>
      </c>
      <c r="I40" s="2"/>
      <c r="J40" s="6">
        <f t="shared" si="21"/>
        <v>3.7033860946359333E-2</v>
      </c>
      <c r="K40" s="2"/>
      <c r="L40" s="7">
        <f t="shared" si="22"/>
        <v>-40476.239999999998</v>
      </c>
      <c r="M40" s="2"/>
      <c r="N40" s="6">
        <f t="shared" si="23"/>
        <v>-0.74896526609980818</v>
      </c>
      <c r="O40" s="11"/>
      <c r="P40" s="7">
        <v>14519.74</v>
      </c>
      <c r="Q40" s="2"/>
      <c r="R40" s="6">
        <f t="shared" si="24"/>
        <v>4.9808552665837835E-2</v>
      </c>
      <c r="S40" s="2"/>
      <c r="T40" s="7">
        <v>118567.32999999999</v>
      </c>
      <c r="U40" s="2"/>
      <c r="V40" s="6">
        <f t="shared" si="25"/>
        <v>4.7899836354767265E-2</v>
      </c>
      <c r="W40" s="2"/>
      <c r="X40" s="7">
        <f t="shared" si="26"/>
        <v>-104047.58999999998</v>
      </c>
      <c r="Y40" s="2"/>
      <c r="Z40" s="6">
        <f t="shared" si="27"/>
        <v>-0.87754012846540441</v>
      </c>
    </row>
    <row r="41" spans="1:26" s="24" customFormat="1" hidden="1" outlineLevel="2" x14ac:dyDescent="0.25">
      <c r="A41" s="28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5666.35</v>
      </c>
      <c r="I41" s="2"/>
      <c r="J41" s="6">
        <f t="shared" si="21"/>
        <v>3.8829688198223937E-3</v>
      </c>
      <c r="K41" s="2"/>
      <c r="L41" s="7">
        <f t="shared" si="22"/>
        <v>-5666.35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16942.230000000003</v>
      </c>
      <c r="U41" s="2"/>
      <c r="V41" s="6">
        <f t="shared" si="25"/>
        <v>6.8444658784576565E-3</v>
      </c>
      <c r="W41" s="2"/>
      <c r="X41" s="7">
        <f t="shared" si="26"/>
        <v>-16942.230000000003</v>
      </c>
      <c r="Y41" s="2"/>
      <c r="Z41" s="6">
        <f t="shared" si="27"/>
        <v>-1</v>
      </c>
    </row>
    <row r="42" spans="1:26" s="24" customFormat="1" hidden="1" outlineLevel="2" x14ac:dyDescent="0.25">
      <c r="A42" s="28"/>
      <c r="B42" s="11" t="str">
        <f>CONCATENATE("          ", "6007", " - ", "STUDENT HOURLY")</f>
        <v xml:space="preserve">          6007 - STUDENT HOURLY</v>
      </c>
      <c r="C42" s="11"/>
      <c r="D42" s="7">
        <v>17483.439999999999</v>
      </c>
      <c r="E42" s="2"/>
      <c r="F42" s="6">
        <f t="shared" si="20"/>
        <v>7.8628506543905602E-2</v>
      </c>
      <c r="G42" s="2"/>
      <c r="H42" s="7">
        <v>96594.540000000008</v>
      </c>
      <c r="I42" s="2"/>
      <c r="J42" s="6">
        <f t="shared" si="21"/>
        <v>6.6193155556061131E-2</v>
      </c>
      <c r="K42" s="2"/>
      <c r="L42" s="7">
        <f t="shared" si="22"/>
        <v>-79111.100000000006</v>
      </c>
      <c r="M42" s="2"/>
      <c r="N42" s="6">
        <f t="shared" si="23"/>
        <v>-0.81900177794728357</v>
      </c>
      <c r="O42" s="11"/>
      <c r="P42" s="7">
        <v>37287.11</v>
      </c>
      <c r="Q42" s="2"/>
      <c r="R42" s="6">
        <f t="shared" si="24"/>
        <v>0.12790979605639555</v>
      </c>
      <c r="S42" s="2"/>
      <c r="T42" s="7">
        <v>220669.95</v>
      </c>
      <c r="U42" s="2"/>
      <c r="V42" s="6">
        <f t="shared" si="25"/>
        <v>8.9148119413793636E-2</v>
      </c>
      <c r="W42" s="2"/>
      <c r="X42" s="7">
        <f t="shared" si="26"/>
        <v>-183382.84000000003</v>
      </c>
      <c r="Y42" s="2"/>
      <c r="Z42" s="6">
        <f t="shared" si="27"/>
        <v>-0.83102769543383692</v>
      </c>
    </row>
    <row r="43" spans="1:26" s="24" customFormat="1" hidden="1" outlineLevel="2" x14ac:dyDescent="0.25">
      <c r="A43" s="28"/>
      <c r="B43" s="11" t="str">
        <f>CONCATENATE("          ", "6008", " - ", "STUDENT HOURLY-FICA EXEMPT")</f>
        <v xml:space="preserve">          6008 - STUDENT HOURLY-FICA EXEMPT</v>
      </c>
      <c r="C43" s="11"/>
      <c r="D43" s="7">
        <v>3086.33</v>
      </c>
      <c r="E43" s="2"/>
      <c r="F43" s="6">
        <f t="shared" si="20"/>
        <v>1.3880192833999041E-2</v>
      </c>
      <c r="G43" s="2"/>
      <c r="H43" s="7">
        <v>24826.5</v>
      </c>
      <c r="I43" s="2"/>
      <c r="J43" s="6">
        <f t="shared" si="21"/>
        <v>1.7012808140217363E-2</v>
      </c>
      <c r="K43" s="2"/>
      <c r="L43" s="7">
        <f t="shared" si="22"/>
        <v>-21740.17</v>
      </c>
      <c r="M43" s="2"/>
      <c r="N43" s="6">
        <f t="shared" si="23"/>
        <v>-0.87568404728817995</v>
      </c>
      <c r="O43" s="11"/>
      <c r="P43" s="7">
        <v>3702.66</v>
      </c>
      <c r="Q43" s="2"/>
      <c r="R43" s="6">
        <f t="shared" si="24"/>
        <v>1.2701614189626752E-2</v>
      </c>
      <c r="S43" s="2"/>
      <c r="T43" s="7">
        <v>43863</v>
      </c>
      <c r="U43" s="2"/>
      <c r="V43" s="6">
        <f t="shared" si="25"/>
        <v>1.7720147042437042E-2</v>
      </c>
      <c r="W43" s="2"/>
      <c r="X43" s="7">
        <f t="shared" si="26"/>
        <v>-40160.339999999997</v>
      </c>
      <c r="Y43" s="2"/>
      <c r="Z43" s="6">
        <f t="shared" si="27"/>
        <v>-0.91558580124478484</v>
      </c>
    </row>
    <row r="44" spans="1:26" s="27" customFormat="1" outlineLevel="1" collapsed="1" x14ac:dyDescent="0.25">
      <c r="A44" s="29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7" si="28">IF(D$12=0,0,D44/D$12)</f>
        <v>0</v>
      </c>
      <c r="G44" s="1"/>
      <c r="H44" s="1">
        <f>SUM(OSRRefH22_2x_0)</f>
        <v>95.17</v>
      </c>
      <c r="I44" s="1"/>
      <c r="J44" s="5">
        <f t="shared" ref="J44:J67" si="29">IF(H$12=0,0,H44/H$12)</f>
        <v>6.521696375665061E-5</v>
      </c>
      <c r="K44" s="1"/>
      <c r="L44" s="1">
        <f t="shared" ref="L44:L67" si="30">+D44-H44</f>
        <v>-95.17</v>
      </c>
      <c r="M44" s="1"/>
      <c r="N44" s="5">
        <f t="shared" ref="N44:N67" si="31">IF(H44=0,0,L44/H44)</f>
        <v>-1</v>
      </c>
      <c r="O44" s="14"/>
      <c r="P44" s="1">
        <f>SUM(OSRRefP22_2x_0)</f>
        <v>1429</v>
      </c>
      <c r="Q44" s="1"/>
      <c r="R44" s="5">
        <f t="shared" ref="R44:R67" si="32">IF(P$12=0,0,P44/P$12)</f>
        <v>4.9020451991208022E-3</v>
      </c>
      <c r="S44" s="1"/>
      <c r="T44" s="1">
        <f>SUM(OSRRefT22_2x_0)</f>
        <v>6882.37</v>
      </c>
      <c r="U44" s="1"/>
      <c r="V44" s="5">
        <f t="shared" ref="V44:V67" si="33">IF(T$12=0,0,T44/T$12)</f>
        <v>2.7803982491041977E-3</v>
      </c>
      <c r="W44" s="1"/>
      <c r="X44" s="1">
        <f t="shared" ref="X44:X67" si="34">+P44-T44</f>
        <v>-5453.37</v>
      </c>
      <c r="Y44" s="1"/>
      <c r="Z44" s="5">
        <f t="shared" ref="Z44:Z67" si="35">IF(T44=0,0,X44/T44)</f>
        <v>-0.79236803601085093</v>
      </c>
    </row>
    <row r="45" spans="1:26" s="24" customFormat="1" hidden="1" outlineLevel="2" x14ac:dyDescent="0.25">
      <c r="A45" s="28"/>
      <c r="B45" s="11" t="str">
        <f>CONCATENATE("          ", "6362", " - ", "ADVERTISING EXPENSE")</f>
        <v xml:space="preserve">          6362 - ADVERTISING EXPENSE</v>
      </c>
      <c r="C45" s="11"/>
      <c r="D45" s="7"/>
      <c r="E45" s="2"/>
      <c r="F45" s="6">
        <f t="shared" si="28"/>
        <v>0</v>
      </c>
      <c r="G45" s="2"/>
      <c r="H45" s="7">
        <v>95.17</v>
      </c>
      <c r="I45" s="2"/>
      <c r="J45" s="6">
        <f t="shared" si="29"/>
        <v>6.521696375665061E-5</v>
      </c>
      <c r="K45" s="2"/>
      <c r="L45" s="7">
        <f t="shared" si="30"/>
        <v>-95.17</v>
      </c>
      <c r="M45" s="2"/>
      <c r="N45" s="6">
        <f t="shared" si="31"/>
        <v>-1</v>
      </c>
      <c r="O45" s="11"/>
      <c r="P45" s="7">
        <v>1429</v>
      </c>
      <c r="Q45" s="2"/>
      <c r="R45" s="6">
        <f t="shared" si="32"/>
        <v>4.9020451991208022E-3</v>
      </c>
      <c r="S45" s="2"/>
      <c r="T45" s="7">
        <v>6882.37</v>
      </c>
      <c r="U45" s="2"/>
      <c r="V45" s="6">
        <f t="shared" si="33"/>
        <v>2.7803982491041977E-3</v>
      </c>
      <c r="W45" s="2"/>
      <c r="X45" s="7">
        <f t="shared" si="34"/>
        <v>-5453.37</v>
      </c>
      <c r="Y45" s="2"/>
      <c r="Z45" s="6">
        <f t="shared" si="35"/>
        <v>-0.79236803601085093</v>
      </c>
    </row>
    <row r="46" spans="1:26" s="27" customFormat="1" outlineLevel="1" collapsed="1" x14ac:dyDescent="0.25">
      <c r="A46" s="29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29.74</v>
      </c>
      <c r="E46" s="1"/>
      <c r="F46" s="5">
        <f t="shared" si="28"/>
        <v>1.3375009635493661E-4</v>
      </c>
      <c r="G46" s="1"/>
      <c r="H46" s="1">
        <f>SUM(OSRRefH22_3x_0)</f>
        <v>19.36</v>
      </c>
      <c r="I46" s="1"/>
      <c r="J46" s="5">
        <f t="shared" si="29"/>
        <v>1.3266790147407332E-5</v>
      </c>
      <c r="K46" s="1"/>
      <c r="L46" s="1">
        <f t="shared" si="30"/>
        <v>10.379999999999999</v>
      </c>
      <c r="M46" s="1"/>
      <c r="N46" s="5">
        <f t="shared" si="31"/>
        <v>0.53615702479338845</v>
      </c>
      <c r="O46" s="14"/>
      <c r="P46" s="1">
        <f>SUM(OSRRefP22_3x_0)</f>
        <v>61.74</v>
      </c>
      <c r="Q46" s="1"/>
      <c r="R46" s="5">
        <f t="shared" si="32"/>
        <v>2.1179305150015277E-4</v>
      </c>
      <c r="S46" s="1"/>
      <c r="T46" s="1">
        <f>SUM(OSRRefT22_3x_0)</f>
        <v>16.97</v>
      </c>
      <c r="U46" s="1"/>
      <c r="V46" s="5">
        <f t="shared" si="33"/>
        <v>6.8556846387651687E-6</v>
      </c>
      <c r="W46" s="1"/>
      <c r="X46" s="1">
        <f t="shared" si="34"/>
        <v>44.77</v>
      </c>
      <c r="Y46" s="1"/>
      <c r="Z46" s="5">
        <f t="shared" si="35"/>
        <v>2.6381850324101359</v>
      </c>
    </row>
    <row r="47" spans="1:26" s="24" customFormat="1" hidden="1" outlineLevel="2" x14ac:dyDescent="0.25">
      <c r="A47" s="28"/>
      <c r="B47" s="11" t="str">
        <f>CONCATENATE("          ", "6272", " - ", "CASH (OVER/SHORT)")</f>
        <v xml:space="preserve">          6272 - CASH (OVER/SHORT)</v>
      </c>
      <c r="C47" s="11"/>
      <c r="D47" s="7">
        <v>29.74</v>
      </c>
      <c r="E47" s="2"/>
      <c r="F47" s="6">
        <f t="shared" si="28"/>
        <v>1.3375009635493661E-4</v>
      </c>
      <c r="G47" s="2"/>
      <c r="H47" s="7">
        <v>19.36</v>
      </c>
      <c r="I47" s="2"/>
      <c r="J47" s="6">
        <f t="shared" si="29"/>
        <v>1.3266790147407332E-5</v>
      </c>
      <c r="K47" s="2"/>
      <c r="L47" s="7">
        <f t="shared" si="30"/>
        <v>10.379999999999999</v>
      </c>
      <c r="M47" s="2"/>
      <c r="N47" s="6">
        <f t="shared" si="31"/>
        <v>0.53615702479338845</v>
      </c>
      <c r="O47" s="11"/>
      <c r="P47" s="7">
        <v>61.74</v>
      </c>
      <c r="Q47" s="2"/>
      <c r="R47" s="6">
        <f t="shared" si="32"/>
        <v>2.1179305150015277E-4</v>
      </c>
      <c r="S47" s="2"/>
      <c r="T47" s="7">
        <v>16.97</v>
      </c>
      <c r="U47" s="2"/>
      <c r="V47" s="6">
        <f t="shared" si="33"/>
        <v>6.8556846387651687E-6</v>
      </c>
      <c r="W47" s="2"/>
      <c r="X47" s="7">
        <f t="shared" si="34"/>
        <v>44.77</v>
      </c>
      <c r="Y47" s="2"/>
      <c r="Z47" s="6">
        <f t="shared" si="35"/>
        <v>2.6381850324101359</v>
      </c>
    </row>
    <row r="48" spans="1:26" s="27" customFormat="1" outlineLevel="1" collapsed="1" x14ac:dyDescent="0.25">
      <c r="A48" s="29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28"/>
        <v>0</v>
      </c>
      <c r="G48" s="1"/>
      <c r="H48" s="1">
        <f>SUM(OSRRefH22_4x_0)</f>
        <v>425.23</v>
      </c>
      <c r="I48" s="1"/>
      <c r="J48" s="5">
        <f t="shared" si="29"/>
        <v>2.913965482635341E-4</v>
      </c>
      <c r="K48" s="1"/>
      <c r="L48" s="1">
        <f t="shared" si="30"/>
        <v>-425.23</v>
      </c>
      <c r="M48" s="1"/>
      <c r="N48" s="5">
        <f t="shared" si="31"/>
        <v>-1</v>
      </c>
      <c r="O48" s="14"/>
      <c r="P48" s="1">
        <f>SUM(OSRRefP22_4x_0)</f>
        <v>0</v>
      </c>
      <c r="Q48" s="1"/>
      <c r="R48" s="5">
        <f t="shared" si="32"/>
        <v>0</v>
      </c>
      <c r="S48" s="1"/>
      <c r="T48" s="1">
        <f>SUM(OSRRefT22_4x_0)</f>
        <v>986</v>
      </c>
      <c r="U48" s="1"/>
      <c r="V48" s="5">
        <f t="shared" si="33"/>
        <v>3.9833264901723378E-4</v>
      </c>
      <c r="W48" s="1"/>
      <c r="X48" s="1">
        <f t="shared" si="34"/>
        <v>-986</v>
      </c>
      <c r="Y48" s="1"/>
      <c r="Z48" s="5">
        <f t="shared" si="35"/>
        <v>-1</v>
      </c>
    </row>
    <row r="49" spans="1:26" s="24" customFormat="1" hidden="1" outlineLevel="2" x14ac:dyDescent="0.25">
      <c r="A49" s="28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28"/>
        <v>0</v>
      </c>
      <c r="G49" s="2"/>
      <c r="H49" s="7">
        <v>425.23</v>
      </c>
      <c r="I49" s="2"/>
      <c r="J49" s="6">
        <f t="shared" si="29"/>
        <v>2.913965482635341E-4</v>
      </c>
      <c r="K49" s="2"/>
      <c r="L49" s="7">
        <f t="shared" si="30"/>
        <v>-425.23</v>
      </c>
      <c r="M49" s="2"/>
      <c r="N49" s="6">
        <f t="shared" si="31"/>
        <v>-1</v>
      </c>
      <c r="O49" s="11"/>
      <c r="P49" s="7"/>
      <c r="Q49" s="2"/>
      <c r="R49" s="6">
        <f t="shared" si="32"/>
        <v>0</v>
      </c>
      <c r="S49" s="2"/>
      <c r="T49" s="7">
        <v>986</v>
      </c>
      <c r="U49" s="2"/>
      <c r="V49" s="6">
        <f t="shared" si="33"/>
        <v>3.9833264901723378E-4</v>
      </c>
      <c r="W49" s="2"/>
      <c r="X49" s="7">
        <f t="shared" si="34"/>
        <v>-986</v>
      </c>
      <c r="Y49" s="2"/>
      <c r="Z49" s="6">
        <f t="shared" si="35"/>
        <v>-1</v>
      </c>
    </row>
    <row r="50" spans="1:26" s="27" customFormat="1" outlineLevel="1" collapsed="1" x14ac:dyDescent="0.25">
      <c r="A50" s="29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758.5</v>
      </c>
      <c r="E50" s="1"/>
      <c r="F50" s="5">
        <f t="shared" si="28"/>
        <v>3.4112121077746944E-3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758.5</v>
      </c>
      <c r="M50" s="1"/>
      <c r="N50" s="5">
        <f t="shared" si="31"/>
        <v>0</v>
      </c>
      <c r="O50" s="14"/>
      <c r="P50" s="1">
        <f>SUM(OSRRefP22_5x_0)</f>
        <v>1747.06</v>
      </c>
      <c r="Q50" s="1"/>
      <c r="R50" s="5">
        <f t="shared" si="32"/>
        <v>5.9931190241959325E-3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1747.06</v>
      </c>
      <c r="Y50" s="1"/>
      <c r="Z50" s="5">
        <f t="shared" si="35"/>
        <v>0</v>
      </c>
    </row>
    <row r="51" spans="1:26" s="24" customFormat="1" hidden="1" outlineLevel="2" x14ac:dyDescent="0.25">
      <c r="A51" s="28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758.5</v>
      </c>
      <c r="E51" s="2"/>
      <c r="F51" s="6">
        <f t="shared" si="28"/>
        <v>3.4112121077746944E-3</v>
      </c>
      <c r="G51" s="2"/>
      <c r="H51" s="7"/>
      <c r="I51" s="2"/>
      <c r="J51" s="6">
        <f t="shared" si="29"/>
        <v>0</v>
      </c>
      <c r="K51" s="2"/>
      <c r="L51" s="7">
        <f t="shared" si="30"/>
        <v>758.5</v>
      </c>
      <c r="M51" s="2"/>
      <c r="N51" s="6">
        <f t="shared" si="31"/>
        <v>0</v>
      </c>
      <c r="O51" s="11"/>
      <c r="P51" s="7">
        <v>1747.06</v>
      </c>
      <c r="Q51" s="2"/>
      <c r="R51" s="6">
        <f t="shared" si="32"/>
        <v>5.9931190241959325E-3</v>
      </c>
      <c r="S51" s="2"/>
      <c r="T51" s="7"/>
      <c r="U51" s="2"/>
      <c r="V51" s="6">
        <f t="shared" si="33"/>
        <v>0</v>
      </c>
      <c r="W51" s="2"/>
      <c r="X51" s="7">
        <f t="shared" si="34"/>
        <v>1747.06</v>
      </c>
      <c r="Y51" s="2"/>
      <c r="Z51" s="6">
        <f t="shared" si="35"/>
        <v>0</v>
      </c>
    </row>
    <row r="52" spans="1:26" s="27" customFormat="1" outlineLevel="1" collapsed="1" x14ac:dyDescent="0.25">
      <c r="A52" s="29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8888.07</v>
      </c>
      <c r="E52" s="1"/>
      <c r="F52" s="5">
        <f t="shared" si="28"/>
        <v>3.9972435067566287E-2</v>
      </c>
      <c r="G52" s="1"/>
      <c r="H52" s="1">
        <f>SUM(OSRRefH22_6x_0)</f>
        <v>18816</v>
      </c>
      <c r="I52" s="1"/>
      <c r="J52" s="5">
        <f t="shared" si="29"/>
        <v>1.2894004308554563E-2</v>
      </c>
      <c r="K52" s="1"/>
      <c r="L52" s="1">
        <f t="shared" si="30"/>
        <v>-9927.93</v>
      </c>
      <c r="M52" s="1"/>
      <c r="N52" s="5">
        <f t="shared" si="31"/>
        <v>-0.5276323341836735</v>
      </c>
      <c r="O52" s="14"/>
      <c r="P52" s="1">
        <f>SUM(OSRRefP22_6x_0)</f>
        <v>11110.09</v>
      </c>
      <c r="Q52" s="1"/>
      <c r="R52" s="5">
        <f t="shared" si="32"/>
        <v>3.8112080718194566E-2</v>
      </c>
      <c r="S52" s="1"/>
      <c r="T52" s="1">
        <f>SUM(OSRRefT22_6x_0)</f>
        <v>26596.75</v>
      </c>
      <c r="U52" s="1"/>
      <c r="V52" s="5">
        <f t="shared" si="33"/>
        <v>1.0744780814147172E-2</v>
      </c>
      <c r="W52" s="1"/>
      <c r="X52" s="1">
        <f t="shared" si="34"/>
        <v>-15486.66</v>
      </c>
      <c r="Y52" s="1"/>
      <c r="Z52" s="5">
        <f t="shared" si="35"/>
        <v>-0.58227640595185504</v>
      </c>
    </row>
    <row r="53" spans="1:26" s="24" customFormat="1" hidden="1" outlineLevel="2" x14ac:dyDescent="0.25">
      <c r="A53" s="28"/>
      <c r="B53" s="11" t="str">
        <f>CONCATENATE("          ", "6399", " - ", "DONATION-ON CAMPUS")</f>
        <v xml:space="preserve">          6399 - DONATION-ON CAMPUS</v>
      </c>
      <c r="C53" s="11"/>
      <c r="D53" s="7">
        <v>8888.07</v>
      </c>
      <c r="E53" s="2"/>
      <c r="F53" s="6">
        <f t="shared" si="28"/>
        <v>3.9972435067566287E-2</v>
      </c>
      <c r="G53" s="2"/>
      <c r="H53" s="7">
        <v>18816</v>
      </c>
      <c r="I53" s="2"/>
      <c r="J53" s="6">
        <f t="shared" si="29"/>
        <v>1.2894004308554563E-2</v>
      </c>
      <c r="K53" s="2"/>
      <c r="L53" s="7">
        <f t="shared" si="30"/>
        <v>-9927.93</v>
      </c>
      <c r="M53" s="2"/>
      <c r="N53" s="6">
        <f t="shared" si="31"/>
        <v>-0.5276323341836735</v>
      </c>
      <c r="O53" s="11"/>
      <c r="P53" s="7">
        <v>11110.09</v>
      </c>
      <c r="Q53" s="2"/>
      <c r="R53" s="6">
        <f t="shared" si="32"/>
        <v>3.8112080718194566E-2</v>
      </c>
      <c r="S53" s="2"/>
      <c r="T53" s="7">
        <v>26596.75</v>
      </c>
      <c r="U53" s="2"/>
      <c r="V53" s="6">
        <f t="shared" si="33"/>
        <v>1.0744780814147172E-2</v>
      </c>
      <c r="W53" s="2"/>
      <c r="X53" s="7">
        <f t="shared" si="34"/>
        <v>-15486.66</v>
      </c>
      <c r="Y53" s="2"/>
      <c r="Z53" s="6">
        <f t="shared" si="35"/>
        <v>-0.58227640595185504</v>
      </c>
    </row>
    <row r="54" spans="1:26" s="27" customFormat="1" outlineLevel="1" collapsed="1" x14ac:dyDescent="0.25">
      <c r="A54" s="29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735.24</v>
      </c>
      <c r="I54" s="1"/>
      <c r="J54" s="5">
        <f t="shared" si="29"/>
        <v>5.03836507643583E-4</v>
      </c>
      <c r="K54" s="1"/>
      <c r="L54" s="1">
        <f t="shared" si="30"/>
        <v>-735.24</v>
      </c>
      <c r="M54" s="1"/>
      <c r="N54" s="5">
        <f t="shared" si="31"/>
        <v>-1</v>
      </c>
      <c r="O54" s="14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848.3</v>
      </c>
      <c r="U54" s="1"/>
      <c r="V54" s="5">
        <f t="shared" si="33"/>
        <v>3.4270343424068901E-4</v>
      </c>
      <c r="W54" s="1"/>
      <c r="X54" s="1">
        <f t="shared" si="34"/>
        <v>-848.3</v>
      </c>
      <c r="Y54" s="1"/>
      <c r="Z54" s="5">
        <f t="shared" si="35"/>
        <v>-1</v>
      </c>
    </row>
    <row r="55" spans="1:26" s="24" customFormat="1" hidden="1" outlineLevel="2" x14ac:dyDescent="0.25">
      <c r="A55" s="28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735.24</v>
      </c>
      <c r="I55" s="2"/>
      <c r="J55" s="6">
        <f t="shared" si="29"/>
        <v>5.03836507643583E-4</v>
      </c>
      <c r="K55" s="2"/>
      <c r="L55" s="7">
        <f t="shared" si="30"/>
        <v>-735.24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848.3</v>
      </c>
      <c r="U55" s="2"/>
      <c r="V55" s="6">
        <f t="shared" si="33"/>
        <v>3.4270343424068901E-4</v>
      </c>
      <c r="W55" s="2"/>
      <c r="X55" s="7">
        <f t="shared" si="34"/>
        <v>-848.3</v>
      </c>
      <c r="Y55" s="2"/>
      <c r="Z55" s="6">
        <f t="shared" si="35"/>
        <v>-1</v>
      </c>
    </row>
    <row r="56" spans="1:26" s="27" customFormat="1" outlineLevel="1" collapsed="1" x14ac:dyDescent="0.25">
      <c r="A56" s="29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601.91999999999996</v>
      </c>
      <c r="E56" s="1"/>
      <c r="F56" s="5">
        <f t="shared" si="28"/>
        <v>2.7070227975105393E-3</v>
      </c>
      <c r="G56" s="1"/>
      <c r="H56" s="1">
        <f>SUM(OSRRefH22_8x_0)</f>
        <v>-1455.85</v>
      </c>
      <c r="I56" s="1"/>
      <c r="J56" s="5">
        <f t="shared" si="29"/>
        <v>-9.9764754318713649E-4</v>
      </c>
      <c r="K56" s="1"/>
      <c r="L56" s="1">
        <f t="shared" si="30"/>
        <v>2057.77</v>
      </c>
      <c r="M56" s="1"/>
      <c r="N56" s="5">
        <f t="shared" si="31"/>
        <v>-1.4134491877597282</v>
      </c>
      <c r="O56" s="14"/>
      <c r="P56" s="1">
        <f>SUM(OSRRefP22_8x_0)</f>
        <v>1658.68</v>
      </c>
      <c r="Q56" s="1"/>
      <c r="R56" s="5">
        <f t="shared" si="32"/>
        <v>5.6899400495995043E-3</v>
      </c>
      <c r="S56" s="1"/>
      <c r="T56" s="1">
        <f>SUM(OSRRefT22_8x_0)</f>
        <v>1245.22</v>
      </c>
      <c r="U56" s="1"/>
      <c r="V56" s="5">
        <f t="shared" si="33"/>
        <v>5.0305454483695719E-4</v>
      </c>
      <c r="W56" s="1"/>
      <c r="X56" s="1">
        <f t="shared" si="34"/>
        <v>413.46000000000004</v>
      </c>
      <c r="Y56" s="1"/>
      <c r="Z56" s="5">
        <f t="shared" si="35"/>
        <v>0.3320377122114968</v>
      </c>
    </row>
    <row r="57" spans="1:26" s="24" customFormat="1" hidden="1" outlineLevel="2" x14ac:dyDescent="0.25">
      <c r="A57" s="28"/>
      <c r="B57" s="11" t="str">
        <f>CONCATENATE("          ", "6351", " - ", "EQUIPMENT RENTAL")</f>
        <v xml:space="preserve">          6351 - EQUIPMENT RENTAL</v>
      </c>
      <c r="C57" s="11"/>
      <c r="D57" s="7">
        <v>601.91999999999996</v>
      </c>
      <c r="E57" s="2"/>
      <c r="F57" s="6">
        <f t="shared" si="28"/>
        <v>2.7070227975105393E-3</v>
      </c>
      <c r="G57" s="2"/>
      <c r="H57" s="7">
        <v>-1455.85</v>
      </c>
      <c r="I57" s="2"/>
      <c r="J57" s="6">
        <f t="shared" si="29"/>
        <v>-9.9764754318713649E-4</v>
      </c>
      <c r="K57" s="2"/>
      <c r="L57" s="7">
        <f t="shared" si="30"/>
        <v>2057.77</v>
      </c>
      <c r="M57" s="2"/>
      <c r="N57" s="6">
        <f t="shared" si="31"/>
        <v>-1.4134491877597282</v>
      </c>
      <c r="O57" s="11"/>
      <c r="P57" s="7">
        <v>1658.68</v>
      </c>
      <c r="Q57" s="2"/>
      <c r="R57" s="6">
        <f t="shared" si="32"/>
        <v>5.6899400495995043E-3</v>
      </c>
      <c r="S57" s="2"/>
      <c r="T57" s="7">
        <v>1245.22</v>
      </c>
      <c r="U57" s="2"/>
      <c r="V57" s="6">
        <f t="shared" si="33"/>
        <v>5.0305454483695719E-4</v>
      </c>
      <c r="W57" s="2"/>
      <c r="X57" s="7">
        <f t="shared" si="34"/>
        <v>413.46000000000004</v>
      </c>
      <c r="Y57" s="2"/>
      <c r="Z57" s="6">
        <f t="shared" si="35"/>
        <v>0.3320377122114968</v>
      </c>
    </row>
    <row r="58" spans="1:26" s="27" customFormat="1" outlineLevel="1" collapsed="1" x14ac:dyDescent="0.25">
      <c r="A58" s="29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1.65</v>
      </c>
      <c r="E58" s="1"/>
      <c r="F58" s="5">
        <f t="shared" si="28"/>
        <v>7.4205668791407324E-6</v>
      </c>
      <c r="G58" s="1"/>
      <c r="H58" s="1">
        <f>SUM(OSRRefH22_9x_0)</f>
        <v>84</v>
      </c>
      <c r="I58" s="1"/>
      <c r="J58" s="5">
        <f t="shared" si="29"/>
        <v>5.7562519234618587E-5</v>
      </c>
      <c r="K58" s="1"/>
      <c r="L58" s="1">
        <f t="shared" si="30"/>
        <v>-82.35</v>
      </c>
      <c r="M58" s="1"/>
      <c r="N58" s="5">
        <f t="shared" si="31"/>
        <v>-0.98035714285714282</v>
      </c>
      <c r="O58" s="14"/>
      <c r="P58" s="1">
        <f>SUM(OSRRefP22_9x_0)</f>
        <v>6380.95</v>
      </c>
      <c r="Q58" s="1"/>
      <c r="R58" s="5">
        <f t="shared" si="32"/>
        <v>2.1889226951245542E-2</v>
      </c>
      <c r="S58" s="1"/>
      <c r="T58" s="1">
        <f>SUM(OSRRefT22_9x_0)</f>
        <v>6194.86</v>
      </c>
      <c r="U58" s="1"/>
      <c r="V58" s="5">
        <f t="shared" si="33"/>
        <v>2.5026521238244426E-3</v>
      </c>
      <c r="W58" s="1"/>
      <c r="X58" s="1">
        <f t="shared" si="34"/>
        <v>186.09000000000015</v>
      </c>
      <c r="Y58" s="1"/>
      <c r="Z58" s="5">
        <f t="shared" si="35"/>
        <v>3.0039419777040992E-2</v>
      </c>
    </row>
    <row r="59" spans="1:26" s="24" customFormat="1" hidden="1" outlineLevel="2" x14ac:dyDescent="0.25">
      <c r="A59" s="28"/>
      <c r="B59" s="11" t="str">
        <f>CONCATENATE("          ", "6279", " - ", "GENERAL EXPENSE")</f>
        <v xml:space="preserve">          6279 - GENERAL EXPENSE</v>
      </c>
      <c r="C59" s="11"/>
      <c r="D59" s="7">
        <v>1.65</v>
      </c>
      <c r="E59" s="2"/>
      <c r="F59" s="6">
        <f t="shared" si="28"/>
        <v>7.4205668791407324E-6</v>
      </c>
      <c r="G59" s="2"/>
      <c r="H59" s="7">
        <v>84</v>
      </c>
      <c r="I59" s="2"/>
      <c r="J59" s="6">
        <f t="shared" si="29"/>
        <v>5.7562519234618587E-5</v>
      </c>
      <c r="K59" s="2"/>
      <c r="L59" s="7">
        <f t="shared" si="30"/>
        <v>-82.35</v>
      </c>
      <c r="M59" s="2"/>
      <c r="N59" s="6">
        <f t="shared" si="31"/>
        <v>-0.98035714285714282</v>
      </c>
      <c r="O59" s="11"/>
      <c r="P59" s="7">
        <v>6380.95</v>
      </c>
      <c r="Q59" s="2"/>
      <c r="R59" s="6">
        <f t="shared" si="32"/>
        <v>2.1889226951245542E-2</v>
      </c>
      <c r="S59" s="2"/>
      <c r="T59" s="7">
        <v>6194.86</v>
      </c>
      <c r="U59" s="2"/>
      <c r="V59" s="6">
        <f t="shared" si="33"/>
        <v>2.5026521238244426E-3</v>
      </c>
      <c r="W59" s="2"/>
      <c r="X59" s="7">
        <f t="shared" si="34"/>
        <v>186.09000000000015</v>
      </c>
      <c r="Y59" s="2"/>
      <c r="Z59" s="6">
        <f t="shared" si="35"/>
        <v>3.0039419777040992E-2</v>
      </c>
    </row>
    <row r="60" spans="1:26" s="27" customFormat="1" outlineLevel="1" collapsed="1" x14ac:dyDescent="0.25">
      <c r="A60" s="29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28"/>
        <v>2.6534148234503228E-5</v>
      </c>
      <c r="G60" s="1"/>
      <c r="H60" s="1">
        <f>SUM(OSRRefH22_10x_0)</f>
        <v>5.9</v>
      </c>
      <c r="I60" s="1"/>
      <c r="J60" s="5">
        <f t="shared" si="29"/>
        <v>4.0430817081458299E-6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SUM(OSRRefP22_10x_0)</f>
        <v>17.7</v>
      </c>
      <c r="Q60" s="1"/>
      <c r="R60" s="5">
        <f t="shared" si="32"/>
        <v>6.0718124579732812E-5</v>
      </c>
      <c r="S60" s="1"/>
      <c r="T60" s="1">
        <f>SUM(OSRRefT22_10x_0)</f>
        <v>17.7</v>
      </c>
      <c r="U60" s="1"/>
      <c r="V60" s="5">
        <f t="shared" si="33"/>
        <v>7.1505962348935472E-6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8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28"/>
        <v>2.6534148234503228E-5</v>
      </c>
      <c r="G61" s="2"/>
      <c r="H61" s="7">
        <v>5.9</v>
      </c>
      <c r="I61" s="2"/>
      <c r="J61" s="6">
        <f t="shared" si="29"/>
        <v>4.0430817081458299E-6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17.7</v>
      </c>
      <c r="Q61" s="2"/>
      <c r="R61" s="6">
        <f t="shared" si="32"/>
        <v>6.0718124579732812E-5</v>
      </c>
      <c r="S61" s="2"/>
      <c r="T61" s="7">
        <v>17.7</v>
      </c>
      <c r="U61" s="2"/>
      <c r="V61" s="6">
        <f t="shared" si="33"/>
        <v>7.1505962348935472E-6</v>
      </c>
      <c r="W61" s="2"/>
      <c r="X61" s="7">
        <f t="shared" si="34"/>
        <v>0</v>
      </c>
      <c r="Y61" s="2"/>
      <c r="Z61" s="6">
        <f t="shared" si="35"/>
        <v>0</v>
      </c>
    </row>
    <row r="62" spans="1:26" s="27" customFormat="1" outlineLevel="1" collapsed="1" x14ac:dyDescent="0.25">
      <c r="A62" s="29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11792.03</v>
      </c>
      <c r="E62" s="1"/>
      <c r="F62" s="5">
        <f t="shared" si="28"/>
        <v>5.3032452882323576E-2</v>
      </c>
      <c r="G62" s="1"/>
      <c r="H62" s="1">
        <f>SUM(OSRRefH22_11x_0)</f>
        <v>115888.45000000001</v>
      </c>
      <c r="I62" s="1"/>
      <c r="J62" s="5">
        <f t="shared" si="29"/>
        <v>7.9414656335656364E-2</v>
      </c>
      <c r="K62" s="1"/>
      <c r="L62" s="1">
        <f t="shared" si="30"/>
        <v>-104096.42000000001</v>
      </c>
      <c r="M62" s="1"/>
      <c r="N62" s="5">
        <f t="shared" si="31"/>
        <v>-0.8982467191510457</v>
      </c>
      <c r="O62" s="14"/>
      <c r="P62" s="1">
        <f>SUM(OSRRefP22_11x_0)</f>
        <v>16477.52</v>
      </c>
      <c r="Q62" s="1"/>
      <c r="R62" s="5">
        <f t="shared" si="32"/>
        <v>5.6524526108759271E-2</v>
      </c>
      <c r="S62" s="1"/>
      <c r="T62" s="1">
        <f>SUM(OSRRefT22_11x_0)</f>
        <v>187921.28</v>
      </c>
      <c r="U62" s="1"/>
      <c r="V62" s="5">
        <f t="shared" si="33"/>
        <v>7.5918033741490171E-2</v>
      </c>
      <c r="W62" s="1"/>
      <c r="X62" s="1">
        <f t="shared" si="34"/>
        <v>-171443.76</v>
      </c>
      <c r="Y62" s="1"/>
      <c r="Z62" s="5">
        <f t="shared" si="35"/>
        <v>-0.9123169020560099</v>
      </c>
    </row>
    <row r="63" spans="1:26" s="24" customFormat="1" hidden="1" outlineLevel="2" x14ac:dyDescent="0.25">
      <c r="A63" s="28"/>
      <c r="B63" s="11" t="str">
        <f>CONCATENATE("          ", "6387", " - ", "COMMISSION DUE HOUSING")</f>
        <v xml:space="preserve">          6387 - COMMISSION DUE HOUSING</v>
      </c>
      <c r="C63" s="11"/>
      <c r="D63" s="7">
        <v>11792.03</v>
      </c>
      <c r="E63" s="2"/>
      <c r="F63" s="6">
        <f t="shared" si="28"/>
        <v>5.3032452882323576E-2</v>
      </c>
      <c r="G63" s="2"/>
      <c r="H63" s="7">
        <v>115888.45000000001</v>
      </c>
      <c r="I63" s="2"/>
      <c r="J63" s="6">
        <f t="shared" si="29"/>
        <v>7.9414656335656364E-2</v>
      </c>
      <c r="K63" s="2"/>
      <c r="L63" s="7">
        <f t="shared" si="30"/>
        <v>-104096.42000000001</v>
      </c>
      <c r="M63" s="2"/>
      <c r="N63" s="6">
        <f t="shared" si="31"/>
        <v>-0.8982467191510457</v>
      </c>
      <c r="O63" s="11"/>
      <c r="P63" s="7">
        <v>16477.52</v>
      </c>
      <c r="Q63" s="2"/>
      <c r="R63" s="6">
        <f t="shared" si="32"/>
        <v>5.6524526108759271E-2</v>
      </c>
      <c r="S63" s="2"/>
      <c r="T63" s="7">
        <v>187921.28</v>
      </c>
      <c r="U63" s="2"/>
      <c r="V63" s="6">
        <f t="shared" si="33"/>
        <v>7.5918033741490171E-2</v>
      </c>
      <c r="W63" s="2"/>
      <c r="X63" s="7">
        <f t="shared" si="34"/>
        <v>-171443.76</v>
      </c>
      <c r="Y63" s="2"/>
      <c r="Z63" s="6">
        <f t="shared" si="35"/>
        <v>-0.9123169020560099</v>
      </c>
    </row>
    <row r="64" spans="1:26" s="27" customFormat="1" outlineLevel="1" collapsed="1" x14ac:dyDescent="0.25">
      <c r="A64" s="29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438.18</v>
      </c>
      <c r="E64" s="1"/>
      <c r="F64" s="5">
        <f t="shared" si="28"/>
        <v>1.9706327243041734E-3</v>
      </c>
      <c r="G64" s="1"/>
      <c r="H64" s="1">
        <f>SUM(OSRRefH22_12x_0)</f>
        <v>6454.72</v>
      </c>
      <c r="I64" s="1"/>
      <c r="J64" s="5">
        <f t="shared" si="29"/>
        <v>4.4232136208818724E-3</v>
      </c>
      <c r="K64" s="1"/>
      <c r="L64" s="1">
        <f t="shared" si="30"/>
        <v>-6016.54</v>
      </c>
      <c r="M64" s="1"/>
      <c r="N64" s="5">
        <f t="shared" si="31"/>
        <v>-0.93211479351544291</v>
      </c>
      <c r="O64" s="14"/>
      <c r="P64" s="1">
        <f>SUM(OSRRefP22_12x_0)</f>
        <v>2913.48</v>
      </c>
      <c r="Q64" s="1"/>
      <c r="R64" s="5">
        <f t="shared" si="32"/>
        <v>9.9944091299751393E-3</v>
      </c>
      <c r="S64" s="1"/>
      <c r="T64" s="1">
        <f>SUM(OSRRefT22_12x_0)</f>
        <v>6483.93</v>
      </c>
      <c r="U64" s="1"/>
      <c r="V64" s="5">
        <f t="shared" si="33"/>
        <v>2.6194330760064021E-3</v>
      </c>
      <c r="W64" s="1"/>
      <c r="X64" s="1">
        <f t="shared" si="34"/>
        <v>-3570.4500000000003</v>
      </c>
      <c r="Y64" s="1"/>
      <c r="Z64" s="5">
        <f t="shared" si="35"/>
        <v>-0.55066140442601941</v>
      </c>
    </row>
    <row r="65" spans="1:26" s="24" customFormat="1" hidden="1" outlineLevel="2" x14ac:dyDescent="0.25">
      <c r="A65" s="28"/>
      <c r="B65" s="11" t="str">
        <f>CONCATENATE("          ", "6371", " - ", "COMPUTER SOFTWARE MAINTENANCE")</f>
        <v xml:space="preserve">          6371 - COMPUTER SOFTWARE MAINTENANCE</v>
      </c>
      <c r="C65" s="11"/>
      <c r="D65" s="7"/>
      <c r="E65" s="2"/>
      <c r="F65" s="6">
        <f t="shared" si="28"/>
        <v>0</v>
      </c>
      <c r="G65" s="2"/>
      <c r="H65" s="7">
        <v>6340.43</v>
      </c>
      <c r="I65" s="2"/>
      <c r="J65" s="6">
        <f t="shared" si="29"/>
        <v>4.344894331318485E-3</v>
      </c>
      <c r="K65" s="2"/>
      <c r="L65" s="7">
        <f t="shared" si="30"/>
        <v>-6340.43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6340.43</v>
      </c>
      <c r="U65" s="2"/>
      <c r="V65" s="6">
        <f t="shared" si="33"/>
        <v>2.5614607280003442E-3</v>
      </c>
      <c r="W65" s="2"/>
      <c r="X65" s="7">
        <f t="shared" si="34"/>
        <v>-6340.43</v>
      </c>
      <c r="Y65" s="2"/>
      <c r="Z65" s="6">
        <f t="shared" si="35"/>
        <v>-1</v>
      </c>
    </row>
    <row r="66" spans="1:26" s="24" customFormat="1" hidden="1" outlineLevel="2" x14ac:dyDescent="0.25">
      <c r="A66" s="28"/>
      <c r="B66" s="11" t="str">
        <f>CONCATENATE("          ", "6373", " - ", "MAINTENANCE CONTRACTS")</f>
        <v xml:space="preserve">          6373 - MAINTENANCE CONTRACTS</v>
      </c>
      <c r="C66" s="11"/>
      <c r="D66" s="7">
        <v>233.18</v>
      </c>
      <c r="E66" s="2"/>
      <c r="F66" s="6">
        <f t="shared" si="28"/>
        <v>1.0486835059866887E-3</v>
      </c>
      <c r="G66" s="2"/>
      <c r="H66" s="7">
        <v>8.8000000000000007</v>
      </c>
      <c r="I66" s="2"/>
      <c r="J66" s="6">
        <f t="shared" si="29"/>
        <v>6.0303591579124238E-6</v>
      </c>
      <c r="K66" s="2"/>
      <c r="L66" s="7">
        <f t="shared" si="30"/>
        <v>224.38</v>
      </c>
      <c r="M66" s="2"/>
      <c r="N66" s="6">
        <f t="shared" si="31"/>
        <v>25.497727272727271</v>
      </c>
      <c r="O66" s="11"/>
      <c r="P66" s="7">
        <v>2708.48</v>
      </c>
      <c r="Q66" s="2"/>
      <c r="R66" s="6">
        <f t="shared" si="32"/>
        <v>9.2911766136562005E-3</v>
      </c>
      <c r="S66" s="2"/>
      <c r="T66" s="7">
        <v>38.01</v>
      </c>
      <c r="U66" s="2"/>
      <c r="V66" s="6">
        <f t="shared" si="33"/>
        <v>1.5355602423068005E-5</v>
      </c>
      <c r="W66" s="2"/>
      <c r="X66" s="7">
        <f t="shared" si="34"/>
        <v>2670.47</v>
      </c>
      <c r="Y66" s="2"/>
      <c r="Z66" s="6">
        <f t="shared" si="35"/>
        <v>70.257037621678506</v>
      </c>
    </row>
    <row r="67" spans="1:26" s="24" customFormat="1" hidden="1" outlineLevel="2" x14ac:dyDescent="0.25">
      <c r="A67" s="28"/>
      <c r="B67" s="11" t="str">
        <f>CONCATENATE("          ", "6375", " - ", "OUTSIDE REPAIRS &amp; MAINTENANCE")</f>
        <v xml:space="preserve">          6375 - OUTSIDE REPAIRS &amp; MAINTENANCE</v>
      </c>
      <c r="C67" s="11"/>
      <c r="D67" s="7">
        <v>205</v>
      </c>
      <c r="E67" s="2"/>
      <c r="F67" s="6">
        <f t="shared" si="28"/>
        <v>9.21949218317485E-4</v>
      </c>
      <c r="G67" s="2"/>
      <c r="H67" s="7">
        <v>105.49</v>
      </c>
      <c r="I67" s="2"/>
      <c r="J67" s="6">
        <f t="shared" si="29"/>
        <v>7.2288930405475167E-5</v>
      </c>
      <c r="K67" s="2"/>
      <c r="L67" s="7">
        <f t="shared" si="30"/>
        <v>99.51</v>
      </c>
      <c r="M67" s="2"/>
      <c r="N67" s="6">
        <f t="shared" si="31"/>
        <v>0.9433121622902646</v>
      </c>
      <c r="O67" s="11"/>
      <c r="P67" s="7">
        <v>205</v>
      </c>
      <c r="Q67" s="2"/>
      <c r="R67" s="6">
        <f t="shared" si="32"/>
        <v>7.0323251631893935E-4</v>
      </c>
      <c r="S67" s="2"/>
      <c r="T67" s="7">
        <v>105.49</v>
      </c>
      <c r="U67" s="2"/>
      <c r="V67" s="6">
        <f t="shared" si="33"/>
        <v>4.2616745582989845E-5</v>
      </c>
      <c r="W67" s="2"/>
      <c r="X67" s="7">
        <f t="shared" si="34"/>
        <v>99.51</v>
      </c>
      <c r="Y67" s="2"/>
      <c r="Z67" s="6">
        <f t="shared" si="35"/>
        <v>0.9433121622902646</v>
      </c>
    </row>
    <row r="68" spans="1:26" s="27" customFormat="1" outlineLevel="1" collapsed="1" x14ac:dyDescent="0.25">
      <c r="A68" s="29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SUM(OSRRefD22_13x_0)</f>
        <v>13181.349999999999</v>
      </c>
      <c r="E68" s="1"/>
      <c r="F68" s="5">
        <f t="shared" ref="F68:F71" si="36">IF(D$12=0,0,D68/D$12)</f>
        <v>5.9280660140825267E-2</v>
      </c>
      <c r="G68" s="1"/>
      <c r="H68" s="1">
        <f>SUM(OSRRefH22_13x_0)</f>
        <v>21528.89</v>
      </c>
      <c r="I68" s="1"/>
      <c r="J68" s="5">
        <f t="shared" ref="J68:J71" si="37">IF(H$12=0,0,H68/H$12)</f>
        <v>1.4753061246726044E-2</v>
      </c>
      <c r="K68" s="1"/>
      <c r="L68" s="1">
        <f t="shared" ref="L68:L71" si="38">+D68-H68</f>
        <v>-8347.5400000000009</v>
      </c>
      <c r="M68" s="1"/>
      <c r="N68" s="5">
        <f t="shared" ref="N68:N71" si="39">IF(H68=0,0,L68/H68)</f>
        <v>-0.38773666454703432</v>
      </c>
      <c r="O68" s="14"/>
      <c r="P68" s="1">
        <f>SUM(OSRRefP22_13x_0)</f>
        <v>31766.25</v>
      </c>
      <c r="Q68" s="1"/>
      <c r="R68" s="5">
        <f t="shared" ref="R68:R71" si="40">IF(P$12=0,0,P68/P$12)</f>
        <v>0.1089710240073976</v>
      </c>
      <c r="S68" s="1"/>
      <c r="T68" s="1">
        <f>SUM(OSRRefT22_13x_0)</f>
        <v>59206.070000000007</v>
      </c>
      <c r="U68" s="1"/>
      <c r="V68" s="5">
        <f t="shared" ref="V68:V71" si="41">IF(T$12=0,0,T68/T$12)</f>
        <v>2.3918570690669144E-2</v>
      </c>
      <c r="W68" s="1"/>
      <c r="X68" s="1">
        <f t="shared" ref="X68:X71" si="42">+P68-T68</f>
        <v>-27439.820000000007</v>
      </c>
      <c r="Y68" s="1"/>
      <c r="Z68" s="5">
        <f t="shared" ref="Z68:Z71" si="43">IF(T68=0,0,X68/T68)</f>
        <v>-0.4634629523628237</v>
      </c>
    </row>
    <row r="69" spans="1:26" s="24" customFormat="1" hidden="1" outlineLevel="2" x14ac:dyDescent="0.25">
      <c r="A69" s="28"/>
      <c r="B69" s="11" t="str">
        <f>CONCATENATE("          ", "6282", " - ", "JANITORIAL/EXTERMINATOR EXPENS")</f>
        <v xml:space="preserve">          6282 - JANITORIAL/EXTERMINATOR EXPENS</v>
      </c>
      <c r="C69" s="11"/>
      <c r="D69" s="7"/>
      <c r="E69" s="2"/>
      <c r="F69" s="6">
        <f t="shared" si="36"/>
        <v>0</v>
      </c>
      <c r="G69" s="2"/>
      <c r="H69" s="7">
        <v>1628.3</v>
      </c>
      <c r="I69" s="2"/>
      <c r="J69" s="6">
        <f t="shared" si="37"/>
        <v>1.1158220246396363E-3</v>
      </c>
      <c r="K69" s="2"/>
      <c r="L69" s="7">
        <f t="shared" si="38"/>
        <v>-1628.3</v>
      </c>
      <c r="M69" s="2"/>
      <c r="N69" s="6">
        <f t="shared" si="39"/>
        <v>-1</v>
      </c>
      <c r="O69" s="11"/>
      <c r="P69" s="7">
        <v>2132.11</v>
      </c>
      <c r="Q69" s="2"/>
      <c r="R69" s="6">
        <f t="shared" si="40"/>
        <v>7.3139955139940194E-3</v>
      </c>
      <c r="S69" s="2"/>
      <c r="T69" s="7">
        <v>4794.8999999999996</v>
      </c>
      <c r="U69" s="2"/>
      <c r="V69" s="6">
        <f t="shared" si="41"/>
        <v>1.9370844003780265E-3</v>
      </c>
      <c r="W69" s="2"/>
      <c r="X69" s="7">
        <f t="shared" si="42"/>
        <v>-2662.7899999999995</v>
      </c>
      <c r="Y69" s="2"/>
      <c r="Z69" s="6">
        <f t="shared" si="43"/>
        <v>-0.55533796325262252</v>
      </c>
    </row>
    <row r="70" spans="1:26" s="24" customFormat="1" hidden="1" outlineLevel="2" x14ac:dyDescent="0.25">
      <c r="A70" s="28"/>
      <c r="B70" s="11" t="str">
        <f>CONCATENATE("          ", "6285", " - ", "JANITORIAL SERVICES")</f>
        <v xml:space="preserve">          6285 - JANITORIAL SERVICES</v>
      </c>
      <c r="C70" s="11"/>
      <c r="D70" s="7">
        <v>11777.38</v>
      </c>
      <c r="E70" s="2"/>
      <c r="F70" s="6">
        <f t="shared" si="36"/>
        <v>5.2966567243063326E-2</v>
      </c>
      <c r="G70" s="2"/>
      <c r="H70" s="7">
        <v>15099.009999999998</v>
      </c>
      <c r="I70" s="2"/>
      <c r="J70" s="6">
        <f t="shared" si="37"/>
        <v>1.0346869685103552E-2</v>
      </c>
      <c r="K70" s="2"/>
      <c r="L70" s="7">
        <f t="shared" si="38"/>
        <v>-3321.6299999999992</v>
      </c>
      <c r="M70" s="2"/>
      <c r="N70" s="6">
        <f t="shared" si="39"/>
        <v>-0.21998991986891853</v>
      </c>
      <c r="O70" s="11"/>
      <c r="P70" s="7">
        <v>24248.53</v>
      </c>
      <c r="Q70" s="2"/>
      <c r="R70" s="6">
        <f t="shared" si="40"/>
        <v>8.3182218385050202E-2</v>
      </c>
      <c r="S70" s="2"/>
      <c r="T70" s="7">
        <v>39770.990000000005</v>
      </c>
      <c r="U70" s="2"/>
      <c r="V70" s="6">
        <f t="shared" si="41"/>
        <v>1.606702211028186E-2</v>
      </c>
      <c r="W70" s="2"/>
      <c r="X70" s="7">
        <f t="shared" si="42"/>
        <v>-15522.460000000006</v>
      </c>
      <c r="Y70" s="2"/>
      <c r="Z70" s="6">
        <f t="shared" si="43"/>
        <v>-0.39029604241684718</v>
      </c>
    </row>
    <row r="71" spans="1:26" s="24" customFormat="1" hidden="1" outlineLevel="2" x14ac:dyDescent="0.25">
      <c r="A71" s="28"/>
      <c r="B71" s="11" t="str">
        <f>CONCATENATE("          ", "6286", " - ", "LAUNDRY EXPENSE")</f>
        <v xml:space="preserve">          6286 - LAUNDRY EXPENSE</v>
      </c>
      <c r="C71" s="11"/>
      <c r="D71" s="7">
        <v>1403.97</v>
      </c>
      <c r="E71" s="2"/>
      <c r="F71" s="6">
        <f t="shared" si="36"/>
        <v>6.3140928977619484E-3</v>
      </c>
      <c r="G71" s="2"/>
      <c r="H71" s="7">
        <v>4801.58</v>
      </c>
      <c r="I71" s="2"/>
      <c r="J71" s="6">
        <f t="shared" si="37"/>
        <v>3.2903695369828562E-3</v>
      </c>
      <c r="K71" s="2"/>
      <c r="L71" s="7">
        <f t="shared" si="38"/>
        <v>-3397.6099999999997</v>
      </c>
      <c r="M71" s="2"/>
      <c r="N71" s="6">
        <f t="shared" si="39"/>
        <v>-0.70760249751123583</v>
      </c>
      <c r="O71" s="11"/>
      <c r="P71" s="7">
        <v>5385.61</v>
      </c>
      <c r="Q71" s="2"/>
      <c r="R71" s="6">
        <f t="shared" si="40"/>
        <v>1.847481010835338E-2</v>
      </c>
      <c r="S71" s="2"/>
      <c r="T71" s="7">
        <v>14640.18</v>
      </c>
      <c r="U71" s="2"/>
      <c r="V71" s="6">
        <f t="shared" si="41"/>
        <v>5.9144641800092553E-3</v>
      </c>
      <c r="W71" s="2"/>
      <c r="X71" s="7">
        <f t="shared" si="42"/>
        <v>-9254.57</v>
      </c>
      <c r="Y71" s="2"/>
      <c r="Z71" s="6">
        <f t="shared" si="43"/>
        <v>-0.63213498741135699</v>
      </c>
    </row>
    <row r="72" spans="1:26" s="27" customFormat="1" outlineLevel="1" collapsed="1" x14ac:dyDescent="0.25">
      <c r="A72" s="29"/>
      <c r="B72" s="14" t="str">
        <f>CONCATENATE("     ","Supplies                                          ")</f>
        <v xml:space="preserve">     Supplies                                          </v>
      </c>
      <c r="C72" s="14"/>
      <c r="D72" s="1">
        <f>SUM(OSRRefD22_14x_0)</f>
        <v>9027.9900000000016</v>
      </c>
      <c r="E72" s="1"/>
      <c r="F72" s="5">
        <f t="shared" ref="F72:F80" si="44">IF(D$12=0,0,D72/D$12)</f>
        <v>4.0601699138917431E-2</v>
      </c>
      <c r="G72" s="1"/>
      <c r="H72" s="1">
        <f>SUM(OSRRefH22_14x_0)</f>
        <v>24794.589999999997</v>
      </c>
      <c r="I72" s="1"/>
      <c r="J72" s="5">
        <f t="shared" ref="J72:J80" si="45">IF(H$12=0,0,H72/H$12)</f>
        <v>1.6990941235589065E-2</v>
      </c>
      <c r="K72" s="1"/>
      <c r="L72" s="1">
        <f t="shared" ref="L72:L80" si="46">+D72-H72</f>
        <v>-15766.599999999995</v>
      </c>
      <c r="M72" s="1"/>
      <c r="N72" s="5">
        <f t="shared" ref="N72:N80" si="47">IF(H72=0,0,L72/H72)</f>
        <v>-0.63588871604652453</v>
      </c>
      <c r="O72" s="14"/>
      <c r="P72" s="1">
        <f>SUM(OSRRefP22_14x_0)</f>
        <v>35034.22</v>
      </c>
      <c r="Q72" s="1"/>
      <c r="R72" s="5">
        <f t="shared" ref="R72:R80" si="48">IF(P$12=0,0,P72/P$12)</f>
        <v>0.12018147652620152</v>
      </c>
      <c r="S72" s="1"/>
      <c r="T72" s="1">
        <f>SUM(OSRRefT22_14x_0)</f>
        <v>75568.78</v>
      </c>
      <c r="U72" s="1"/>
      <c r="V72" s="5">
        <f t="shared" ref="V72:V80" si="49">IF(T$12=0,0,T72/T$12)</f>
        <v>3.0528917160649649E-2</v>
      </c>
      <c r="W72" s="1"/>
      <c r="X72" s="1">
        <f t="shared" ref="X72:X80" si="50">+P72-T72</f>
        <v>-40534.559999999998</v>
      </c>
      <c r="Y72" s="1"/>
      <c r="Z72" s="5">
        <f t="shared" ref="Z72:Z80" si="51">IF(T72=0,0,X72/T72)</f>
        <v>-0.53639293898882578</v>
      </c>
    </row>
    <row r="73" spans="1:26" s="24" customFormat="1" hidden="1" outlineLevel="2" x14ac:dyDescent="0.25">
      <c r="A73" s="28"/>
      <c r="B73" s="11" t="str">
        <f>CONCATENATE("          ", "6235", " - ", "COVID-19 EXPENSES")</f>
        <v xml:space="preserve">          6235 - COVID-19 EXPENSES</v>
      </c>
      <c r="C73" s="11"/>
      <c r="D73" s="7">
        <v>3917.37</v>
      </c>
      <c r="E73" s="2"/>
      <c r="F73" s="6">
        <f t="shared" si="44"/>
        <v>1.7617640045660323E-2</v>
      </c>
      <c r="G73" s="2"/>
      <c r="H73" s="7"/>
      <c r="I73" s="2"/>
      <c r="J73" s="6">
        <f t="shared" si="45"/>
        <v>0</v>
      </c>
      <c r="K73" s="2"/>
      <c r="L73" s="7">
        <f t="shared" si="46"/>
        <v>3917.37</v>
      </c>
      <c r="M73" s="2"/>
      <c r="N73" s="6">
        <f t="shared" si="47"/>
        <v>0</v>
      </c>
      <c r="O73" s="11"/>
      <c r="P73" s="7">
        <v>17591.099999999999</v>
      </c>
      <c r="Q73" s="2"/>
      <c r="R73" s="6">
        <f t="shared" si="48"/>
        <v>6.0344553745454117E-2</v>
      </c>
      <c r="S73" s="2"/>
      <c r="T73" s="7"/>
      <c r="U73" s="2"/>
      <c r="V73" s="6">
        <f t="shared" si="49"/>
        <v>0</v>
      </c>
      <c r="W73" s="2"/>
      <c r="X73" s="7">
        <f t="shared" si="50"/>
        <v>17591.099999999999</v>
      </c>
      <c r="Y73" s="2"/>
      <c r="Z73" s="6">
        <f t="shared" si="51"/>
        <v>0</v>
      </c>
    </row>
    <row r="74" spans="1:26" s="24" customFormat="1" hidden="1" outlineLevel="2" x14ac:dyDescent="0.25">
      <c r="A74" s="28"/>
      <c r="B74" s="11" t="str">
        <f>CONCATENATE("          ", "6237", " - ", "JANITORIAL SUPPLIES")</f>
        <v xml:space="preserve">          6237 - JANITORIAL SUPPLIES</v>
      </c>
      <c r="C74" s="11"/>
      <c r="D74" s="7">
        <v>3488.76</v>
      </c>
      <c r="E74" s="2"/>
      <c r="F74" s="6">
        <f t="shared" si="44"/>
        <v>1.5690046609255166E-2</v>
      </c>
      <c r="G74" s="2"/>
      <c r="H74" s="7">
        <v>7155.63</v>
      </c>
      <c r="I74" s="2"/>
      <c r="J74" s="6">
        <f t="shared" si="45"/>
        <v>4.9035248751287354E-3</v>
      </c>
      <c r="K74" s="2"/>
      <c r="L74" s="7">
        <f t="shared" si="46"/>
        <v>-3666.87</v>
      </c>
      <c r="M74" s="2"/>
      <c r="N74" s="6">
        <f t="shared" si="47"/>
        <v>-0.51244544505515233</v>
      </c>
      <c r="O74" s="11"/>
      <c r="P74" s="7">
        <v>6093.71</v>
      </c>
      <c r="Q74" s="2"/>
      <c r="R74" s="6">
        <f t="shared" si="48"/>
        <v>2.0903878131794555E-2</v>
      </c>
      <c r="S74" s="2"/>
      <c r="T74" s="7">
        <v>23089.040000000001</v>
      </c>
      <c r="U74" s="2"/>
      <c r="V74" s="6">
        <f t="shared" si="49"/>
        <v>9.3277063554410462E-3</v>
      </c>
      <c r="W74" s="2"/>
      <c r="X74" s="7">
        <f t="shared" si="50"/>
        <v>-16995.330000000002</v>
      </c>
      <c r="Y74" s="2"/>
      <c r="Z74" s="6">
        <f t="shared" si="51"/>
        <v>-0.73607781007785522</v>
      </c>
    </row>
    <row r="75" spans="1:26" s="24" customFormat="1" hidden="1" outlineLevel="2" x14ac:dyDescent="0.25">
      <c r="A75" s="28"/>
      <c r="B75" s="11" t="str">
        <f>CONCATENATE("          ", "6239", " - ", "KITCHEN SUPPLIES")</f>
        <v xml:space="preserve">          6239 - KITCHEN SUPPLIES</v>
      </c>
      <c r="C75" s="11"/>
      <c r="D75" s="7">
        <v>553.01</v>
      </c>
      <c r="E75" s="2"/>
      <c r="F75" s="6">
        <f t="shared" si="44"/>
        <v>2.4870592059597677E-3</v>
      </c>
      <c r="G75" s="2"/>
      <c r="H75" s="7">
        <v>9388.08</v>
      </c>
      <c r="I75" s="2"/>
      <c r="J75" s="6">
        <f t="shared" si="45"/>
        <v>6.4333516140016433E-3</v>
      </c>
      <c r="K75" s="2"/>
      <c r="L75" s="7">
        <f t="shared" si="46"/>
        <v>-8835.07</v>
      </c>
      <c r="M75" s="2"/>
      <c r="N75" s="6">
        <f t="shared" si="47"/>
        <v>-0.94109445168767203</v>
      </c>
      <c r="O75" s="11"/>
      <c r="P75" s="7">
        <v>2927.32</v>
      </c>
      <c r="Q75" s="2"/>
      <c r="R75" s="6">
        <f t="shared" si="48"/>
        <v>1.0041885900832964E-2</v>
      </c>
      <c r="S75" s="2"/>
      <c r="T75" s="7">
        <v>15180.769999999999</v>
      </c>
      <c r="U75" s="2"/>
      <c r="V75" s="6">
        <f t="shared" si="49"/>
        <v>6.1328563166545141E-3</v>
      </c>
      <c r="W75" s="2"/>
      <c r="X75" s="7">
        <f t="shared" si="50"/>
        <v>-12253.449999999999</v>
      </c>
      <c r="Y75" s="2"/>
      <c r="Z75" s="6">
        <f t="shared" si="51"/>
        <v>-0.80716920156223959</v>
      </c>
    </row>
    <row r="76" spans="1:26" s="24" customFormat="1" hidden="1" outlineLevel="2" x14ac:dyDescent="0.25">
      <c r="A76" s="28"/>
      <c r="B76" s="11" t="str">
        <f>CONCATENATE("          ", "6241", " - ", "OFFICE EXPENSE")</f>
        <v xml:space="preserve">          6241 - OFFICE EXPENSE</v>
      </c>
      <c r="C76" s="11"/>
      <c r="D76" s="7">
        <v>765.15</v>
      </c>
      <c r="E76" s="2"/>
      <c r="F76" s="6">
        <f t="shared" si="44"/>
        <v>3.4411192409542616E-3</v>
      </c>
      <c r="G76" s="2"/>
      <c r="H76" s="7">
        <v>1783.8</v>
      </c>
      <c r="I76" s="2"/>
      <c r="J76" s="6">
        <f t="shared" si="45"/>
        <v>1.2223812120322932E-3</v>
      </c>
      <c r="K76" s="2"/>
      <c r="L76" s="7">
        <f t="shared" si="46"/>
        <v>-1018.65</v>
      </c>
      <c r="M76" s="2"/>
      <c r="N76" s="6">
        <f t="shared" si="47"/>
        <v>-0.5710561722166162</v>
      </c>
      <c r="O76" s="11"/>
      <c r="P76" s="7">
        <v>947.24</v>
      </c>
      <c r="Q76" s="2"/>
      <c r="R76" s="6">
        <f t="shared" si="48"/>
        <v>3.2494144817461082E-3</v>
      </c>
      <c r="S76" s="2"/>
      <c r="T76" s="7">
        <v>23666.42</v>
      </c>
      <c r="U76" s="2"/>
      <c r="V76" s="6">
        <f t="shared" si="49"/>
        <v>9.5609612285541996E-3</v>
      </c>
      <c r="W76" s="2"/>
      <c r="X76" s="7">
        <f t="shared" si="50"/>
        <v>-22719.179999999997</v>
      </c>
      <c r="Y76" s="2"/>
      <c r="Z76" s="6">
        <f t="shared" si="51"/>
        <v>-0.95997535748964136</v>
      </c>
    </row>
    <row r="77" spans="1:26" s="24" customFormat="1" hidden="1" outlineLevel="2" x14ac:dyDescent="0.25">
      <c r="A77" s="28"/>
      <c r="B77" s="11" t="str">
        <f>CONCATENATE("          ", "6243", " - ", "PAPER SUPPLIES")</f>
        <v xml:space="preserve">          6243 - PAPER SUPPLIES</v>
      </c>
      <c r="C77" s="11"/>
      <c r="D77" s="7"/>
      <c r="E77" s="2"/>
      <c r="F77" s="6">
        <f t="shared" si="44"/>
        <v>0</v>
      </c>
      <c r="G77" s="2"/>
      <c r="H77" s="7">
        <v>6437.08</v>
      </c>
      <c r="I77" s="2"/>
      <c r="J77" s="6">
        <f t="shared" si="45"/>
        <v>4.4111254918426024E-3</v>
      </c>
      <c r="K77" s="2"/>
      <c r="L77" s="7">
        <f t="shared" si="46"/>
        <v>-6437.08</v>
      </c>
      <c r="M77" s="2"/>
      <c r="N77" s="6">
        <f t="shared" si="47"/>
        <v>-1</v>
      </c>
      <c r="O77" s="11"/>
      <c r="P77" s="7">
        <v>3660.17</v>
      </c>
      <c r="Q77" s="2"/>
      <c r="R77" s="6">
        <f t="shared" si="48"/>
        <v>1.2555856386610206E-2</v>
      </c>
      <c r="S77" s="2"/>
      <c r="T77" s="7">
        <v>16358.950000000003</v>
      </c>
      <c r="U77" s="2"/>
      <c r="V77" s="6">
        <f t="shared" si="49"/>
        <v>6.6088274732662043E-3</v>
      </c>
      <c r="W77" s="2"/>
      <c r="X77" s="7">
        <f t="shared" si="50"/>
        <v>-12698.780000000002</v>
      </c>
      <c r="Y77" s="2"/>
      <c r="Z77" s="6">
        <f t="shared" si="51"/>
        <v>-0.77625886747010053</v>
      </c>
    </row>
    <row r="78" spans="1:26" s="24" customFormat="1" hidden="1" outlineLevel="2" x14ac:dyDescent="0.25">
      <c r="A78" s="28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44"/>
        <v>0</v>
      </c>
      <c r="G78" s="2"/>
      <c r="H78" s="7"/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/>
      <c r="Q78" s="2"/>
      <c r="R78" s="6">
        <f t="shared" si="48"/>
        <v>0</v>
      </c>
      <c r="S78" s="2"/>
      <c r="T78" s="7">
        <v>1323</v>
      </c>
      <c r="U78" s="2"/>
      <c r="V78" s="6">
        <f t="shared" si="49"/>
        <v>5.3447676942170418E-4</v>
      </c>
      <c r="W78" s="2"/>
      <c r="X78" s="7">
        <f t="shared" si="50"/>
        <v>-1323</v>
      </c>
      <c r="Y78" s="2"/>
      <c r="Z78" s="6">
        <f t="shared" si="51"/>
        <v>-1</v>
      </c>
    </row>
    <row r="79" spans="1:26" s="24" customFormat="1" hidden="1" outlineLevel="2" x14ac:dyDescent="0.25">
      <c r="A79" s="28"/>
      <c r="B79" s="11" t="str">
        <f>CONCATENATE("          ", "6247", " - ", "STORE SUPPLIES")</f>
        <v xml:space="preserve">          6247 - STORE SUPPLIES</v>
      </c>
      <c r="C79" s="11"/>
      <c r="D79" s="7"/>
      <c r="E79" s="2"/>
      <c r="F79" s="6">
        <f t="shared" si="44"/>
        <v>0</v>
      </c>
      <c r="G79" s="2"/>
      <c r="H79" s="7">
        <v>30</v>
      </c>
      <c r="I79" s="2"/>
      <c r="J79" s="6">
        <f t="shared" si="45"/>
        <v>2.0558042583792353E-5</v>
      </c>
      <c r="K79" s="2"/>
      <c r="L79" s="7">
        <f t="shared" si="46"/>
        <v>-30</v>
      </c>
      <c r="M79" s="2"/>
      <c r="N79" s="6">
        <f t="shared" si="47"/>
        <v>-1</v>
      </c>
      <c r="O79" s="11"/>
      <c r="P79" s="7"/>
      <c r="Q79" s="2"/>
      <c r="R79" s="6">
        <f t="shared" si="48"/>
        <v>0</v>
      </c>
      <c r="S79" s="2"/>
      <c r="T79" s="7">
        <v>406.35</v>
      </c>
      <c r="U79" s="2"/>
      <c r="V79" s="6">
        <f t="shared" si="49"/>
        <v>1.6416072203666627E-4</v>
      </c>
      <c r="W79" s="2"/>
      <c r="X79" s="7">
        <f t="shared" si="50"/>
        <v>-406.35</v>
      </c>
      <c r="Y79" s="2"/>
      <c r="Z79" s="6">
        <f t="shared" si="51"/>
        <v>-1</v>
      </c>
    </row>
    <row r="80" spans="1:26" s="24" customFormat="1" hidden="1" outlineLevel="2" x14ac:dyDescent="0.25">
      <c r="A80" s="28"/>
      <c r="B80" s="11" t="str">
        <f>CONCATENATE("          ", "6248", " - ", "UNIFORMS")</f>
        <v xml:space="preserve">          6248 - UNIFORMS</v>
      </c>
      <c r="C80" s="11"/>
      <c r="D80" s="7">
        <v>303.7</v>
      </c>
      <c r="E80" s="2"/>
      <c r="F80" s="6">
        <f t="shared" si="44"/>
        <v>1.3658340370879033E-3</v>
      </c>
      <c r="G80" s="2"/>
      <c r="H80" s="7"/>
      <c r="I80" s="2"/>
      <c r="J80" s="6">
        <f t="shared" si="45"/>
        <v>0</v>
      </c>
      <c r="K80" s="2"/>
      <c r="L80" s="7">
        <f t="shared" si="46"/>
        <v>303.7</v>
      </c>
      <c r="M80" s="2"/>
      <c r="N80" s="6">
        <f t="shared" si="47"/>
        <v>0</v>
      </c>
      <c r="O80" s="11"/>
      <c r="P80" s="7">
        <v>3814.68</v>
      </c>
      <c r="Q80" s="2"/>
      <c r="R80" s="6">
        <f t="shared" si="48"/>
        <v>1.3085887879763568E-2</v>
      </c>
      <c r="S80" s="2"/>
      <c r="T80" s="7">
        <v>-4455.75</v>
      </c>
      <c r="U80" s="2"/>
      <c r="V80" s="6">
        <f t="shared" si="49"/>
        <v>-1.800071704724685E-3</v>
      </c>
      <c r="W80" s="2"/>
      <c r="X80" s="7">
        <f t="shared" si="50"/>
        <v>8270.43</v>
      </c>
      <c r="Y80" s="2"/>
      <c r="Z80" s="6">
        <f t="shared" si="51"/>
        <v>-1.8561252314425181</v>
      </c>
    </row>
    <row r="81" spans="1:26" s="27" customFormat="1" outlineLevel="1" collapsed="1" x14ac:dyDescent="0.25">
      <c r="A81" s="29"/>
      <c r="B81" s="14" t="str">
        <f>CONCATENATE("     ","Telephone/Data Lines                              ")</f>
        <v xml:space="preserve">     Telephone/Data Lines                              </v>
      </c>
      <c r="C81" s="14"/>
      <c r="D81" s="1">
        <f>SUM(OSRRefD22_15x_0)</f>
        <v>975</v>
      </c>
      <c r="E81" s="1"/>
      <c r="F81" s="5">
        <f t="shared" ref="F81:F86" si="52">IF(D$12=0,0,D81/D$12)</f>
        <v>4.3848804285831601E-3</v>
      </c>
      <c r="G81" s="1"/>
      <c r="H81" s="1">
        <f>SUM(OSRRefH22_15x_0)</f>
        <v>1143</v>
      </c>
      <c r="I81" s="1"/>
      <c r="J81" s="5">
        <f t="shared" ref="J81:J86" si="53">IF(H$12=0,0,H81/H$12)</f>
        <v>7.8326142244248859E-4</v>
      </c>
      <c r="K81" s="1"/>
      <c r="L81" s="1">
        <f t="shared" ref="L81:L86" si="54">+D81-H81</f>
        <v>-168</v>
      </c>
      <c r="M81" s="1"/>
      <c r="N81" s="5">
        <f t="shared" ref="N81:N86" si="55">IF(H81=0,0,L81/H81)</f>
        <v>-0.14698162729658792</v>
      </c>
      <c r="O81" s="14"/>
      <c r="P81" s="1">
        <f>SUM(OSRRefP22_15x_0)</f>
        <v>2240</v>
      </c>
      <c r="Q81" s="1"/>
      <c r="R81" s="5">
        <f t="shared" ref="R81:R86" si="56">IF(P$12=0,0,P81/P$12)</f>
        <v>7.6841016417288988E-3</v>
      </c>
      <c r="S81" s="1"/>
      <c r="T81" s="1">
        <f>SUM(OSRRefT22_15x_0)</f>
        <v>1467.15</v>
      </c>
      <c r="U81" s="1"/>
      <c r="V81" s="5">
        <f t="shared" ref="V81:V86" si="57">IF(T$12=0,0,T81/T$12)</f>
        <v>5.9271170994486266E-4</v>
      </c>
      <c r="W81" s="1"/>
      <c r="X81" s="1">
        <f t="shared" ref="X81:X86" si="58">+P81-T81</f>
        <v>772.84999999999991</v>
      </c>
      <c r="Y81" s="1"/>
      <c r="Z81" s="5">
        <f t="shared" ref="Z81:Z86" si="59">IF(T81=0,0,X81/T81)</f>
        <v>0.52676958729509582</v>
      </c>
    </row>
    <row r="82" spans="1:26" s="24" customFormat="1" hidden="1" outlineLevel="2" x14ac:dyDescent="0.25">
      <c r="A82" s="28"/>
      <c r="B82" s="11" t="str">
        <f>CONCATENATE("          ", "6309", " - ", "TELEPHONE")</f>
        <v xml:space="preserve">          6309 - TELEPHONE</v>
      </c>
      <c r="C82" s="11"/>
      <c r="D82" s="7">
        <v>975</v>
      </c>
      <c r="E82" s="2"/>
      <c r="F82" s="6">
        <f t="shared" si="52"/>
        <v>4.3848804285831601E-3</v>
      </c>
      <c r="G82" s="2"/>
      <c r="H82" s="7">
        <v>1143</v>
      </c>
      <c r="I82" s="2"/>
      <c r="J82" s="6">
        <f t="shared" si="53"/>
        <v>7.8326142244248859E-4</v>
      </c>
      <c r="K82" s="2"/>
      <c r="L82" s="7">
        <f t="shared" si="54"/>
        <v>-168</v>
      </c>
      <c r="M82" s="2"/>
      <c r="N82" s="6">
        <f t="shared" si="55"/>
        <v>-0.14698162729658792</v>
      </c>
      <c r="O82" s="11"/>
      <c r="P82" s="7">
        <v>2240</v>
      </c>
      <c r="Q82" s="2"/>
      <c r="R82" s="6">
        <f t="shared" si="56"/>
        <v>7.6841016417288988E-3</v>
      </c>
      <c r="S82" s="2"/>
      <c r="T82" s="7">
        <v>1467.15</v>
      </c>
      <c r="U82" s="2"/>
      <c r="V82" s="6">
        <f t="shared" si="57"/>
        <v>5.9271170994486266E-4</v>
      </c>
      <c r="W82" s="2"/>
      <c r="X82" s="7">
        <f t="shared" si="58"/>
        <v>772.84999999999991</v>
      </c>
      <c r="Y82" s="2"/>
      <c r="Z82" s="6">
        <f t="shared" si="59"/>
        <v>0.52676958729509582</v>
      </c>
    </row>
    <row r="83" spans="1:26" s="27" customFormat="1" outlineLevel="1" collapsed="1" x14ac:dyDescent="0.25">
      <c r="A83" s="29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SUM(OSRRefD22_16x_0)</f>
        <v>0</v>
      </c>
      <c r="E83" s="1"/>
      <c r="F83" s="5">
        <f t="shared" si="52"/>
        <v>0</v>
      </c>
      <c r="G83" s="1"/>
      <c r="H83" s="1">
        <f>SUM(OSRRefH22_16x_0)</f>
        <v>192</v>
      </c>
      <c r="I83" s="1"/>
      <c r="J83" s="5">
        <f t="shared" si="53"/>
        <v>1.3157147253627105E-4</v>
      </c>
      <c r="K83" s="1"/>
      <c r="L83" s="1">
        <f t="shared" si="54"/>
        <v>-192</v>
      </c>
      <c r="M83" s="1"/>
      <c r="N83" s="5">
        <f t="shared" si="55"/>
        <v>-1</v>
      </c>
      <c r="O83" s="14"/>
      <c r="P83" s="1">
        <f>SUM(OSRRefP22_16x_0)</f>
        <v>350</v>
      </c>
      <c r="Q83" s="1"/>
      <c r="R83" s="5">
        <f t="shared" si="56"/>
        <v>1.2006408815201405E-3</v>
      </c>
      <c r="S83" s="1"/>
      <c r="T83" s="1">
        <f>SUM(OSRRefT22_16x_0)</f>
        <v>3588.27</v>
      </c>
      <c r="U83" s="1"/>
      <c r="V83" s="5">
        <f t="shared" si="57"/>
        <v>1.4496197712870885E-3</v>
      </c>
      <c r="W83" s="1"/>
      <c r="X83" s="1">
        <f t="shared" si="58"/>
        <v>-3238.27</v>
      </c>
      <c r="Y83" s="1"/>
      <c r="Z83" s="5">
        <f t="shared" si="59"/>
        <v>-0.90245995981350347</v>
      </c>
    </row>
    <row r="84" spans="1:26" s="24" customFormat="1" hidden="1" outlineLevel="2" x14ac:dyDescent="0.25">
      <c r="A84" s="28"/>
      <c r="B84" s="11" t="str">
        <f>CONCATENATE("          ", "6376", " - ", "TRAINING")</f>
        <v xml:space="preserve">          6376 - TRAINING</v>
      </c>
      <c r="C84" s="11"/>
      <c r="D84" s="7"/>
      <c r="E84" s="2"/>
      <c r="F84" s="6">
        <f t="shared" si="52"/>
        <v>0</v>
      </c>
      <c r="G84" s="2"/>
      <c r="H84" s="7">
        <v>192</v>
      </c>
      <c r="I84" s="2"/>
      <c r="J84" s="6">
        <f t="shared" si="53"/>
        <v>1.3157147253627105E-4</v>
      </c>
      <c r="K84" s="2"/>
      <c r="L84" s="7">
        <f t="shared" si="54"/>
        <v>-192</v>
      </c>
      <c r="M84" s="2"/>
      <c r="N84" s="6">
        <f t="shared" si="55"/>
        <v>-1</v>
      </c>
      <c r="O84" s="11"/>
      <c r="P84" s="7">
        <v>350</v>
      </c>
      <c r="Q84" s="2"/>
      <c r="R84" s="6">
        <f t="shared" si="56"/>
        <v>1.2006408815201405E-3</v>
      </c>
      <c r="S84" s="2"/>
      <c r="T84" s="7">
        <v>3588.27</v>
      </c>
      <c r="U84" s="2"/>
      <c r="V84" s="6">
        <f t="shared" si="57"/>
        <v>1.4496197712870885E-3</v>
      </c>
      <c r="W84" s="2"/>
      <c r="X84" s="7">
        <f t="shared" si="58"/>
        <v>-3238.27</v>
      </c>
      <c r="Y84" s="2"/>
      <c r="Z84" s="6">
        <f t="shared" si="59"/>
        <v>-0.90245995981350347</v>
      </c>
    </row>
    <row r="85" spans="1:26" s="27" customFormat="1" outlineLevel="1" collapsed="1" x14ac:dyDescent="0.25">
      <c r="A85" s="29"/>
      <c r="B85" s="14" t="str">
        <f>CONCATENATE("     ","Travel                                            ")</f>
        <v xml:space="preserve">     Travel                                            </v>
      </c>
      <c r="C85" s="14"/>
      <c r="D85" s="1">
        <f>SUM(OSRRefD22_17x_0)</f>
        <v>0</v>
      </c>
      <c r="E85" s="1"/>
      <c r="F85" s="5">
        <f t="shared" si="52"/>
        <v>0</v>
      </c>
      <c r="G85" s="1"/>
      <c r="H85" s="1">
        <f>SUM(OSRRefH22_17x_0)</f>
        <v>0</v>
      </c>
      <c r="I85" s="1"/>
      <c r="J85" s="5">
        <f t="shared" si="53"/>
        <v>0</v>
      </c>
      <c r="K85" s="1"/>
      <c r="L85" s="1">
        <f t="shared" si="54"/>
        <v>0</v>
      </c>
      <c r="M85" s="1"/>
      <c r="N85" s="5">
        <f t="shared" si="55"/>
        <v>0</v>
      </c>
      <c r="O85" s="14"/>
      <c r="P85" s="1">
        <f>SUM(OSRRefP22_17x_0)</f>
        <v>0</v>
      </c>
      <c r="Q85" s="1"/>
      <c r="R85" s="5">
        <f t="shared" si="56"/>
        <v>0</v>
      </c>
      <c r="S85" s="1"/>
      <c r="T85" s="1">
        <f>SUM(OSRRefT22_17x_0)</f>
        <v>1688.41</v>
      </c>
      <c r="U85" s="1"/>
      <c r="V85" s="5">
        <f t="shared" si="57"/>
        <v>6.8209820276591041E-4</v>
      </c>
      <c r="W85" s="1"/>
      <c r="X85" s="1">
        <f t="shared" si="58"/>
        <v>-1688.41</v>
      </c>
      <c r="Y85" s="1"/>
      <c r="Z85" s="5">
        <f t="shared" si="59"/>
        <v>-1</v>
      </c>
    </row>
    <row r="86" spans="1:26" s="24" customFormat="1" hidden="1" outlineLevel="2" x14ac:dyDescent="0.25">
      <c r="A86" s="28"/>
      <c r="B86" s="11" t="str">
        <f>CONCATENATE("          ", "6292", " - ", "TRAVEL/CONFERENCE")</f>
        <v xml:space="preserve">          6292 - TRAVEL/CONFERENCE</v>
      </c>
      <c r="C86" s="11"/>
      <c r="D86" s="7"/>
      <c r="E86" s="2"/>
      <c r="F86" s="6">
        <f t="shared" si="52"/>
        <v>0</v>
      </c>
      <c r="G86" s="2"/>
      <c r="H86" s="7"/>
      <c r="I86" s="2"/>
      <c r="J86" s="6">
        <f t="shared" si="53"/>
        <v>0</v>
      </c>
      <c r="K86" s="2"/>
      <c r="L86" s="7">
        <f t="shared" si="54"/>
        <v>0</v>
      </c>
      <c r="M86" s="2"/>
      <c r="N86" s="6">
        <f t="shared" si="55"/>
        <v>0</v>
      </c>
      <c r="O86" s="11"/>
      <c r="P86" s="7"/>
      <c r="Q86" s="2"/>
      <c r="R86" s="6">
        <f t="shared" si="56"/>
        <v>0</v>
      </c>
      <c r="S86" s="2"/>
      <c r="T86" s="7">
        <v>1688.41</v>
      </c>
      <c r="U86" s="2"/>
      <c r="V86" s="6">
        <f t="shared" si="57"/>
        <v>6.8209820276591041E-4</v>
      </c>
      <c r="W86" s="2"/>
      <c r="X86" s="7">
        <f t="shared" si="58"/>
        <v>-1688.41</v>
      </c>
      <c r="Y86" s="2"/>
      <c r="Z86" s="6">
        <f t="shared" si="59"/>
        <v>-1</v>
      </c>
    </row>
    <row r="87" spans="1:26" s="60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6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5" t="s">
        <v>3</v>
      </c>
      <c r="C90" s="25"/>
      <c r="D90" s="22">
        <f>+D23-D25+D88</f>
        <v>-63156.22</v>
      </c>
      <c r="E90" s="13"/>
      <c r="F90" s="21">
        <f>IF(D$12=0,0,D90/D$12)</f>
        <v>-0.284033305662864</v>
      </c>
      <c r="G90" s="13"/>
      <c r="H90" s="22">
        <f>+H23-H25+H88</f>
        <v>582145.55000000028</v>
      </c>
      <c r="I90" s="13"/>
      <c r="J90" s="21">
        <f>IF(H$12=0,0,H90/H$12)</f>
        <v>0.39892576689550752</v>
      </c>
      <c r="K90" s="15"/>
      <c r="L90" s="22">
        <f>+D90-H90</f>
        <v>-645301.77000000025</v>
      </c>
      <c r="M90" s="15"/>
      <c r="N90" s="21">
        <f>IF(H90=0,0,L90/H90)</f>
        <v>-1.108488710426456</v>
      </c>
      <c r="O90" s="26"/>
      <c r="P90" s="22">
        <f>+P23-P25+P88</f>
        <v>-435824.7899999998</v>
      </c>
      <c r="Q90" s="13"/>
      <c r="R90" s="21">
        <f>IF(P$12=0,0,P90/P$12)</f>
        <v>-1.4950544572969424</v>
      </c>
      <c r="S90" s="13"/>
      <c r="T90" s="22">
        <f>+T23-T25+T88</f>
        <v>521569.20000000042</v>
      </c>
      <c r="U90" s="13"/>
      <c r="V90" s="21">
        <f>IF(T$12=0,0,T90/T$12)</f>
        <v>0.21070795241561821</v>
      </c>
      <c r="W90" s="15"/>
      <c r="X90" s="22">
        <f>+P90-T90</f>
        <v>-957393.99000000022</v>
      </c>
      <c r="Y90" s="15"/>
      <c r="Z90" s="21">
        <f>IF(T90=0,0,X90/T90)</f>
        <v>-1.8356030033982058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>
        <v>42327.8</v>
      </c>
      <c r="E92" s="4"/>
      <c r="F92" s="12">
        <f>IF(D$12=0,0,D92/D$12)</f>
        <v>0.19036137621023827</v>
      </c>
      <c r="G92" s="4"/>
      <c r="H92" s="4">
        <v>139200.93</v>
      </c>
      <c r="I92" s="4"/>
      <c r="J92" s="12">
        <f>IF(H$12=0,0,H92/H$12)</f>
        <v>9.5389954888116607E-2</v>
      </c>
      <c r="K92" s="4"/>
      <c r="L92" s="4">
        <f>+D92-H92</f>
        <v>-96873.12999999999</v>
      </c>
      <c r="M92" s="4"/>
      <c r="N92" s="12">
        <f>IF(H92=0,0,L92/H92)</f>
        <v>-0.69592300856035949</v>
      </c>
      <c r="O92" s="10"/>
      <c r="P92" s="4">
        <v>54003.859999999993</v>
      </c>
      <c r="Q92" s="4"/>
      <c r="R92" s="12">
        <f>IF(P$12=0,0,P92/P$12)</f>
        <v>0.18525497735968641</v>
      </c>
      <c r="S92" s="4"/>
      <c r="T92" s="4">
        <v>265881.95</v>
      </c>
      <c r="U92" s="4"/>
      <c r="V92" s="12">
        <f>IF(T$12=0,0,T92/T$12)</f>
        <v>0.10741324692633641</v>
      </c>
      <c r="W92" s="4"/>
      <c r="X92" s="4">
        <f>+P92-T92</f>
        <v>-211878.09000000003</v>
      </c>
      <c r="Y92" s="4"/>
      <c r="Z92" s="12">
        <f>IF(T92=0,0,X92/T92)</f>
        <v>-0.79688782935434321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5" t="s">
        <v>4</v>
      </c>
      <c r="C94" s="25"/>
      <c r="D94" s="33">
        <f>+D90-D92</f>
        <v>-105484.02</v>
      </c>
      <c r="E94" s="13"/>
      <c r="F94" s="32">
        <f>IF(D$12=0,0,D94/D$12)</f>
        <v>-0.47439468187310224</v>
      </c>
      <c r="G94" s="13"/>
      <c r="H94" s="33">
        <f>+H90-H92</f>
        <v>442944.62000000029</v>
      </c>
      <c r="I94" s="13"/>
      <c r="J94" s="32">
        <f>IF(H$12=0,0,H94/H$12)</f>
        <v>0.30353581200739094</v>
      </c>
      <c r="K94" s="15"/>
      <c r="L94" s="33">
        <f>D94-H94</f>
        <v>-548428.64000000025</v>
      </c>
      <c r="M94" s="15"/>
      <c r="N94" s="32">
        <f>IF(H94=0,0,L94/H94)</f>
        <v>-1.2381426824870339</v>
      </c>
      <c r="O94" s="26"/>
      <c r="P94" s="33">
        <f>+P90-P92</f>
        <v>-489828.64999999979</v>
      </c>
      <c r="Q94" s="13"/>
      <c r="R94" s="32">
        <f>IF(P$12=0,0,P94/P$12)</f>
        <v>-1.6803094346566287</v>
      </c>
      <c r="S94" s="13"/>
      <c r="T94" s="33">
        <f>+T90-T92</f>
        <v>255687.25000000041</v>
      </c>
      <c r="U94" s="13"/>
      <c r="V94" s="32">
        <f>IF(T$12=0,0,T94/T$12)</f>
        <v>0.10329470548928181</v>
      </c>
      <c r="W94" s="15"/>
      <c r="X94" s="33">
        <f>P94-T94</f>
        <v>-745515.90000000014</v>
      </c>
      <c r="Y94" s="15"/>
      <c r="Z94" s="32">
        <f>IF(T94=0,0,X94/T94)</f>
        <v>-2.9157335768600077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5" t="s">
        <v>5</v>
      </c>
      <c r="C97" s="25"/>
      <c r="D97" s="34">
        <f>SUM(D94:D96)</f>
        <v>-105484.02</v>
      </c>
      <c r="E97" s="13"/>
      <c r="F97" s="31">
        <f>IF(D$12=0,0,D97/D$12)</f>
        <v>-0.47439468187310224</v>
      </c>
      <c r="G97" s="13"/>
      <c r="H97" s="34">
        <f>SUM(H94:H96)</f>
        <v>442944.62000000029</v>
      </c>
      <c r="I97" s="13"/>
      <c r="J97" s="31">
        <f>IF(H$12=0,0,H97/H$12)</f>
        <v>0.30353581200739094</v>
      </c>
      <c r="K97" s="15"/>
      <c r="L97" s="34">
        <f>+D97-H97</f>
        <v>-548428.64000000025</v>
      </c>
      <c r="M97" s="15"/>
      <c r="N97" s="31">
        <f>IF(H97=0,0,L97/H97)</f>
        <v>-1.2381426824870339</v>
      </c>
      <c r="O97" s="26"/>
      <c r="P97" s="34">
        <f>SUM(P94:P96)</f>
        <v>-489828.64999999979</v>
      </c>
      <c r="Q97" s="13"/>
      <c r="R97" s="31">
        <f>IF(P$12=0,0,P97/P$12)</f>
        <v>-1.6803094346566287</v>
      </c>
      <c r="S97" s="13"/>
      <c r="T97" s="34">
        <f>SUM(T94:T96)</f>
        <v>255687.25000000041</v>
      </c>
      <c r="U97" s="13"/>
      <c r="V97" s="31">
        <f>IF(T$12=0,0,T97/T$12)</f>
        <v>0.10329470548928181</v>
      </c>
      <c r="W97" s="15"/>
      <c r="X97" s="34">
        <f>+P97-T97</f>
        <v>-745515.90000000014</v>
      </c>
      <c r="Y97" s="15"/>
      <c r="Z97" s="31">
        <f>IF(T97=0,0,X97/T97)</f>
        <v>-2.9157335768600077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2"/>
      <c r="K98" s="18"/>
      <c r="L98" s="18"/>
      <c r="M98" s="18"/>
      <c r="P98" s="18"/>
      <c r="Q98" s="18"/>
      <c r="R98" s="42"/>
      <c r="S98" s="18"/>
      <c r="T98" s="18"/>
      <c r="U98" s="18"/>
      <c r="V98" s="42"/>
      <c r="W98" s="18"/>
      <c r="X98" s="18"/>
    </row>
    <row r="99" spans="1:26" x14ac:dyDescent="0.25">
      <c r="A99" s="9"/>
      <c r="B99" s="54">
        <v>44123.564895949072</v>
      </c>
      <c r="D99" s="18"/>
      <c r="E99" s="18"/>
      <c r="G99" s="18"/>
      <c r="H99" s="18"/>
      <c r="I99" s="18"/>
      <c r="J99" s="42"/>
      <c r="K99" s="18"/>
      <c r="L99" s="18"/>
      <c r="M99" s="18"/>
      <c r="P99" s="18"/>
      <c r="Q99" s="18"/>
      <c r="R99" s="42"/>
      <c r="S99" s="18"/>
      <c r="T99" s="18"/>
      <c r="U99" s="18"/>
      <c r="V99" s="42"/>
      <c r="W99" s="18"/>
      <c r="X99" s="18"/>
    </row>
    <row r="100" spans="1:26" x14ac:dyDescent="0.25">
      <c r="A100" s="9"/>
      <c r="B100" s="59" t="s">
        <v>313</v>
      </c>
      <c r="D100" s="18"/>
      <c r="E100" s="18"/>
      <c r="G100" s="18"/>
      <c r="H100" s="18"/>
      <c r="I100" s="18"/>
      <c r="J100" s="42"/>
      <c r="K100" s="18"/>
      <c r="L100" s="18"/>
      <c r="M100" s="18"/>
      <c r="P100" s="18"/>
      <c r="Q100" s="18"/>
      <c r="R100" s="42"/>
      <c r="S100" s="18"/>
      <c r="T100" s="18"/>
      <c r="U100" s="18"/>
      <c r="V100" s="42"/>
      <c r="W100" s="18"/>
      <c r="X100" s="18"/>
    </row>
    <row r="101" spans="1:26" x14ac:dyDescent="0.25">
      <c r="A101" s="9"/>
      <c r="B101" s="58"/>
      <c r="D101" s="18"/>
      <c r="E101" s="18"/>
      <c r="G101" s="18"/>
      <c r="H101" s="18"/>
      <c r="I101" s="18"/>
      <c r="J101" s="42"/>
      <c r="K101" s="18"/>
      <c r="L101" s="18"/>
      <c r="M101" s="18"/>
      <c r="P101" s="18"/>
      <c r="Q101" s="18"/>
      <c r="R101" s="42"/>
      <c r="S101" s="18"/>
      <c r="T101" s="18"/>
      <c r="U101" s="18"/>
      <c r="V101" s="42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2"/>
      <c r="K102" s="18"/>
      <c r="L102" s="18"/>
      <c r="M102" s="18"/>
      <c r="P102" s="18"/>
      <c r="Q102" s="18"/>
      <c r="R102" s="42"/>
      <c r="S102" s="18"/>
      <c r="T102" s="18"/>
      <c r="U102" s="18"/>
      <c r="V102" s="42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x14ac:dyDescent="0.25">
      <c r="A12" s="10"/>
      <c r="B12" s="26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6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5" t="s">
        <v>6</v>
      </c>
      <c r="C16" s="25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5"/>
      <c r="L16" s="22">
        <f>+D16-H16</f>
        <v>0</v>
      </c>
      <c r="M16" s="15"/>
      <c r="N16" s="21">
        <f>IF(H16=0,0,L16/H16)</f>
        <v>0</v>
      </c>
      <c r="O16" s="26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5"/>
      <c r="X16" s="22">
        <f>+P16-T16</f>
        <v>0</v>
      </c>
      <c r="Y16" s="15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6" t="s">
        <v>9</v>
      </c>
      <c r="C18" s="10"/>
      <c r="D18" s="20">
        <f>SUM(OSRRefD22x_0)</f>
        <v>14907.630000000001</v>
      </c>
      <c r="E18" s="20"/>
      <c r="F18" s="36">
        <f t="shared" ref="F18:F27" si="0">IF(D$12=0,0,D18/D$12)</f>
        <v>0</v>
      </c>
      <c r="G18" s="20"/>
      <c r="H18" s="20">
        <f>SUM(OSRRefH22x_0)</f>
        <v>21665.649999999998</v>
      </c>
      <c r="I18" s="20"/>
      <c r="J18" s="36">
        <f t="shared" ref="J18:J27" si="1">IF(H$12=0,0,H18/H$12)</f>
        <v>0</v>
      </c>
      <c r="K18" s="4"/>
      <c r="L18" s="20">
        <f t="shared" ref="L18:L27" si="2">+D18-H18</f>
        <v>-6758.0199999999968</v>
      </c>
      <c r="M18" s="4"/>
      <c r="N18" s="36">
        <f t="shared" ref="N18:N27" si="3">IF(H18=0,0,L18/H18)</f>
        <v>-0.31192325178335278</v>
      </c>
      <c r="O18" s="10"/>
      <c r="P18" s="20">
        <f>SUM(OSRRefP22x_0)</f>
        <v>47229.96</v>
      </c>
      <c r="Q18" s="20"/>
      <c r="R18" s="36">
        <f t="shared" ref="R18:R27" si="4">IF(P$12=0,0,P18/P$12)</f>
        <v>0</v>
      </c>
      <c r="S18" s="20"/>
      <c r="T18" s="20">
        <f>SUM(OSRRefT22x_0)</f>
        <v>47700.020000000004</v>
      </c>
      <c r="U18" s="20"/>
      <c r="V18" s="36">
        <f t="shared" ref="V18:V27" si="5">IF(T$12=0,0,T18/T$12)</f>
        <v>0</v>
      </c>
      <c r="W18" s="4"/>
      <c r="X18" s="20">
        <f t="shared" ref="X18:X27" si="6">+P18-T18</f>
        <v>-470.06000000000495</v>
      </c>
      <c r="Y18" s="4"/>
      <c r="Z18" s="36">
        <f t="shared" ref="Z18:Z27" si="7">IF(T18=0,0,X18/T18)</f>
        <v>-9.8545032056591361E-3</v>
      </c>
    </row>
    <row r="19" spans="1:26" s="27" customFormat="1" outlineLevel="1" collapsed="1" x14ac:dyDescent="0.25">
      <c r="A19" s="29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5796.4400000000005</v>
      </c>
      <c r="E19" s="1"/>
      <c r="F19" s="5">
        <f t="shared" si="0"/>
        <v>0</v>
      </c>
      <c r="G19" s="1"/>
      <c r="H19" s="1">
        <f>SUM(OSRRefH22_0x_0)</f>
        <v>5559.99</v>
      </c>
      <c r="I19" s="1"/>
      <c r="J19" s="5">
        <f t="shared" si="1"/>
        <v>0</v>
      </c>
      <c r="K19" s="1"/>
      <c r="L19" s="1">
        <f t="shared" si="2"/>
        <v>236.45000000000073</v>
      </c>
      <c r="M19" s="1"/>
      <c r="N19" s="5">
        <f t="shared" si="3"/>
        <v>4.2527054904775138E-2</v>
      </c>
      <c r="O19" s="14"/>
      <c r="P19" s="1">
        <f>SUM(OSRRefP22_0x_0)</f>
        <v>16504.310000000001</v>
      </c>
      <c r="Q19" s="1"/>
      <c r="R19" s="5">
        <f t="shared" si="4"/>
        <v>0</v>
      </c>
      <c r="S19" s="1"/>
      <c r="T19" s="1">
        <f>SUM(OSRRefT22_0x_0)</f>
        <v>17159.629999999997</v>
      </c>
      <c r="U19" s="1"/>
      <c r="V19" s="5">
        <f t="shared" si="5"/>
        <v>0</v>
      </c>
      <c r="W19" s="1"/>
      <c r="X19" s="1">
        <f t="shared" si="6"/>
        <v>-655.31999999999607</v>
      </c>
      <c r="Y19" s="1"/>
      <c r="Z19" s="5">
        <f t="shared" si="7"/>
        <v>-3.8189634624988776E-2</v>
      </c>
    </row>
    <row r="20" spans="1:26" s="24" customFormat="1" hidden="1" outlineLevel="2" x14ac:dyDescent="0.25">
      <c r="A20" s="28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623.1</v>
      </c>
      <c r="I20" s="2"/>
      <c r="J20" s="6">
        <f t="shared" si="1"/>
        <v>0</v>
      </c>
      <c r="K20" s="2"/>
      <c r="L20" s="7">
        <f t="shared" si="2"/>
        <v>62.319999999999936</v>
      </c>
      <c r="M20" s="2"/>
      <c r="N20" s="6">
        <f t="shared" si="3"/>
        <v>0.10001604878831638</v>
      </c>
      <c r="O20" s="11"/>
      <c r="P20" s="7">
        <v>2056.2600000000002</v>
      </c>
      <c r="Q20" s="2"/>
      <c r="R20" s="6">
        <f t="shared" si="4"/>
        <v>0</v>
      </c>
      <c r="S20" s="2"/>
      <c r="T20" s="7">
        <v>1869.3</v>
      </c>
      <c r="U20" s="2"/>
      <c r="V20" s="6">
        <f t="shared" si="5"/>
        <v>0</v>
      </c>
      <c r="W20" s="2"/>
      <c r="X20" s="7">
        <f t="shared" si="6"/>
        <v>186.96000000000026</v>
      </c>
      <c r="Y20" s="2"/>
      <c r="Z20" s="6">
        <f t="shared" si="7"/>
        <v>0.10001604878831663</v>
      </c>
    </row>
    <row r="21" spans="1:26" s="24" customFormat="1" hidden="1" outlineLevel="2" x14ac:dyDescent="0.25">
      <c r="A21" s="28"/>
      <c r="B21" s="11" t="str">
        <f>CONCATENATE("          ", "6112", " - ", "COMPENSATION INSURANCE")</f>
        <v xml:space="preserve">          6112 - COMPENSATION INSURANCE</v>
      </c>
      <c r="C21" s="11"/>
      <c r="D21" s="7">
        <v>384.36</v>
      </c>
      <c r="E21" s="2"/>
      <c r="F21" s="6">
        <f t="shared" si="0"/>
        <v>0</v>
      </c>
      <c r="G21" s="2"/>
      <c r="H21" s="7">
        <v>316.02999999999997</v>
      </c>
      <c r="I21" s="2"/>
      <c r="J21" s="6">
        <f t="shared" si="1"/>
        <v>0</v>
      </c>
      <c r="K21" s="2"/>
      <c r="L21" s="7">
        <f t="shared" si="2"/>
        <v>68.330000000000041</v>
      </c>
      <c r="M21" s="2"/>
      <c r="N21" s="6">
        <f t="shared" si="3"/>
        <v>0.21621365060279102</v>
      </c>
      <c r="O21" s="11"/>
      <c r="P21" s="7">
        <v>1153.08</v>
      </c>
      <c r="Q21" s="2"/>
      <c r="R21" s="6">
        <f t="shared" si="4"/>
        <v>0</v>
      </c>
      <c r="S21" s="2"/>
      <c r="T21" s="7">
        <v>948.09</v>
      </c>
      <c r="U21" s="2"/>
      <c r="V21" s="6">
        <f t="shared" si="5"/>
        <v>0</v>
      </c>
      <c r="W21" s="2"/>
      <c r="X21" s="7">
        <f t="shared" si="6"/>
        <v>204.9899999999999</v>
      </c>
      <c r="Y21" s="2"/>
      <c r="Z21" s="6">
        <f t="shared" si="7"/>
        <v>0.21621365060279077</v>
      </c>
    </row>
    <row r="22" spans="1:26" s="24" customFormat="1" hidden="1" outlineLevel="2" x14ac:dyDescent="0.25">
      <c r="A22" s="28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2730.6</v>
      </c>
      <c r="I22" s="2"/>
      <c r="J22" s="6">
        <f t="shared" si="1"/>
        <v>0</v>
      </c>
      <c r="K22" s="2"/>
      <c r="L22" s="7">
        <f t="shared" si="2"/>
        <v>7.3000000000001819</v>
      </c>
      <c r="M22" s="2"/>
      <c r="N22" s="6">
        <f t="shared" si="3"/>
        <v>2.6734051124295694E-3</v>
      </c>
      <c r="O22" s="11"/>
      <c r="P22" s="7">
        <v>8213.7000000000007</v>
      </c>
      <c r="Q22" s="2"/>
      <c r="R22" s="6">
        <f t="shared" si="4"/>
        <v>0</v>
      </c>
      <c r="S22" s="2"/>
      <c r="T22" s="7">
        <v>8191.8</v>
      </c>
      <c r="U22" s="2"/>
      <c r="V22" s="6">
        <f t="shared" si="5"/>
        <v>0</v>
      </c>
      <c r="W22" s="2"/>
      <c r="X22" s="7">
        <f t="shared" si="6"/>
        <v>21.900000000000546</v>
      </c>
      <c r="Y22" s="2"/>
      <c r="Z22" s="6">
        <f t="shared" si="7"/>
        <v>2.6734051124295694E-3</v>
      </c>
    </row>
    <row r="23" spans="1:26" s="24" customFormat="1" hidden="1" outlineLevel="2" x14ac:dyDescent="0.25">
      <c r="A23" s="28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23.29</v>
      </c>
      <c r="E23" s="2"/>
      <c r="F23" s="6">
        <f t="shared" si="0"/>
        <v>0</v>
      </c>
      <c r="G23" s="2"/>
      <c r="H23" s="7">
        <v>21.18</v>
      </c>
      <c r="I23" s="2"/>
      <c r="J23" s="6">
        <f t="shared" si="1"/>
        <v>0</v>
      </c>
      <c r="K23" s="2"/>
      <c r="L23" s="7">
        <f t="shared" si="2"/>
        <v>2.1099999999999994</v>
      </c>
      <c r="M23" s="2"/>
      <c r="N23" s="6">
        <f t="shared" si="3"/>
        <v>9.9622285174693084E-2</v>
      </c>
      <c r="O23" s="11"/>
      <c r="P23" s="7">
        <v>69.87</v>
      </c>
      <c r="Q23" s="2"/>
      <c r="R23" s="6">
        <f t="shared" si="4"/>
        <v>0</v>
      </c>
      <c r="S23" s="2"/>
      <c r="T23" s="7">
        <v>63.54</v>
      </c>
      <c r="U23" s="2"/>
      <c r="V23" s="6">
        <f t="shared" si="5"/>
        <v>0</v>
      </c>
      <c r="W23" s="2"/>
      <c r="X23" s="7">
        <f t="shared" si="6"/>
        <v>6.3300000000000054</v>
      </c>
      <c r="Y23" s="2"/>
      <c r="Z23" s="6">
        <f t="shared" si="7"/>
        <v>9.9622285174693195E-2</v>
      </c>
    </row>
    <row r="24" spans="1:26" s="24" customFormat="1" hidden="1" outlineLevel="2" x14ac:dyDescent="0.25">
      <c r="A24" s="28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568.92999999999995</v>
      </c>
      <c r="I24" s="2"/>
      <c r="J24" s="6">
        <f t="shared" si="1"/>
        <v>0</v>
      </c>
      <c r="K24" s="2"/>
      <c r="L24" s="7">
        <f t="shared" si="2"/>
        <v>123.6400000000001</v>
      </c>
      <c r="M24" s="2"/>
      <c r="N24" s="6">
        <f t="shared" si="3"/>
        <v>0.21732023271755771</v>
      </c>
      <c r="O24" s="11"/>
      <c r="P24" s="7">
        <v>2424</v>
      </c>
      <c r="Q24" s="2"/>
      <c r="R24" s="6">
        <f t="shared" si="4"/>
        <v>0</v>
      </c>
      <c r="S24" s="2"/>
      <c r="T24" s="7">
        <v>1706.79</v>
      </c>
      <c r="U24" s="2"/>
      <c r="V24" s="6">
        <f t="shared" si="5"/>
        <v>0</v>
      </c>
      <c r="W24" s="2"/>
      <c r="X24" s="7">
        <f t="shared" si="6"/>
        <v>717.21</v>
      </c>
      <c r="Y24" s="2"/>
      <c r="Z24" s="6">
        <f t="shared" si="7"/>
        <v>0.42020986764628343</v>
      </c>
    </row>
    <row r="25" spans="1:26" s="24" customFormat="1" hidden="1" outlineLevel="2" x14ac:dyDescent="0.25">
      <c r="A25" s="28"/>
      <c r="B25" s="11" t="str">
        <f>CONCATENATE("          ", "6118", " - ", "VACATION")</f>
        <v xml:space="preserve">          6118 - VACATION</v>
      </c>
      <c r="C25" s="11"/>
      <c r="D25" s="7">
        <v>827.64</v>
      </c>
      <c r="E25" s="2"/>
      <c r="F25" s="6">
        <f t="shared" si="0"/>
        <v>0</v>
      </c>
      <c r="G25" s="2"/>
      <c r="H25" s="7">
        <v>752.4</v>
      </c>
      <c r="I25" s="2"/>
      <c r="J25" s="6">
        <f t="shared" si="1"/>
        <v>0</v>
      </c>
      <c r="K25" s="2"/>
      <c r="L25" s="7">
        <f t="shared" si="2"/>
        <v>75.240000000000009</v>
      </c>
      <c r="M25" s="2"/>
      <c r="N25" s="6">
        <f t="shared" si="3"/>
        <v>0.10000000000000002</v>
      </c>
      <c r="O25" s="11"/>
      <c r="P25" s="7">
        <v>1275.6199999999999</v>
      </c>
      <c r="Q25" s="2"/>
      <c r="R25" s="6">
        <f t="shared" si="4"/>
        <v>0</v>
      </c>
      <c r="S25" s="2"/>
      <c r="T25" s="7">
        <v>2597.65</v>
      </c>
      <c r="U25" s="2"/>
      <c r="V25" s="6">
        <f t="shared" si="5"/>
        <v>0</v>
      </c>
      <c r="W25" s="2"/>
      <c r="X25" s="7">
        <f t="shared" si="6"/>
        <v>-1322.0300000000002</v>
      </c>
      <c r="Y25" s="2"/>
      <c r="Z25" s="6">
        <f t="shared" si="7"/>
        <v>-0.50893307412468969</v>
      </c>
    </row>
    <row r="26" spans="1:26" s="24" customFormat="1" hidden="1" outlineLevel="2" x14ac:dyDescent="0.25">
      <c r="A26" s="28"/>
      <c r="B26" s="11" t="str">
        <f>CONCATENATE("          ", "6119", " - ", "SICK LEAVE")</f>
        <v xml:space="preserve">          6119 - SICK LEAVE</v>
      </c>
      <c r="C26" s="11"/>
      <c r="D26" s="7">
        <v>413.26</v>
      </c>
      <c r="E26" s="2"/>
      <c r="F26" s="6">
        <f t="shared" si="0"/>
        <v>0</v>
      </c>
      <c r="G26" s="2"/>
      <c r="H26" s="7">
        <v>375.68</v>
      </c>
      <c r="I26" s="2"/>
      <c r="J26" s="6">
        <f t="shared" si="1"/>
        <v>0</v>
      </c>
      <c r="K26" s="2"/>
      <c r="L26" s="7">
        <f t="shared" si="2"/>
        <v>37.579999999999984</v>
      </c>
      <c r="M26" s="2"/>
      <c r="N26" s="6">
        <f t="shared" si="3"/>
        <v>0.10003194207836452</v>
      </c>
      <c r="O26" s="11"/>
      <c r="P26" s="7">
        <v>1239.78</v>
      </c>
      <c r="Q26" s="2"/>
      <c r="R26" s="6">
        <f t="shared" si="4"/>
        <v>0</v>
      </c>
      <c r="S26" s="2"/>
      <c r="T26" s="7">
        <v>1357.54</v>
      </c>
      <c r="U26" s="2"/>
      <c r="V26" s="6">
        <f t="shared" si="5"/>
        <v>0</v>
      </c>
      <c r="W26" s="2"/>
      <c r="X26" s="7">
        <f t="shared" si="6"/>
        <v>-117.75999999999999</v>
      </c>
      <c r="Y26" s="2"/>
      <c r="Z26" s="6">
        <f t="shared" si="7"/>
        <v>-8.6745141947935228E-2</v>
      </c>
    </row>
    <row r="27" spans="1:26" s="24" customFormat="1" hidden="1" outlineLevel="2" x14ac:dyDescent="0.25">
      <c r="A27" s="28"/>
      <c r="B27" s="11" t="str">
        <f>CONCATENATE("          ", "6156", " - ", "EMPLOYEE MEALS")</f>
        <v xml:space="preserve">          6156 - EMPLOYEE MEALS</v>
      </c>
      <c r="C27" s="11"/>
      <c r="D27" s="7">
        <v>32</v>
      </c>
      <c r="E27" s="2"/>
      <c r="F27" s="6">
        <f t="shared" si="0"/>
        <v>0</v>
      </c>
      <c r="G27" s="2"/>
      <c r="H27" s="7">
        <v>172.07</v>
      </c>
      <c r="I27" s="2"/>
      <c r="J27" s="6">
        <f t="shared" si="1"/>
        <v>0</v>
      </c>
      <c r="K27" s="2"/>
      <c r="L27" s="7">
        <f t="shared" si="2"/>
        <v>-140.07</v>
      </c>
      <c r="M27" s="2"/>
      <c r="N27" s="6">
        <f t="shared" si="3"/>
        <v>-0.81402917417330156</v>
      </c>
      <c r="O27" s="11"/>
      <c r="P27" s="7">
        <v>72</v>
      </c>
      <c r="Q27" s="2"/>
      <c r="R27" s="6">
        <f t="shared" si="4"/>
        <v>0</v>
      </c>
      <c r="S27" s="2"/>
      <c r="T27" s="7">
        <v>424.92</v>
      </c>
      <c r="U27" s="2"/>
      <c r="V27" s="6">
        <f t="shared" si="5"/>
        <v>0</v>
      </c>
      <c r="W27" s="2"/>
      <c r="X27" s="7">
        <f t="shared" si="6"/>
        <v>-352.92</v>
      </c>
      <c r="Y27" s="2"/>
      <c r="Z27" s="6">
        <f t="shared" si="7"/>
        <v>-0.83055634001694434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8959.5400000000009</v>
      </c>
      <c r="E28" s="1"/>
      <c r="F28" s="5">
        <f t="shared" ref="F28:F36" si="8">IF(D$12=0,0,D28/D$12)</f>
        <v>0</v>
      </c>
      <c r="G28" s="1"/>
      <c r="H28" s="1">
        <f>SUM(OSRRefH22_1x_0)</f>
        <v>8145.04</v>
      </c>
      <c r="I28" s="1"/>
      <c r="J28" s="5">
        <f t="shared" ref="J28:J36" si="9">IF(H$12=0,0,H28/H$12)</f>
        <v>0</v>
      </c>
      <c r="K28" s="1"/>
      <c r="L28" s="1">
        <f t="shared" ref="L28:L36" si="10">+D28-H28</f>
        <v>814.50000000000091</v>
      </c>
      <c r="M28" s="1"/>
      <c r="N28" s="5">
        <f t="shared" ref="N28:N36" si="11">IF(H28=0,0,L28/H28)</f>
        <v>9.9999508903578241E-2</v>
      </c>
      <c r="O28" s="14"/>
      <c r="P28" s="1">
        <f>SUM(OSRRefP22_1x_0)</f>
        <v>25534.799999999999</v>
      </c>
      <c r="Q28" s="1"/>
      <c r="R28" s="5">
        <f t="shared" ref="R28:R36" si="12">IF(P$12=0,0,P28/P$12)</f>
        <v>0</v>
      </c>
      <c r="S28" s="1"/>
      <c r="T28" s="1">
        <f>SUM(OSRRefT22_1x_0)</f>
        <v>21176.85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4357.9500000000007</v>
      </c>
      <c r="Y28" s="1"/>
      <c r="Z28" s="5">
        <f t="shared" ref="Z28:Z36" si="15">IF(T28=0,0,X28/T28)</f>
        <v>0.20578839629123316</v>
      </c>
    </row>
    <row r="29" spans="1:26" s="24" customFormat="1" hidden="1" outlineLevel="2" x14ac:dyDescent="0.25">
      <c r="A29" s="28"/>
      <c r="B29" s="11" t="str">
        <f>CONCATENATE("          ", "6001", " - ", "ADMINISTRATIVE SALARIES")</f>
        <v xml:space="preserve">          6001 - ADMINISTRATIVE SALARIES</v>
      </c>
      <c r="C29" s="11"/>
      <c r="D29" s="7">
        <v>8959.5400000000009</v>
      </c>
      <c r="E29" s="2"/>
      <c r="F29" s="6">
        <f t="shared" si="8"/>
        <v>0</v>
      </c>
      <c r="G29" s="2"/>
      <c r="H29" s="7">
        <v>8145.04</v>
      </c>
      <c r="I29" s="2"/>
      <c r="J29" s="6">
        <f t="shared" si="9"/>
        <v>0</v>
      </c>
      <c r="K29" s="2"/>
      <c r="L29" s="7">
        <f t="shared" si="10"/>
        <v>814.50000000000091</v>
      </c>
      <c r="M29" s="2"/>
      <c r="N29" s="6">
        <f t="shared" si="11"/>
        <v>9.9999508903578241E-2</v>
      </c>
      <c r="O29" s="11"/>
      <c r="P29" s="7">
        <v>25534.799999999999</v>
      </c>
      <c r="Q29" s="2"/>
      <c r="R29" s="6">
        <f t="shared" si="12"/>
        <v>0</v>
      </c>
      <c r="S29" s="2"/>
      <c r="T29" s="7">
        <v>21176.85</v>
      </c>
      <c r="U29" s="2"/>
      <c r="V29" s="6">
        <f t="shared" si="13"/>
        <v>0</v>
      </c>
      <c r="W29" s="2"/>
      <c r="X29" s="7">
        <f t="shared" si="14"/>
        <v>4357.9500000000007</v>
      </c>
      <c r="Y29" s="2"/>
      <c r="Z29" s="6">
        <f t="shared" si="15"/>
        <v>0.20578839629123316</v>
      </c>
    </row>
    <row r="30" spans="1:26" s="27" customFormat="1" outlineLevel="1" collapsed="1" x14ac:dyDescent="0.25">
      <c r="A30" s="29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1.65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1.65</v>
      </c>
      <c r="M30" s="1"/>
      <c r="N30" s="5">
        <f t="shared" si="11"/>
        <v>0</v>
      </c>
      <c r="O30" s="14"/>
      <c r="P30" s="1">
        <f>SUM(OSRRefP22_2x_0)</f>
        <v>1.65</v>
      </c>
      <c r="Q30" s="1"/>
      <c r="R30" s="5">
        <f t="shared" si="12"/>
        <v>0</v>
      </c>
      <c r="S30" s="1"/>
      <c r="T30" s="1">
        <f>SUM(OSRRefT22_2x_0)</f>
        <v>127.55</v>
      </c>
      <c r="U30" s="1"/>
      <c r="V30" s="5">
        <f t="shared" si="13"/>
        <v>0</v>
      </c>
      <c r="W30" s="1"/>
      <c r="X30" s="1">
        <f t="shared" si="14"/>
        <v>-125.89999999999999</v>
      </c>
      <c r="Y30" s="1"/>
      <c r="Z30" s="5">
        <f t="shared" si="15"/>
        <v>-0.98706389651117199</v>
      </c>
    </row>
    <row r="31" spans="1:26" s="24" customFormat="1" hidden="1" outlineLevel="2" x14ac:dyDescent="0.25">
      <c r="A31" s="28"/>
      <c r="B31" s="11" t="str">
        <f>CONCATENATE("          ", "6279", " - ", "GENERAL EXPENSE")</f>
        <v xml:space="preserve">          6279 - GENERAL EXPENSE</v>
      </c>
      <c r="C31" s="11"/>
      <c r="D31" s="7">
        <v>1.65</v>
      </c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1.65</v>
      </c>
      <c r="M31" s="2"/>
      <c r="N31" s="6">
        <f t="shared" si="11"/>
        <v>0</v>
      </c>
      <c r="O31" s="11"/>
      <c r="P31" s="7">
        <v>1.65</v>
      </c>
      <c r="Q31" s="2"/>
      <c r="R31" s="6">
        <f t="shared" si="12"/>
        <v>0</v>
      </c>
      <c r="S31" s="2"/>
      <c r="T31" s="7">
        <v>127.55</v>
      </c>
      <c r="U31" s="2"/>
      <c r="V31" s="6">
        <f t="shared" si="13"/>
        <v>0</v>
      </c>
      <c r="W31" s="2"/>
      <c r="X31" s="7">
        <f t="shared" si="14"/>
        <v>-125.89999999999999</v>
      </c>
      <c r="Y31" s="2"/>
      <c r="Z31" s="6">
        <f t="shared" si="15"/>
        <v>-0.98706389651117199</v>
      </c>
    </row>
    <row r="32" spans="1:26" s="27" customFormat="1" outlineLevel="1" collapsed="1" x14ac:dyDescent="0.25">
      <c r="A32" s="29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6340.43</v>
      </c>
      <c r="I32" s="1"/>
      <c r="J32" s="5">
        <f t="shared" si="9"/>
        <v>0</v>
      </c>
      <c r="K32" s="1"/>
      <c r="L32" s="1">
        <f t="shared" si="10"/>
        <v>-6340.43</v>
      </c>
      <c r="M32" s="1"/>
      <c r="N32" s="5">
        <f t="shared" si="11"/>
        <v>-1</v>
      </c>
      <c r="O32" s="14"/>
      <c r="P32" s="1">
        <f>SUM(OSRRefP22_3x_0)</f>
        <v>0</v>
      </c>
      <c r="Q32" s="1"/>
      <c r="R32" s="5">
        <f t="shared" si="12"/>
        <v>0</v>
      </c>
      <c r="S32" s="1"/>
      <c r="T32" s="1">
        <f>SUM(OSRRefT22_3x_0)</f>
        <v>6340.43</v>
      </c>
      <c r="U32" s="1"/>
      <c r="V32" s="5">
        <f t="shared" si="13"/>
        <v>0</v>
      </c>
      <c r="W32" s="1"/>
      <c r="X32" s="1">
        <f t="shared" si="14"/>
        <v>-6340.43</v>
      </c>
      <c r="Y32" s="1"/>
      <c r="Z32" s="5">
        <f t="shared" si="15"/>
        <v>-1</v>
      </c>
    </row>
    <row r="33" spans="1:26" s="24" customFormat="1" hidden="1" outlineLevel="2" x14ac:dyDescent="0.25">
      <c r="A33" s="28"/>
      <c r="B33" s="11" t="str">
        <f>CONCATENATE("          ", "6371", " - ", "COMPUTER SOFTWARE MAINTENANCE")</f>
        <v xml:space="preserve">          6371 - COMPUTER SOFTWARE MAINTENANCE</v>
      </c>
      <c r="C33" s="11"/>
      <c r="D33" s="7"/>
      <c r="E33" s="2"/>
      <c r="F33" s="6">
        <f t="shared" si="8"/>
        <v>0</v>
      </c>
      <c r="G33" s="2"/>
      <c r="H33" s="7">
        <v>6340.43</v>
      </c>
      <c r="I33" s="2"/>
      <c r="J33" s="6">
        <f t="shared" si="9"/>
        <v>0</v>
      </c>
      <c r="K33" s="2"/>
      <c r="L33" s="7">
        <f t="shared" si="10"/>
        <v>-6340.43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6340.43</v>
      </c>
      <c r="U33" s="2"/>
      <c r="V33" s="6">
        <f t="shared" si="13"/>
        <v>0</v>
      </c>
      <c r="W33" s="2"/>
      <c r="X33" s="7">
        <f t="shared" si="14"/>
        <v>-6340.43</v>
      </c>
      <c r="Y33" s="2"/>
      <c r="Z33" s="6">
        <f t="shared" si="15"/>
        <v>-1</v>
      </c>
    </row>
    <row r="34" spans="1:26" s="27" customFormat="1" outlineLevel="1" collapsed="1" x14ac:dyDescent="0.25">
      <c r="A34" s="29"/>
      <c r="B34" s="14" t="str">
        <f>CONCATENATE("     ","Supplies                                          ")</f>
        <v xml:space="preserve">     Supplies                                          </v>
      </c>
      <c r="C34" s="14"/>
      <c r="D34" s="1">
        <f>SUM(OSRRefD22_4x_0)</f>
        <v>0</v>
      </c>
      <c r="E34" s="1"/>
      <c r="F34" s="5">
        <f t="shared" si="8"/>
        <v>0</v>
      </c>
      <c r="G34" s="1"/>
      <c r="H34" s="1">
        <f>SUM(OSRRefH22_4x_0)</f>
        <v>1470.19</v>
      </c>
      <c r="I34" s="1"/>
      <c r="J34" s="5">
        <f t="shared" si="9"/>
        <v>0</v>
      </c>
      <c r="K34" s="1"/>
      <c r="L34" s="1">
        <f t="shared" si="10"/>
        <v>-1470.19</v>
      </c>
      <c r="M34" s="1"/>
      <c r="N34" s="5">
        <f t="shared" si="11"/>
        <v>-1</v>
      </c>
      <c r="O34" s="14"/>
      <c r="P34" s="1">
        <f>SUM(OSRRefP22_4x_0)</f>
        <v>4939.2</v>
      </c>
      <c r="Q34" s="1"/>
      <c r="R34" s="5">
        <f t="shared" si="12"/>
        <v>0</v>
      </c>
      <c r="S34" s="1"/>
      <c r="T34" s="1">
        <f>SUM(OSRRefT22_4x_0)</f>
        <v>2204.54</v>
      </c>
      <c r="U34" s="1"/>
      <c r="V34" s="5">
        <f t="shared" si="13"/>
        <v>0</v>
      </c>
      <c r="W34" s="1"/>
      <c r="X34" s="1">
        <f t="shared" si="14"/>
        <v>2734.66</v>
      </c>
      <c r="Y34" s="1"/>
      <c r="Z34" s="5">
        <f t="shared" si="15"/>
        <v>1.2404673990945956</v>
      </c>
    </row>
    <row r="35" spans="1:26" s="24" customFormat="1" hidden="1" outlineLevel="2" x14ac:dyDescent="0.25">
      <c r="A35" s="28"/>
      <c r="B35" s="11" t="str">
        <f>CONCATENATE("          ", "6235", " - ", "COVID-19 EXPENSES")</f>
        <v xml:space="preserve">          6235 - COVID-19 EXPENSES</v>
      </c>
      <c r="C35" s="11"/>
      <c r="D35" s="7"/>
      <c r="E35" s="2"/>
      <c r="F35" s="6">
        <f t="shared" si="8"/>
        <v>0</v>
      </c>
      <c r="G35" s="2"/>
      <c r="H35" s="7"/>
      <c r="I35" s="2"/>
      <c r="J35" s="6">
        <f t="shared" si="9"/>
        <v>0</v>
      </c>
      <c r="K35" s="2"/>
      <c r="L35" s="7">
        <f t="shared" si="10"/>
        <v>0</v>
      </c>
      <c r="M35" s="2"/>
      <c r="N35" s="6">
        <f t="shared" si="11"/>
        <v>0</v>
      </c>
      <c r="O35" s="11"/>
      <c r="P35" s="7">
        <v>4939.2</v>
      </c>
      <c r="Q35" s="2"/>
      <c r="R35" s="6">
        <f t="shared" si="12"/>
        <v>0</v>
      </c>
      <c r="S35" s="2"/>
      <c r="T35" s="7"/>
      <c r="U35" s="2"/>
      <c r="V35" s="6">
        <f t="shared" si="13"/>
        <v>0</v>
      </c>
      <c r="W35" s="2"/>
      <c r="X35" s="7">
        <f t="shared" si="14"/>
        <v>4939.2</v>
      </c>
      <c r="Y35" s="2"/>
      <c r="Z35" s="6">
        <f t="shared" si="15"/>
        <v>0</v>
      </c>
    </row>
    <row r="36" spans="1:26" s="24" customFormat="1" hidden="1" outlineLevel="2" x14ac:dyDescent="0.25">
      <c r="A36" s="28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8"/>
        <v>0</v>
      </c>
      <c r="G36" s="2"/>
      <c r="H36" s="7">
        <v>1470.19</v>
      </c>
      <c r="I36" s="2"/>
      <c r="J36" s="6">
        <f t="shared" si="9"/>
        <v>0</v>
      </c>
      <c r="K36" s="2"/>
      <c r="L36" s="7">
        <f t="shared" si="10"/>
        <v>-1470.19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2204.54</v>
      </c>
      <c r="U36" s="2"/>
      <c r="V36" s="6">
        <f t="shared" si="13"/>
        <v>0</v>
      </c>
      <c r="W36" s="2"/>
      <c r="X36" s="7">
        <f t="shared" si="14"/>
        <v>-2204.54</v>
      </c>
      <c r="Y36" s="2"/>
      <c r="Z36" s="6">
        <f t="shared" si="15"/>
        <v>-1</v>
      </c>
    </row>
    <row r="37" spans="1:26" s="27" customFormat="1" outlineLevel="1" collapsed="1" x14ac:dyDescent="0.25">
      <c r="A37" s="29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150</v>
      </c>
      <c r="E37" s="1"/>
      <c r="F37" s="5">
        <f t="shared" ref="F37:F42" si="16">IF(D$12=0,0,D37/D$12)</f>
        <v>0</v>
      </c>
      <c r="G37" s="1"/>
      <c r="H37" s="1">
        <f>SUM(OSRRefH22_5x_0)</f>
        <v>150</v>
      </c>
      <c r="I37" s="1"/>
      <c r="J37" s="5">
        <f t="shared" ref="J37:J42" si="17">IF(H$12=0,0,H37/H$12)</f>
        <v>0</v>
      </c>
      <c r="K37" s="1"/>
      <c r="L37" s="1">
        <f t="shared" ref="L37:L42" si="18">+D37-H37</f>
        <v>0</v>
      </c>
      <c r="M37" s="1"/>
      <c r="N37" s="5">
        <f t="shared" ref="N37:N42" si="19">IF(H37=0,0,L37/H37)</f>
        <v>0</v>
      </c>
      <c r="O37" s="14"/>
      <c r="P37" s="1">
        <f>SUM(OSRRefP22_5x_0)</f>
        <v>250</v>
      </c>
      <c r="Q37" s="1"/>
      <c r="R37" s="5">
        <f t="shared" ref="R37:R42" si="20">IF(P$12=0,0,P37/P$12)</f>
        <v>0</v>
      </c>
      <c r="S37" s="1"/>
      <c r="T37" s="1">
        <f>SUM(OSRRefT22_5x_0)</f>
        <v>-750</v>
      </c>
      <c r="U37" s="1"/>
      <c r="V37" s="5">
        <f t="shared" ref="V37:V42" si="21">IF(T$12=0,0,T37/T$12)</f>
        <v>0</v>
      </c>
      <c r="W37" s="1"/>
      <c r="X37" s="1">
        <f t="shared" ref="X37:X42" si="22">+P37-T37</f>
        <v>1000</v>
      </c>
      <c r="Y37" s="1"/>
      <c r="Z37" s="5">
        <f t="shared" ref="Z37:Z42" si="23">IF(T37=0,0,X37/T37)</f>
        <v>-1.3333333333333333</v>
      </c>
    </row>
    <row r="38" spans="1:26" s="24" customFormat="1" hidden="1" outlineLevel="2" x14ac:dyDescent="0.25">
      <c r="A38" s="28"/>
      <c r="B38" s="11" t="str">
        <f>CONCATENATE("          ", "6309", " - ", "TELEPHONE")</f>
        <v xml:space="preserve">          6309 - TELEPHONE</v>
      </c>
      <c r="C38" s="11"/>
      <c r="D38" s="7">
        <v>150</v>
      </c>
      <c r="E38" s="2"/>
      <c r="F38" s="6">
        <f t="shared" si="16"/>
        <v>0</v>
      </c>
      <c r="G38" s="2"/>
      <c r="H38" s="7">
        <v>150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250</v>
      </c>
      <c r="Q38" s="2"/>
      <c r="R38" s="6">
        <f t="shared" si="20"/>
        <v>0</v>
      </c>
      <c r="S38" s="2"/>
      <c r="T38" s="7">
        <v>-750</v>
      </c>
      <c r="U38" s="2"/>
      <c r="V38" s="6">
        <f t="shared" si="21"/>
        <v>0</v>
      </c>
      <c r="W38" s="2"/>
      <c r="X38" s="7">
        <f t="shared" si="22"/>
        <v>1000</v>
      </c>
      <c r="Y38" s="2"/>
      <c r="Z38" s="6">
        <f t="shared" si="23"/>
        <v>-1.3333333333333333</v>
      </c>
    </row>
    <row r="39" spans="1:26" s="27" customFormat="1" outlineLevel="1" collapsed="1" x14ac:dyDescent="0.25">
      <c r="A39" s="29"/>
      <c r="B39" s="14" t="str">
        <f>CONCATENATE("     ","Training                                          ")</f>
        <v xml:space="preserve">     Training                                          </v>
      </c>
      <c r="C39" s="14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0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1321.12</v>
      </c>
      <c r="U39" s="1"/>
      <c r="V39" s="5">
        <f t="shared" si="21"/>
        <v>0</v>
      </c>
      <c r="W39" s="1"/>
      <c r="X39" s="1">
        <f t="shared" si="22"/>
        <v>-1321.12</v>
      </c>
      <c r="Y39" s="1"/>
      <c r="Z39" s="5">
        <f t="shared" si="23"/>
        <v>-1</v>
      </c>
    </row>
    <row r="40" spans="1:26" s="24" customFormat="1" hidden="1" outlineLevel="2" x14ac:dyDescent="0.25">
      <c r="A40" s="28"/>
      <c r="B40" s="11" t="str">
        <f>CONCATENATE("          ", "6376", " - ", "TRAINING")</f>
        <v xml:space="preserve">          6376 - TRAINING</v>
      </c>
      <c r="C40" s="11"/>
      <c r="D40" s="7"/>
      <c r="E40" s="2"/>
      <c r="F40" s="6">
        <f t="shared" si="16"/>
        <v>0</v>
      </c>
      <c r="G40" s="2"/>
      <c r="H40" s="7"/>
      <c r="I40" s="2"/>
      <c r="J40" s="6">
        <f t="shared" si="17"/>
        <v>0</v>
      </c>
      <c r="K40" s="2"/>
      <c r="L40" s="7">
        <f t="shared" si="18"/>
        <v>0</v>
      </c>
      <c r="M40" s="2"/>
      <c r="N40" s="6">
        <f t="shared" si="19"/>
        <v>0</v>
      </c>
      <c r="O40" s="11"/>
      <c r="P40" s="7"/>
      <c r="Q40" s="2"/>
      <c r="R40" s="6">
        <f t="shared" si="20"/>
        <v>0</v>
      </c>
      <c r="S40" s="2"/>
      <c r="T40" s="7">
        <v>1321.12</v>
      </c>
      <c r="U40" s="2"/>
      <c r="V40" s="6">
        <f t="shared" si="21"/>
        <v>0</v>
      </c>
      <c r="W40" s="2"/>
      <c r="X40" s="7">
        <f t="shared" si="22"/>
        <v>-1321.12</v>
      </c>
      <c r="Y40" s="2"/>
      <c r="Z40" s="6">
        <f t="shared" si="23"/>
        <v>-1</v>
      </c>
    </row>
    <row r="41" spans="1:26" s="27" customFormat="1" outlineLevel="1" collapsed="1" x14ac:dyDescent="0.25">
      <c r="A41" s="29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SUM(OSRRefP22_7x_0)</f>
        <v>0</v>
      </c>
      <c r="Q41" s="1"/>
      <c r="R41" s="5">
        <f t="shared" si="20"/>
        <v>0</v>
      </c>
      <c r="S41" s="1"/>
      <c r="T41" s="1">
        <f>SUM(OSRRefT22_7x_0)</f>
        <v>119.9</v>
      </c>
      <c r="U41" s="1"/>
      <c r="V41" s="5">
        <f t="shared" si="21"/>
        <v>0</v>
      </c>
      <c r="W41" s="1"/>
      <c r="X41" s="1">
        <f t="shared" si="22"/>
        <v>-119.9</v>
      </c>
      <c r="Y41" s="1"/>
      <c r="Z41" s="5">
        <f t="shared" si="23"/>
        <v>-1</v>
      </c>
    </row>
    <row r="42" spans="1:26" s="24" customFormat="1" hidden="1" outlineLevel="2" x14ac:dyDescent="0.25">
      <c r="A42" s="28"/>
      <c r="B42" s="11" t="str">
        <f>CONCATENATE("          ", "6292", " - ", "TRAVEL/CONFERENCE")</f>
        <v xml:space="preserve">          6292 - TRAVEL/CONFERENCE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119.9</v>
      </c>
      <c r="U42" s="2"/>
      <c r="V42" s="6">
        <f t="shared" si="21"/>
        <v>0</v>
      </c>
      <c r="W42" s="2"/>
      <c r="X42" s="7">
        <f t="shared" si="22"/>
        <v>-119.9</v>
      </c>
      <c r="Y42" s="2"/>
      <c r="Z42" s="6">
        <f t="shared" si="23"/>
        <v>-1</v>
      </c>
    </row>
    <row r="43" spans="1:26" s="60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6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5" t="s">
        <v>3</v>
      </c>
      <c r="C46" s="25"/>
      <c r="D46" s="22">
        <f>+D16-D18+D44</f>
        <v>-14907.630000000001</v>
      </c>
      <c r="E46" s="13"/>
      <c r="F46" s="21">
        <f>IF(D$12=0,0,D46/D$12)</f>
        <v>0</v>
      </c>
      <c r="G46" s="13"/>
      <c r="H46" s="22">
        <f>+H16-H18+H44</f>
        <v>-21665.649999999998</v>
      </c>
      <c r="I46" s="13"/>
      <c r="J46" s="21">
        <f>IF(H$12=0,0,H46/H$12)</f>
        <v>0</v>
      </c>
      <c r="K46" s="15"/>
      <c r="L46" s="22">
        <f>+D46-H46</f>
        <v>6758.0199999999968</v>
      </c>
      <c r="M46" s="15"/>
      <c r="N46" s="21">
        <f>IF(H46=0,0,L46/H46)</f>
        <v>-0.31192325178335278</v>
      </c>
      <c r="O46" s="26"/>
      <c r="P46" s="22">
        <f>+P16-P18+P44</f>
        <v>-47229.96</v>
      </c>
      <c r="Q46" s="13"/>
      <c r="R46" s="21">
        <f>IF(P$12=0,0,P46/P$12)</f>
        <v>0</v>
      </c>
      <c r="S46" s="13"/>
      <c r="T46" s="22">
        <f>+T16-T18+T44</f>
        <v>-47700.020000000004</v>
      </c>
      <c r="U46" s="13"/>
      <c r="V46" s="21">
        <f>IF(T$12=0,0,T46/T$12)</f>
        <v>0</v>
      </c>
      <c r="W46" s="15"/>
      <c r="X46" s="22">
        <f>+P46-T46</f>
        <v>470.06000000000495</v>
      </c>
      <c r="Y46" s="15"/>
      <c r="Z46" s="21">
        <f>IF(T46=0,0,X46/T46)</f>
        <v>-9.8545032056591361E-3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5" t="s">
        <v>4</v>
      </c>
      <c r="C50" s="25"/>
      <c r="D50" s="33">
        <f>+D46-D48</f>
        <v>-14907.630000000001</v>
      </c>
      <c r="E50" s="13"/>
      <c r="F50" s="32">
        <f>IF(D$12=0,0,D50/D$12)</f>
        <v>0</v>
      </c>
      <c r="G50" s="13"/>
      <c r="H50" s="33">
        <f>+H46-H48</f>
        <v>-21665.649999999998</v>
      </c>
      <c r="I50" s="13"/>
      <c r="J50" s="32">
        <f>IF(H$12=0,0,H50/H$12)</f>
        <v>0</v>
      </c>
      <c r="K50" s="15"/>
      <c r="L50" s="33">
        <f>D50-H50</f>
        <v>6758.0199999999968</v>
      </c>
      <c r="M50" s="15"/>
      <c r="N50" s="32">
        <f>IF(H50=0,0,L50/H50)</f>
        <v>-0.31192325178335278</v>
      </c>
      <c r="O50" s="26"/>
      <c r="P50" s="33">
        <f>+P46-P48</f>
        <v>-47229.96</v>
      </c>
      <c r="Q50" s="13"/>
      <c r="R50" s="32">
        <f>IF(P$12=0,0,P50/P$12)</f>
        <v>0</v>
      </c>
      <c r="S50" s="13"/>
      <c r="T50" s="33">
        <f>+T46-T48</f>
        <v>-47700.020000000004</v>
      </c>
      <c r="U50" s="13"/>
      <c r="V50" s="32">
        <f>IF(T$12=0,0,T50/T$12)</f>
        <v>0</v>
      </c>
      <c r="W50" s="15"/>
      <c r="X50" s="33">
        <f>P50-T50</f>
        <v>470.06000000000495</v>
      </c>
      <c r="Y50" s="15"/>
      <c r="Z50" s="32">
        <f>IF(T50=0,0,X50/T50)</f>
        <v>-9.8545032056591361E-3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5" t="s">
        <v>5</v>
      </c>
      <c r="C53" s="25"/>
      <c r="D53" s="34">
        <f>SUM(D50:D52)</f>
        <v>-14907.630000000001</v>
      </c>
      <c r="E53" s="13"/>
      <c r="F53" s="31">
        <f>IF(D$12=0,0,D53/D$12)</f>
        <v>0</v>
      </c>
      <c r="G53" s="13"/>
      <c r="H53" s="34">
        <f>SUM(H50:H52)</f>
        <v>-21665.649999999998</v>
      </c>
      <c r="I53" s="13"/>
      <c r="J53" s="31">
        <f>IF(H$12=0,0,H53/H$12)</f>
        <v>0</v>
      </c>
      <c r="K53" s="15"/>
      <c r="L53" s="34">
        <f>+D53-H53</f>
        <v>6758.0199999999968</v>
      </c>
      <c r="M53" s="15"/>
      <c r="N53" s="31">
        <f>IF(H53=0,0,L53/H53)</f>
        <v>-0.31192325178335278</v>
      </c>
      <c r="O53" s="26"/>
      <c r="P53" s="34">
        <f>SUM(P50:P52)</f>
        <v>-47229.96</v>
      </c>
      <c r="Q53" s="13"/>
      <c r="R53" s="31">
        <f>IF(P$12=0,0,P53/P$12)</f>
        <v>0</v>
      </c>
      <c r="S53" s="13"/>
      <c r="T53" s="34">
        <f>SUM(T50:T52)</f>
        <v>-47700.020000000004</v>
      </c>
      <c r="U53" s="13"/>
      <c r="V53" s="31">
        <f>IF(T$12=0,0,T53/T$12)</f>
        <v>0</v>
      </c>
      <c r="W53" s="15"/>
      <c r="X53" s="34">
        <f>+P53-T53</f>
        <v>470.06000000000495</v>
      </c>
      <c r="Y53" s="15"/>
      <c r="Z53" s="31">
        <f>IF(T53=0,0,X53/T53)</f>
        <v>-9.8545032056591361E-3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2"/>
      <c r="K54" s="18"/>
      <c r="L54" s="18"/>
      <c r="M54" s="18"/>
      <c r="P54" s="18"/>
      <c r="Q54" s="18"/>
      <c r="R54" s="42"/>
      <c r="S54" s="18"/>
      <c r="T54" s="18"/>
      <c r="U54" s="18"/>
      <c r="V54" s="42"/>
      <c r="W54" s="18"/>
      <c r="X54" s="18"/>
    </row>
    <row r="55" spans="1:26" x14ac:dyDescent="0.25">
      <c r="A55" s="9"/>
      <c r="B55" s="54">
        <v>44123.565771296293</v>
      </c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9" t="s">
        <v>313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8"/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25410.25</v>
      </c>
      <c r="E12" s="4"/>
      <c r="F12" s="12"/>
      <c r="G12" s="4"/>
      <c r="H12" s="4">
        <f>SUM(OSRRefH13x_0)</f>
        <v>576765.42000000004</v>
      </c>
      <c r="I12" s="4"/>
      <c r="J12" s="12"/>
      <c r="K12" s="4"/>
      <c r="L12" s="4">
        <f t="shared" ref="L12:L15" si="0">+D12-H12</f>
        <v>-551355.17000000004</v>
      </c>
      <c r="M12" s="4"/>
      <c r="N12" s="12">
        <f t="shared" ref="N12:N15" si="1">IF(H12=0,0,L12/H12)</f>
        <v>-0.95594352726624976</v>
      </c>
      <c r="O12" s="10"/>
      <c r="P12" s="4">
        <f>SUM(OSRRefP13x_0)</f>
        <v>47895.17</v>
      </c>
      <c r="Q12" s="4"/>
      <c r="R12" s="12"/>
      <c r="S12" s="4"/>
      <c r="T12" s="4">
        <f>SUM(OSRRefT13x_0)</f>
        <v>1065250.58</v>
      </c>
      <c r="U12" s="4"/>
      <c r="V12" s="12"/>
      <c r="W12" s="4"/>
      <c r="X12" s="4">
        <f t="shared" ref="X12:X15" si="2">+P12-T12</f>
        <v>-1017355.41</v>
      </c>
      <c r="Y12" s="4"/>
      <c r="Z12" s="12">
        <f t="shared" ref="Z12:Z15" si="3">IF(T12=0,0,X12/T12)</f>
        <v>-0.9550385881977177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--1253.12</f>
        <v>1253.1199999999999</v>
      </c>
      <c r="I13" s="2"/>
      <c r="J13" s="19"/>
      <c r="K13" s="2"/>
      <c r="L13" s="2">
        <f t="shared" si="0"/>
        <v>-1253.1199999999999</v>
      </c>
      <c r="M13" s="2"/>
      <c r="N13" s="19">
        <f t="shared" si="1"/>
        <v>-1</v>
      </c>
      <c r="O13" s="11"/>
      <c r="P13" s="2">
        <f>--217.65</f>
        <v>217.65</v>
      </c>
      <c r="Q13" s="2"/>
      <c r="R13" s="19"/>
      <c r="S13" s="2"/>
      <c r="T13" s="2">
        <f>--1987.09</f>
        <v>1987.09</v>
      </c>
      <c r="U13" s="2"/>
      <c r="V13" s="19"/>
      <c r="W13" s="2"/>
      <c r="X13" s="2">
        <f t="shared" si="2"/>
        <v>-1769.4399999999998</v>
      </c>
      <c r="Y13" s="2"/>
      <c r="Z13" s="19">
        <f t="shared" si="3"/>
        <v>-0.89046797075119899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--25090.25</f>
        <v>25090.25</v>
      </c>
      <c r="E14" s="2"/>
      <c r="F14" s="19"/>
      <c r="G14" s="2"/>
      <c r="H14" s="2">
        <f>--542876.64</f>
        <v>542876.64</v>
      </c>
      <c r="I14" s="2"/>
      <c r="J14" s="19"/>
      <c r="K14" s="2"/>
      <c r="L14" s="2">
        <f t="shared" si="0"/>
        <v>-517786.39</v>
      </c>
      <c r="M14" s="2"/>
      <c r="N14" s="19">
        <f t="shared" si="1"/>
        <v>-0.95378277834905556</v>
      </c>
      <c r="O14" s="11"/>
      <c r="P14" s="2">
        <f>--28190.25</f>
        <v>28190.25</v>
      </c>
      <c r="Q14" s="2"/>
      <c r="R14" s="19"/>
      <c r="S14" s="2"/>
      <c r="T14" s="2">
        <f>--930182.53</f>
        <v>930182.53</v>
      </c>
      <c r="U14" s="2"/>
      <c r="V14" s="19"/>
      <c r="W14" s="2"/>
      <c r="X14" s="2">
        <f t="shared" si="2"/>
        <v>-901992.28</v>
      </c>
      <c r="Y14" s="2"/>
      <c r="Z14" s="19">
        <f t="shared" si="3"/>
        <v>-0.96969385137775055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--320</f>
        <v>320</v>
      </c>
      <c r="E15" s="2"/>
      <c r="F15" s="19"/>
      <c r="G15" s="2"/>
      <c r="H15" s="2">
        <f>--32635.66</f>
        <v>32635.66</v>
      </c>
      <c r="I15" s="2"/>
      <c r="J15" s="19"/>
      <c r="K15" s="2"/>
      <c r="L15" s="2">
        <f t="shared" si="0"/>
        <v>-32315.66</v>
      </c>
      <c r="M15" s="2"/>
      <c r="N15" s="19">
        <f t="shared" si="1"/>
        <v>-0.99019477467285788</v>
      </c>
      <c r="O15" s="11"/>
      <c r="P15" s="2">
        <f>--19487.27</f>
        <v>19487.27</v>
      </c>
      <c r="Q15" s="2"/>
      <c r="R15" s="19"/>
      <c r="S15" s="2"/>
      <c r="T15" s="2">
        <f>--133080.96</f>
        <v>133080.95999999999</v>
      </c>
      <c r="U15" s="2"/>
      <c r="V15" s="19"/>
      <c r="W15" s="2"/>
      <c r="X15" s="2">
        <f t="shared" si="2"/>
        <v>-113593.68999999999</v>
      </c>
      <c r="Y15" s="2"/>
      <c r="Z15" s="19">
        <f t="shared" si="3"/>
        <v>-0.85356830909545589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9" si="4">IF(D$12=0,0,D17/D$12)</f>
        <v>0</v>
      </c>
      <c r="G17" s="4"/>
      <c r="H17" s="4">
        <f>SUM(OSRRefH16x_0)</f>
        <v>121118.31999999999</v>
      </c>
      <c r="I17" s="4"/>
      <c r="J17" s="12">
        <f t="shared" ref="J17:J19" si="5">IF(H$12=0,0,H17/H$12)</f>
        <v>0.20999580730758785</v>
      </c>
      <c r="K17" s="4"/>
      <c r="L17" s="4">
        <f t="shared" ref="L17:L19" si="6">+D17-H17</f>
        <v>-121118.31999999999</v>
      </c>
      <c r="M17" s="4"/>
      <c r="N17" s="12">
        <f t="shared" ref="N17:N19" si="7">IF(H17=0,0,L17/H17)</f>
        <v>-1</v>
      </c>
      <c r="O17" s="10"/>
      <c r="P17" s="4">
        <f>SUM(OSRRefP16x_0)</f>
        <v>25116.92</v>
      </c>
      <c r="Q17" s="4"/>
      <c r="R17" s="12">
        <f t="shared" ref="R17:R19" si="8">IF(P$12=0,0,P17/P$12)</f>
        <v>0.52441446600982933</v>
      </c>
      <c r="S17" s="4"/>
      <c r="T17" s="4">
        <f>SUM(OSRRefT16x_0)</f>
        <v>249421.85</v>
      </c>
      <c r="U17" s="4"/>
      <c r="V17" s="12">
        <f t="shared" ref="V17:V19" si="9">IF(T$12=0,0,T17/T$12)</f>
        <v>0.23414382933262518</v>
      </c>
      <c r="W17" s="4"/>
      <c r="X17" s="4">
        <f t="shared" ref="X17:X19" si="10">+P17-T17</f>
        <v>-224304.93</v>
      </c>
      <c r="Y17" s="4"/>
      <c r="Z17" s="12">
        <f t="shared" ref="Z17:Z19" si="11">IF(T17=0,0,X17/T17)</f>
        <v>-0.89929943988467731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4"/>
        <v>0</v>
      </c>
      <c r="G18" s="2"/>
      <c r="H18" s="2">
        <v>119484.56999999999</v>
      </c>
      <c r="I18" s="2"/>
      <c r="J18" s="19">
        <f t="shared" si="5"/>
        <v>0.20716319990196358</v>
      </c>
      <c r="K18" s="2"/>
      <c r="L18" s="2">
        <f t="shared" si="6"/>
        <v>-119484.56999999999</v>
      </c>
      <c r="M18" s="2"/>
      <c r="N18" s="19">
        <f t="shared" si="7"/>
        <v>-1</v>
      </c>
      <c r="O18" s="11"/>
      <c r="P18" s="2">
        <v>14204.92</v>
      </c>
      <c r="Q18" s="2"/>
      <c r="R18" s="19">
        <f t="shared" si="8"/>
        <v>0.29658355946956655</v>
      </c>
      <c r="S18" s="2"/>
      <c r="T18" s="2">
        <v>256896.1</v>
      </c>
      <c r="U18" s="2"/>
      <c r="V18" s="19">
        <f t="shared" si="9"/>
        <v>0.24116025358089924</v>
      </c>
      <c r="W18" s="2"/>
      <c r="X18" s="2">
        <f t="shared" si="10"/>
        <v>-242691.18</v>
      </c>
      <c r="Y18" s="2"/>
      <c r="Z18" s="19">
        <f t="shared" si="11"/>
        <v>-0.94470558330780419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4"/>
        <v>0</v>
      </c>
      <c r="G19" s="2"/>
      <c r="H19" s="2">
        <v>1633.75</v>
      </c>
      <c r="I19" s="2"/>
      <c r="J19" s="19">
        <f t="shared" si="5"/>
        <v>2.8326074056242829E-3</v>
      </c>
      <c r="K19" s="2"/>
      <c r="L19" s="2">
        <f t="shared" si="6"/>
        <v>-1633.75</v>
      </c>
      <c r="M19" s="2"/>
      <c r="N19" s="19">
        <f t="shared" si="7"/>
        <v>-1</v>
      </c>
      <c r="O19" s="11"/>
      <c r="P19" s="2">
        <v>10912</v>
      </c>
      <c r="Q19" s="2"/>
      <c r="R19" s="19">
        <f t="shared" si="8"/>
        <v>0.22783090654026283</v>
      </c>
      <c r="S19" s="2"/>
      <c r="T19" s="2">
        <v>-7474.25</v>
      </c>
      <c r="U19" s="2"/>
      <c r="V19" s="19">
        <f t="shared" si="9"/>
        <v>-7.0164242482740535E-3</v>
      </c>
      <c r="W19" s="2"/>
      <c r="X19" s="2">
        <f t="shared" si="10"/>
        <v>18386.25</v>
      </c>
      <c r="Y19" s="2"/>
      <c r="Z19" s="19">
        <f t="shared" si="11"/>
        <v>-2.4599458139612671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2">
        <f>D12-D17</f>
        <v>25410.25</v>
      </c>
      <c r="E21" s="13"/>
      <c r="F21" s="21">
        <f>IF(D$12=0,0,D21/D$12)</f>
        <v>1</v>
      </c>
      <c r="G21" s="13"/>
      <c r="H21" s="22">
        <f>H12-H17</f>
        <v>455647.10000000003</v>
      </c>
      <c r="I21" s="13"/>
      <c r="J21" s="21">
        <f>IF(H$12=0,0,H21/H$12)</f>
        <v>0.79000419269241207</v>
      </c>
      <c r="K21" s="15"/>
      <c r="L21" s="22">
        <f>+D21-H21</f>
        <v>-430236.85000000003</v>
      </c>
      <c r="M21" s="15"/>
      <c r="N21" s="21">
        <f>IF(H21=0,0,L21/H21)</f>
        <v>-0.94423260896426209</v>
      </c>
      <c r="O21" s="26"/>
      <c r="P21" s="22">
        <f>P12-P17</f>
        <v>22778.25</v>
      </c>
      <c r="Q21" s="13"/>
      <c r="R21" s="21">
        <f>IF(P$12=0,0,P21/P$12)</f>
        <v>0.47558553399017062</v>
      </c>
      <c r="S21" s="13"/>
      <c r="T21" s="22">
        <f>T12-T17</f>
        <v>815828.7300000001</v>
      </c>
      <c r="U21" s="13"/>
      <c r="V21" s="21">
        <f>IF(T$12=0,0,T21/T$12)</f>
        <v>0.76585617066737488</v>
      </c>
      <c r="W21" s="15"/>
      <c r="X21" s="22">
        <f>+P21-T21</f>
        <v>-793050.4800000001</v>
      </c>
      <c r="Y21" s="15"/>
      <c r="Z21" s="21">
        <f>IF(T21=0,0,X21/T21)</f>
        <v>-0.97207961774035589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51893.159999999989</v>
      </c>
      <c r="E23" s="20"/>
      <c r="F23" s="36">
        <f t="shared" ref="F23:F33" si="12">IF(D$12=0,0,D23/D$12)</f>
        <v>2.0422136736159615</v>
      </c>
      <c r="G23" s="20"/>
      <c r="H23" s="20">
        <f>SUM(OSRRefH22x_0)</f>
        <v>192791.30000000005</v>
      </c>
      <c r="I23" s="20"/>
      <c r="J23" s="36">
        <f t="shared" ref="J23:J33" si="13">IF(H$12=0,0,H23/H$12)</f>
        <v>0.33426293136644708</v>
      </c>
      <c r="K23" s="4"/>
      <c r="L23" s="20">
        <f t="shared" ref="L23:L33" si="14">+D23-H23</f>
        <v>-140898.14000000007</v>
      </c>
      <c r="M23" s="4"/>
      <c r="N23" s="36">
        <f t="shared" ref="N23:N33" si="15">IF(H23=0,0,L23/H23)</f>
        <v>-0.73083245976348543</v>
      </c>
      <c r="O23" s="10"/>
      <c r="P23" s="20">
        <f>SUM(OSRRefP22x_0)</f>
        <v>165414.93</v>
      </c>
      <c r="Q23" s="20"/>
      <c r="R23" s="36">
        <f t="shared" ref="R23:R33" si="16">IF(P$12=0,0,P23/P$12)</f>
        <v>3.4536870836871443</v>
      </c>
      <c r="S23" s="20"/>
      <c r="T23" s="20">
        <f>SUM(OSRRefT22x_0)</f>
        <v>461959.77000000008</v>
      </c>
      <c r="U23" s="20"/>
      <c r="V23" s="36">
        <f t="shared" ref="V23:V33" si="17">IF(T$12=0,0,T23/T$12)</f>
        <v>0.43366300725224671</v>
      </c>
      <c r="W23" s="4"/>
      <c r="X23" s="20">
        <f t="shared" ref="X23:X33" si="18">+P23-T23</f>
        <v>-296544.84000000008</v>
      </c>
      <c r="Y23" s="4"/>
      <c r="Z23" s="36">
        <f t="shared" ref="Z23:Z33" si="19">IF(T23=0,0,X23/T23)</f>
        <v>-0.64192784579488393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21183.35</v>
      </c>
      <c r="E24" s="1"/>
      <c r="F24" s="5">
        <f t="shared" si="12"/>
        <v>0.83365374209226584</v>
      </c>
      <c r="G24" s="1"/>
      <c r="H24" s="1">
        <f>SUM(OSRRefH22_0x_0)</f>
        <v>26359.309999999998</v>
      </c>
      <c r="I24" s="1"/>
      <c r="J24" s="5">
        <f t="shared" si="13"/>
        <v>4.5701959732606705E-2</v>
      </c>
      <c r="K24" s="1"/>
      <c r="L24" s="1">
        <f t="shared" si="14"/>
        <v>-5175.9599999999991</v>
      </c>
      <c r="M24" s="1"/>
      <c r="N24" s="5">
        <f t="shared" si="15"/>
        <v>-0.19636174088016717</v>
      </c>
      <c r="O24" s="14"/>
      <c r="P24" s="1">
        <f>SUM(OSRRefP22_0x_0)</f>
        <v>60419.62999999999</v>
      </c>
      <c r="Q24" s="1"/>
      <c r="R24" s="5">
        <f t="shared" si="16"/>
        <v>1.2614973493151813</v>
      </c>
      <c r="S24" s="1"/>
      <c r="T24" s="1">
        <f>SUM(OSRRefT22_0x_0)</f>
        <v>84491.499999999985</v>
      </c>
      <c r="U24" s="1"/>
      <c r="V24" s="5">
        <f t="shared" si="17"/>
        <v>7.9316079790353156E-2</v>
      </c>
      <c r="W24" s="1"/>
      <c r="X24" s="1">
        <f t="shared" si="18"/>
        <v>-24071.869999999995</v>
      </c>
      <c r="Y24" s="1"/>
      <c r="Z24" s="5">
        <f t="shared" si="19"/>
        <v>-0.28490286005101106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2075.86</v>
      </c>
      <c r="E25" s="2"/>
      <c r="F25" s="6">
        <f t="shared" si="12"/>
        <v>8.1693804665440128E-2</v>
      </c>
      <c r="G25" s="2"/>
      <c r="H25" s="7">
        <v>3819.5</v>
      </c>
      <c r="I25" s="2"/>
      <c r="J25" s="6">
        <f t="shared" si="13"/>
        <v>6.6222763493692114E-3</v>
      </c>
      <c r="K25" s="2"/>
      <c r="L25" s="7">
        <f t="shared" si="14"/>
        <v>-1743.6399999999999</v>
      </c>
      <c r="M25" s="2"/>
      <c r="N25" s="6">
        <f t="shared" si="15"/>
        <v>-0.4565100143997905</v>
      </c>
      <c r="O25" s="11"/>
      <c r="P25" s="7">
        <v>5903.22</v>
      </c>
      <c r="Q25" s="2"/>
      <c r="R25" s="6">
        <f t="shared" si="16"/>
        <v>0.12325292926196943</v>
      </c>
      <c r="S25" s="2"/>
      <c r="T25" s="7">
        <v>13227.06</v>
      </c>
      <c r="U25" s="2"/>
      <c r="V25" s="6">
        <f t="shared" si="17"/>
        <v>1.2416853131401251E-2</v>
      </c>
      <c r="W25" s="2"/>
      <c r="X25" s="7">
        <f t="shared" si="18"/>
        <v>-7323.8399999999992</v>
      </c>
      <c r="Y25" s="2"/>
      <c r="Z25" s="6">
        <f t="shared" si="19"/>
        <v>-0.55370127602052155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1161.18</v>
      </c>
      <c r="E26" s="2"/>
      <c r="F26" s="6">
        <f t="shared" si="12"/>
        <v>4.569730718902805E-2</v>
      </c>
      <c r="G26" s="2"/>
      <c r="H26" s="7">
        <v>3558.32</v>
      </c>
      <c r="I26" s="2"/>
      <c r="J26" s="6">
        <f t="shared" si="13"/>
        <v>6.1694406020388667E-3</v>
      </c>
      <c r="K26" s="2"/>
      <c r="L26" s="7">
        <f t="shared" si="14"/>
        <v>-2397.1400000000003</v>
      </c>
      <c r="M26" s="2"/>
      <c r="N26" s="6">
        <f t="shared" si="15"/>
        <v>-0.67367184514040335</v>
      </c>
      <c r="O26" s="11"/>
      <c r="P26" s="7">
        <v>3303.58</v>
      </c>
      <c r="Q26" s="2"/>
      <c r="R26" s="6">
        <f t="shared" si="16"/>
        <v>6.8975222344967141E-2</v>
      </c>
      <c r="S26" s="2"/>
      <c r="T26" s="7">
        <v>8322.9599999999991</v>
      </c>
      <c r="U26" s="2"/>
      <c r="V26" s="6">
        <f t="shared" si="17"/>
        <v>7.8131475882416302E-3</v>
      </c>
      <c r="W26" s="2"/>
      <c r="X26" s="7">
        <f t="shared" si="18"/>
        <v>-5019.3799999999992</v>
      </c>
      <c r="Y26" s="2"/>
      <c r="Z26" s="6">
        <f t="shared" si="19"/>
        <v>-0.60307630938992851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12526.51</v>
      </c>
      <c r="E27" s="2"/>
      <c r="F27" s="6">
        <f t="shared" si="12"/>
        <v>0.49297074999262108</v>
      </c>
      <c r="G27" s="2"/>
      <c r="H27" s="7">
        <v>12070.16</v>
      </c>
      <c r="I27" s="2"/>
      <c r="J27" s="6">
        <f t="shared" si="13"/>
        <v>2.0927329519859216E-2</v>
      </c>
      <c r="K27" s="2"/>
      <c r="L27" s="7">
        <f t="shared" si="14"/>
        <v>456.35000000000036</v>
      </c>
      <c r="M27" s="2"/>
      <c r="N27" s="6">
        <f t="shared" si="15"/>
        <v>3.7808115219682289E-2</v>
      </c>
      <c r="O27" s="11"/>
      <c r="P27" s="7">
        <v>34879.599999999999</v>
      </c>
      <c r="Q27" s="2"/>
      <c r="R27" s="6">
        <f t="shared" si="16"/>
        <v>0.72824879836526313</v>
      </c>
      <c r="S27" s="2"/>
      <c r="T27" s="7">
        <v>38081.08</v>
      </c>
      <c r="U27" s="2"/>
      <c r="V27" s="6">
        <f t="shared" si="17"/>
        <v>3.5748471500480196E-2</v>
      </c>
      <c r="W27" s="2"/>
      <c r="X27" s="7">
        <f t="shared" si="18"/>
        <v>-3201.4800000000032</v>
      </c>
      <c r="Y27" s="2"/>
      <c r="Z27" s="6">
        <f t="shared" si="19"/>
        <v>-8.407009465067701E-2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70.37</v>
      </c>
      <c r="E28" s="2"/>
      <c r="F28" s="6">
        <f t="shared" si="12"/>
        <v>2.7693548863155617E-3</v>
      </c>
      <c r="G28" s="2"/>
      <c r="H28" s="7">
        <v>238.44</v>
      </c>
      <c r="I28" s="2"/>
      <c r="J28" s="6">
        <f t="shared" si="13"/>
        <v>4.1340897309689612E-4</v>
      </c>
      <c r="K28" s="2"/>
      <c r="L28" s="7">
        <f t="shared" si="14"/>
        <v>-168.07</v>
      </c>
      <c r="M28" s="2"/>
      <c r="N28" s="6">
        <f t="shared" si="15"/>
        <v>-0.70487334339875862</v>
      </c>
      <c r="O28" s="11"/>
      <c r="P28" s="7">
        <v>200.21</v>
      </c>
      <c r="Q28" s="2"/>
      <c r="R28" s="6">
        <f t="shared" si="16"/>
        <v>4.1801709859261389E-3</v>
      </c>
      <c r="S28" s="2"/>
      <c r="T28" s="7">
        <v>557.71</v>
      </c>
      <c r="U28" s="2"/>
      <c r="V28" s="6">
        <f t="shared" si="17"/>
        <v>5.2354817774424498E-4</v>
      </c>
      <c r="W28" s="2"/>
      <c r="X28" s="7">
        <f t="shared" si="18"/>
        <v>-357.5</v>
      </c>
      <c r="Y28" s="2"/>
      <c r="Z28" s="6">
        <f t="shared" si="19"/>
        <v>-0.64101414713740112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950.04</v>
      </c>
      <c r="E29" s="2"/>
      <c r="F29" s="6">
        <f t="shared" si="12"/>
        <v>3.738806190415285E-2</v>
      </c>
      <c r="G29" s="2"/>
      <c r="H29" s="7">
        <v>1217.31</v>
      </c>
      <c r="I29" s="2"/>
      <c r="J29" s="6">
        <f t="shared" si="13"/>
        <v>2.110580762626164E-3</v>
      </c>
      <c r="K29" s="2"/>
      <c r="L29" s="7">
        <f t="shared" si="14"/>
        <v>-267.27</v>
      </c>
      <c r="M29" s="2"/>
      <c r="N29" s="6">
        <f t="shared" si="15"/>
        <v>-0.21955787761539788</v>
      </c>
      <c r="O29" s="11"/>
      <c r="P29" s="7">
        <v>3325.13</v>
      </c>
      <c r="Q29" s="2"/>
      <c r="R29" s="6">
        <f t="shared" si="16"/>
        <v>6.9425163330665701E-2</v>
      </c>
      <c r="S29" s="2"/>
      <c r="T29" s="7">
        <v>3651.93</v>
      </c>
      <c r="U29" s="2"/>
      <c r="V29" s="6">
        <f t="shared" si="17"/>
        <v>3.4282356363514017E-3</v>
      </c>
      <c r="W29" s="2"/>
      <c r="X29" s="7">
        <f t="shared" si="18"/>
        <v>-326.79999999999973</v>
      </c>
      <c r="Y29" s="2"/>
      <c r="Z29" s="6">
        <f t="shared" si="19"/>
        <v>-8.948692882941342E-2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386.15</v>
      </c>
      <c r="E30" s="2"/>
      <c r="F30" s="6">
        <f t="shared" si="12"/>
        <v>1.5196623409844451E-2</v>
      </c>
      <c r="G30" s="2"/>
      <c r="H30" s="7">
        <v>503.84</v>
      </c>
      <c r="I30" s="2"/>
      <c r="J30" s="6">
        <f t="shared" si="13"/>
        <v>8.7356138653388749E-4</v>
      </c>
      <c r="K30" s="2"/>
      <c r="L30" s="7">
        <f t="shared" si="14"/>
        <v>-117.69</v>
      </c>
      <c r="M30" s="2"/>
      <c r="N30" s="6">
        <f t="shared" si="15"/>
        <v>-0.23358605906637028</v>
      </c>
      <c r="O30" s="11"/>
      <c r="P30" s="7">
        <v>1247.57</v>
      </c>
      <c r="Q30" s="2"/>
      <c r="R30" s="6">
        <f t="shared" si="16"/>
        <v>2.6047929258837581E-2</v>
      </c>
      <c r="S30" s="2"/>
      <c r="T30" s="7">
        <v>1228.31</v>
      </c>
      <c r="U30" s="2"/>
      <c r="V30" s="6">
        <f t="shared" si="17"/>
        <v>1.1530714209984283E-3</v>
      </c>
      <c r="W30" s="2"/>
      <c r="X30" s="7">
        <f t="shared" si="18"/>
        <v>19.259999999999991</v>
      </c>
      <c r="Y30" s="2"/>
      <c r="Z30" s="6">
        <f t="shared" si="19"/>
        <v>1.5680080761371309E-2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1900.86</v>
      </c>
      <c r="E31" s="2"/>
      <c r="F31" s="6">
        <f t="shared" si="12"/>
        <v>7.4806820082447045E-2</v>
      </c>
      <c r="G31" s="2"/>
      <c r="H31" s="7">
        <v>2207.9899999999998</v>
      </c>
      <c r="I31" s="2"/>
      <c r="J31" s="6">
        <f t="shared" si="13"/>
        <v>3.8282288144112376E-3</v>
      </c>
      <c r="K31" s="2"/>
      <c r="L31" s="7">
        <f t="shared" si="14"/>
        <v>-307.12999999999988</v>
      </c>
      <c r="M31" s="2"/>
      <c r="N31" s="6">
        <f t="shared" si="15"/>
        <v>-0.13909936186305188</v>
      </c>
      <c r="O31" s="11"/>
      <c r="P31" s="7">
        <v>5605.18</v>
      </c>
      <c r="Q31" s="2"/>
      <c r="R31" s="6">
        <f t="shared" si="16"/>
        <v>0.11703017235349619</v>
      </c>
      <c r="S31" s="2"/>
      <c r="T31" s="7">
        <v>7855.66</v>
      </c>
      <c r="U31" s="2"/>
      <c r="V31" s="6">
        <f t="shared" si="17"/>
        <v>7.3744714600390074E-3</v>
      </c>
      <c r="W31" s="2"/>
      <c r="X31" s="7">
        <f t="shared" si="18"/>
        <v>-2250.4799999999996</v>
      </c>
      <c r="Y31" s="2"/>
      <c r="Z31" s="6">
        <f t="shared" si="19"/>
        <v>-0.28647879363414397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1214.78</v>
      </c>
      <c r="E32" s="2"/>
      <c r="F32" s="6">
        <f t="shared" si="12"/>
        <v>4.7806692181304788E-2</v>
      </c>
      <c r="G32" s="2"/>
      <c r="H32" s="7">
        <v>1551.48</v>
      </c>
      <c r="I32" s="2"/>
      <c r="J32" s="6">
        <f t="shared" si="13"/>
        <v>2.6899670926873527E-3</v>
      </c>
      <c r="K32" s="2"/>
      <c r="L32" s="7">
        <f t="shared" si="14"/>
        <v>-336.70000000000005</v>
      </c>
      <c r="M32" s="2"/>
      <c r="N32" s="6">
        <f t="shared" si="15"/>
        <v>-0.21701858870240032</v>
      </c>
      <c r="O32" s="11"/>
      <c r="P32" s="7">
        <v>3644.34</v>
      </c>
      <c r="Q32" s="2"/>
      <c r="R32" s="6">
        <f t="shared" si="16"/>
        <v>7.6089927230658133E-2</v>
      </c>
      <c r="S32" s="2"/>
      <c r="T32" s="7">
        <v>9053.9599999999991</v>
      </c>
      <c r="U32" s="2"/>
      <c r="V32" s="6">
        <f t="shared" si="17"/>
        <v>8.4993711057167395E-3</v>
      </c>
      <c r="W32" s="2"/>
      <c r="X32" s="7">
        <f t="shared" si="18"/>
        <v>-5409.619999999999</v>
      </c>
      <c r="Y32" s="2"/>
      <c r="Z32" s="6">
        <f t="shared" si="19"/>
        <v>-0.59748662463717528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897.6</v>
      </c>
      <c r="E33" s="2"/>
      <c r="F33" s="6">
        <f t="shared" si="12"/>
        <v>3.5324327781111955E-2</v>
      </c>
      <c r="G33" s="2"/>
      <c r="H33" s="7">
        <v>1192.27</v>
      </c>
      <c r="I33" s="2"/>
      <c r="J33" s="6">
        <f t="shared" si="13"/>
        <v>2.0671662319838796E-3</v>
      </c>
      <c r="K33" s="2"/>
      <c r="L33" s="7">
        <f t="shared" si="14"/>
        <v>-294.66999999999996</v>
      </c>
      <c r="M33" s="2"/>
      <c r="N33" s="6">
        <f t="shared" si="15"/>
        <v>-0.24715039378664225</v>
      </c>
      <c r="O33" s="11"/>
      <c r="P33" s="7">
        <v>2310.8000000000002</v>
      </c>
      <c r="Q33" s="2"/>
      <c r="R33" s="6">
        <f t="shared" si="16"/>
        <v>4.824703618339804E-2</v>
      </c>
      <c r="S33" s="2"/>
      <c r="T33" s="7">
        <v>2512.83</v>
      </c>
      <c r="U33" s="2"/>
      <c r="V33" s="6">
        <f t="shared" si="17"/>
        <v>2.358909769380271E-3</v>
      </c>
      <c r="W33" s="2"/>
      <c r="X33" s="7">
        <f t="shared" si="18"/>
        <v>-202.02999999999975</v>
      </c>
      <c r="Y33" s="2"/>
      <c r="Z33" s="6">
        <f t="shared" si="19"/>
        <v>-8.0399390328832337E-2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24018.489999999998</v>
      </c>
      <c r="E34" s="1"/>
      <c r="F34" s="5">
        <f t="shared" ref="F34:F40" si="20">IF(D$12=0,0,D34/D$12)</f>
        <v>0.94522840192442015</v>
      </c>
      <c r="G34" s="1"/>
      <c r="H34" s="1">
        <f>SUM(OSRRefH22_1x_0)</f>
        <v>92309.95</v>
      </c>
      <c r="I34" s="1"/>
      <c r="J34" s="5">
        <f t="shared" ref="J34:J40" si="21">IF(H$12=0,0,H34/H$12)</f>
        <v>0.16004764987470987</v>
      </c>
      <c r="K34" s="1"/>
      <c r="L34" s="1">
        <f t="shared" ref="L34:L40" si="22">+D34-H34</f>
        <v>-68291.459999999992</v>
      </c>
      <c r="M34" s="1"/>
      <c r="N34" s="5">
        <f t="shared" ref="N34:N40" si="23">IF(H34=0,0,L34/H34)</f>
        <v>-0.73980605557689061</v>
      </c>
      <c r="O34" s="14"/>
      <c r="P34" s="1">
        <f>SUM(OSRRefP22_1x_0)</f>
        <v>68873.159999999989</v>
      </c>
      <c r="Q34" s="1"/>
      <c r="R34" s="5">
        <f t="shared" ref="R34:R40" si="24">IF(P$12=0,0,P34/P$12)</f>
        <v>1.4379980277760782</v>
      </c>
      <c r="S34" s="1"/>
      <c r="T34" s="1">
        <f>SUM(OSRRefT22_1x_0)</f>
        <v>234582.76</v>
      </c>
      <c r="U34" s="1"/>
      <c r="V34" s="5">
        <f t="shared" ref="V34:V40" si="25">IF(T$12=0,0,T34/T$12)</f>
        <v>0.22021368906459549</v>
      </c>
      <c r="W34" s="1"/>
      <c r="X34" s="1">
        <f t="shared" ref="X34:X40" si="26">+P34-T34</f>
        <v>-165709.60000000003</v>
      </c>
      <c r="Y34" s="1"/>
      <c r="Z34" s="5">
        <f t="shared" ref="Z34:Z40" si="27">IF(T34=0,0,X34/T34)</f>
        <v>-0.70640144228842749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9874.02</v>
      </c>
      <c r="E35" s="2"/>
      <c r="F35" s="6">
        <f t="shared" si="20"/>
        <v>0.3885841343552307</v>
      </c>
      <c r="G35" s="2"/>
      <c r="H35" s="7">
        <v>14240.46</v>
      </c>
      <c r="I35" s="2"/>
      <c r="J35" s="6">
        <f t="shared" si="21"/>
        <v>2.4690211143379569E-2</v>
      </c>
      <c r="K35" s="2"/>
      <c r="L35" s="7">
        <f t="shared" si="22"/>
        <v>-4366.4399999999987</v>
      </c>
      <c r="M35" s="2"/>
      <c r="N35" s="6">
        <f t="shared" si="23"/>
        <v>-0.30662211754395569</v>
      </c>
      <c r="O35" s="11"/>
      <c r="P35" s="7">
        <v>28718.26</v>
      </c>
      <c r="Q35" s="2"/>
      <c r="R35" s="6">
        <f t="shared" si="24"/>
        <v>0.59960659916229553</v>
      </c>
      <c r="S35" s="2"/>
      <c r="T35" s="7">
        <v>44140.51</v>
      </c>
      <c r="U35" s="2"/>
      <c r="V35" s="6">
        <f t="shared" si="25"/>
        <v>4.1436738762442166E-2</v>
      </c>
      <c r="W35" s="2"/>
      <c r="X35" s="7">
        <f t="shared" si="26"/>
        <v>-15422.250000000004</v>
      </c>
      <c r="Y35" s="2"/>
      <c r="Z35" s="6">
        <f t="shared" si="27"/>
        <v>-0.34938993681767616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14206.47</v>
      </c>
      <c r="E36" s="2"/>
      <c r="F36" s="6">
        <f t="shared" si="20"/>
        <v>0.55908422782144995</v>
      </c>
      <c r="G36" s="2"/>
      <c r="H36" s="7">
        <v>18636.82</v>
      </c>
      <c r="I36" s="2"/>
      <c r="J36" s="6">
        <f t="shared" si="21"/>
        <v>3.2312651476227541E-2</v>
      </c>
      <c r="K36" s="2"/>
      <c r="L36" s="7">
        <f t="shared" si="22"/>
        <v>-4430.3500000000004</v>
      </c>
      <c r="M36" s="2"/>
      <c r="N36" s="6">
        <f t="shared" si="23"/>
        <v>-0.23772027631323372</v>
      </c>
      <c r="O36" s="11"/>
      <c r="P36" s="7">
        <v>36952.899999999994</v>
      </c>
      <c r="Q36" s="2"/>
      <c r="R36" s="6">
        <f t="shared" si="24"/>
        <v>0.77153708818655398</v>
      </c>
      <c r="S36" s="2"/>
      <c r="T36" s="7">
        <v>42807.020000000004</v>
      </c>
      <c r="U36" s="2"/>
      <c r="V36" s="6">
        <f t="shared" si="25"/>
        <v>4.0184930009613325E-2</v>
      </c>
      <c r="W36" s="2"/>
      <c r="X36" s="7">
        <f t="shared" si="26"/>
        <v>-5854.1200000000099</v>
      </c>
      <c r="Y36" s="2"/>
      <c r="Z36" s="6">
        <f t="shared" si="27"/>
        <v>-0.13675607412055335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15343.849999999999</v>
      </c>
      <c r="I37" s="2"/>
      <c r="J37" s="6">
        <f t="shared" si="21"/>
        <v>2.6603276597268952E-2</v>
      </c>
      <c r="K37" s="2"/>
      <c r="L37" s="7">
        <f t="shared" si="22"/>
        <v>-15343.849999999999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40617.58</v>
      </c>
      <c r="U37" s="2"/>
      <c r="V37" s="6">
        <f t="shared" si="25"/>
        <v>3.812960139388049E-2</v>
      </c>
      <c r="W37" s="2"/>
      <c r="X37" s="7">
        <f t="shared" si="26"/>
        <v>-40617.58</v>
      </c>
      <c r="Y37" s="2"/>
      <c r="Z37" s="6">
        <f t="shared" si="27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1140</v>
      </c>
      <c r="I38" s="2"/>
      <c r="J38" s="6">
        <f t="shared" si="21"/>
        <v>1.9765401330752454E-3</v>
      </c>
      <c r="K38" s="2"/>
      <c r="L38" s="7">
        <f t="shared" si="22"/>
        <v>-1140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6707.07</v>
      </c>
      <c r="U38" s="2"/>
      <c r="V38" s="6">
        <f t="shared" si="25"/>
        <v>6.2962368910421049E-3</v>
      </c>
      <c r="W38" s="2"/>
      <c r="X38" s="7">
        <f t="shared" si="26"/>
        <v>-6707.07</v>
      </c>
      <c r="Y38" s="2"/>
      <c r="Z38" s="6">
        <f t="shared" si="27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>
        <v>-62</v>
      </c>
      <c r="E39" s="2"/>
      <c r="F39" s="6">
        <f t="shared" si="20"/>
        <v>-2.4399602522604067E-3</v>
      </c>
      <c r="G39" s="2"/>
      <c r="H39" s="7">
        <v>40001.32</v>
      </c>
      <c r="I39" s="2"/>
      <c r="J39" s="6">
        <f t="shared" si="21"/>
        <v>6.93545739964785E-2</v>
      </c>
      <c r="K39" s="2"/>
      <c r="L39" s="7">
        <f t="shared" si="22"/>
        <v>-40063.32</v>
      </c>
      <c r="M39" s="2"/>
      <c r="N39" s="6">
        <f t="shared" si="23"/>
        <v>-1.0015499488516879</v>
      </c>
      <c r="O39" s="11"/>
      <c r="P39" s="7">
        <v>3202</v>
      </c>
      <c r="Q39" s="2"/>
      <c r="R39" s="6">
        <f t="shared" si="24"/>
        <v>6.6854340427228889E-2</v>
      </c>
      <c r="S39" s="2"/>
      <c r="T39" s="7">
        <v>93880.08</v>
      </c>
      <c r="U39" s="2"/>
      <c r="V39" s="6">
        <f t="shared" si="25"/>
        <v>8.8129574170238895E-2</v>
      </c>
      <c r="W39" s="2"/>
      <c r="X39" s="7">
        <f t="shared" si="26"/>
        <v>-90678.080000000002</v>
      </c>
      <c r="Y39" s="2"/>
      <c r="Z39" s="6">
        <f t="shared" si="27"/>
        <v>-0.96589265795257095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2947.5</v>
      </c>
      <c r="I40" s="2"/>
      <c r="J40" s="6">
        <f t="shared" si="21"/>
        <v>5.1103965282800756E-3</v>
      </c>
      <c r="K40" s="2"/>
      <c r="L40" s="7">
        <f t="shared" si="22"/>
        <v>-2947.5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6430.5</v>
      </c>
      <c r="U40" s="2"/>
      <c r="V40" s="6">
        <f t="shared" si="25"/>
        <v>6.0366078373785062E-3</v>
      </c>
      <c r="W40" s="2"/>
      <c r="X40" s="7">
        <f t="shared" si="26"/>
        <v>-6430.5</v>
      </c>
      <c r="Y40" s="2"/>
      <c r="Z40" s="6">
        <f t="shared" si="27"/>
        <v>-1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4" si="28">IF(D$12=0,0,D41/D$12)</f>
        <v>0</v>
      </c>
      <c r="G41" s="1"/>
      <c r="H41" s="1">
        <f>SUM(OSRRefH22_2x_0)</f>
        <v>74.44</v>
      </c>
      <c r="I41" s="1"/>
      <c r="J41" s="5">
        <f t="shared" ref="J41:J64" si="29">IF(H$12=0,0,H41/H$12)</f>
        <v>1.2906460307554498E-4</v>
      </c>
      <c r="K41" s="1"/>
      <c r="L41" s="1">
        <f t="shared" ref="L41:L64" si="30">+D41-H41</f>
        <v>-74.44</v>
      </c>
      <c r="M41" s="1"/>
      <c r="N41" s="5">
        <f t="shared" ref="N41:N64" si="31">IF(H41=0,0,L41/H41)</f>
        <v>-1</v>
      </c>
      <c r="O41" s="14"/>
      <c r="P41" s="1">
        <f>SUM(OSRRefP22_2x_0)</f>
        <v>204.75</v>
      </c>
      <c r="Q41" s="1"/>
      <c r="R41" s="5">
        <f t="shared" ref="R41:R64" si="32">IF(P$12=0,0,P41/P$12)</f>
        <v>4.2749613374375751E-3</v>
      </c>
      <c r="S41" s="1"/>
      <c r="T41" s="1">
        <f>SUM(OSRRefT22_2x_0)</f>
        <v>2069.6799999999998</v>
      </c>
      <c r="U41" s="1"/>
      <c r="V41" s="5">
        <f t="shared" ref="V41:V64" si="33">IF(T$12=0,0,T41/T$12)</f>
        <v>1.9429043634033973E-3</v>
      </c>
      <c r="W41" s="1"/>
      <c r="X41" s="1">
        <f t="shared" ref="X41:X64" si="34">+P41-T41</f>
        <v>-1864.9299999999998</v>
      </c>
      <c r="Y41" s="1"/>
      <c r="Z41" s="5">
        <f t="shared" ref="Z41:Z64" si="35">IF(T41=0,0,X41/T41)</f>
        <v>-0.90107166325229016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74.44</v>
      </c>
      <c r="I42" s="2"/>
      <c r="J42" s="6">
        <f t="shared" si="29"/>
        <v>1.2906460307554498E-4</v>
      </c>
      <c r="K42" s="2"/>
      <c r="L42" s="7">
        <f t="shared" si="30"/>
        <v>-74.44</v>
      </c>
      <c r="M42" s="2"/>
      <c r="N42" s="6">
        <f t="shared" si="31"/>
        <v>-1</v>
      </c>
      <c r="O42" s="11"/>
      <c r="P42" s="7">
        <v>204.75</v>
      </c>
      <c r="Q42" s="2"/>
      <c r="R42" s="6">
        <f t="shared" si="32"/>
        <v>4.2749613374375751E-3</v>
      </c>
      <c r="S42" s="2"/>
      <c r="T42" s="7">
        <v>2069.6799999999998</v>
      </c>
      <c r="U42" s="2"/>
      <c r="V42" s="6">
        <f t="shared" si="33"/>
        <v>1.9429043634033973E-3</v>
      </c>
      <c r="W42" s="2"/>
      <c r="X42" s="7">
        <f t="shared" si="34"/>
        <v>-1864.9299999999998</v>
      </c>
      <c r="Y42" s="2"/>
      <c r="Z42" s="6">
        <f t="shared" si="35"/>
        <v>-0.90107166325229016</v>
      </c>
    </row>
    <row r="43" spans="1:26" s="27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1.1000000000000001</v>
      </c>
      <c r="I43" s="1"/>
      <c r="J43" s="5">
        <f t="shared" si="29"/>
        <v>1.9071878477041844E-6</v>
      </c>
      <c r="K43" s="1"/>
      <c r="L43" s="1">
        <f t="shared" si="30"/>
        <v>-1.1000000000000001</v>
      </c>
      <c r="M43" s="1"/>
      <c r="N43" s="5">
        <f t="shared" si="31"/>
        <v>-1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1</v>
      </c>
      <c r="U43" s="1"/>
      <c r="V43" s="5">
        <f t="shared" si="33"/>
        <v>9.3874626193585356E-7</v>
      </c>
      <c r="W43" s="1"/>
      <c r="X43" s="1">
        <f t="shared" si="34"/>
        <v>-1</v>
      </c>
      <c r="Y43" s="1"/>
      <c r="Z43" s="5">
        <f t="shared" si="35"/>
        <v>-1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1.1000000000000001</v>
      </c>
      <c r="I44" s="2"/>
      <c r="J44" s="6">
        <f t="shared" si="29"/>
        <v>1.9071878477041844E-6</v>
      </c>
      <c r="K44" s="2"/>
      <c r="L44" s="7">
        <f t="shared" si="30"/>
        <v>-1.1000000000000001</v>
      </c>
      <c r="M44" s="2"/>
      <c r="N44" s="6">
        <f t="shared" si="31"/>
        <v>-1</v>
      </c>
      <c r="O44" s="11"/>
      <c r="P44" s="7"/>
      <c r="Q44" s="2"/>
      <c r="R44" s="6">
        <f t="shared" si="32"/>
        <v>0</v>
      </c>
      <c r="S44" s="2"/>
      <c r="T44" s="7">
        <v>1</v>
      </c>
      <c r="U44" s="2"/>
      <c r="V44" s="6">
        <f t="shared" si="33"/>
        <v>9.3874626193585356E-7</v>
      </c>
      <c r="W44" s="2"/>
      <c r="X44" s="7">
        <f t="shared" si="34"/>
        <v>-1</v>
      </c>
      <c r="Y44" s="2"/>
      <c r="Z44" s="6">
        <f t="shared" si="35"/>
        <v>-1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238.34</v>
      </c>
      <c r="I45" s="1"/>
      <c r="J45" s="5">
        <f t="shared" si="29"/>
        <v>4.1323559238346847E-4</v>
      </c>
      <c r="K45" s="1"/>
      <c r="L45" s="1">
        <f t="shared" si="30"/>
        <v>-238.34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416.27</v>
      </c>
      <c r="U45" s="1"/>
      <c r="V45" s="5">
        <f t="shared" si="33"/>
        <v>3.9077190645603777E-4</v>
      </c>
      <c r="W45" s="1"/>
      <c r="X45" s="1">
        <f t="shared" si="34"/>
        <v>-416.27</v>
      </c>
      <c r="Y45" s="1"/>
      <c r="Z45" s="5">
        <f t="shared" si="35"/>
        <v>-1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238.34</v>
      </c>
      <c r="I46" s="2"/>
      <c r="J46" s="6">
        <f t="shared" si="29"/>
        <v>4.1323559238346847E-4</v>
      </c>
      <c r="K46" s="2"/>
      <c r="L46" s="7">
        <f t="shared" si="30"/>
        <v>-238.34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416.27</v>
      </c>
      <c r="U46" s="2"/>
      <c r="V46" s="6">
        <f t="shared" si="33"/>
        <v>3.9077190645603777E-4</v>
      </c>
      <c r="W46" s="2"/>
      <c r="X46" s="7">
        <f t="shared" si="34"/>
        <v>-416.27</v>
      </c>
      <c r="Y46" s="2"/>
      <c r="Z46" s="6">
        <f t="shared" si="35"/>
        <v>-1</v>
      </c>
    </row>
    <row r="47" spans="1:26" s="27" customFormat="1" outlineLevel="1" collapsed="1" x14ac:dyDescent="0.25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272.74</v>
      </c>
      <c r="E47" s="1"/>
      <c r="F47" s="5">
        <f t="shared" si="28"/>
        <v>1.0733463858088764E-2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4"/>
      <c r="P47" s="1">
        <f>SUM(OSRRefP22_5x_0)</f>
        <v>554</v>
      </c>
      <c r="Q47" s="1"/>
      <c r="R47" s="5">
        <f t="shared" si="32"/>
        <v>1.156692835624135E-2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554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272.74</v>
      </c>
      <c r="E48" s="2"/>
      <c r="F48" s="6">
        <f t="shared" si="28"/>
        <v>1.0733463858088764E-2</v>
      </c>
      <c r="G48" s="2"/>
      <c r="H48" s="7"/>
      <c r="I48" s="2"/>
      <c r="J48" s="6">
        <f t="shared" si="29"/>
        <v>0</v>
      </c>
      <c r="K48" s="2"/>
      <c r="L48" s="7">
        <f t="shared" si="30"/>
        <v>272.74</v>
      </c>
      <c r="M48" s="2"/>
      <c r="N48" s="6">
        <f t="shared" si="31"/>
        <v>0</v>
      </c>
      <c r="O48" s="11"/>
      <c r="P48" s="7">
        <v>554</v>
      </c>
      <c r="Q48" s="2"/>
      <c r="R48" s="6">
        <f t="shared" si="32"/>
        <v>1.156692835624135E-2</v>
      </c>
      <c r="S48" s="2"/>
      <c r="T48" s="7"/>
      <c r="U48" s="2"/>
      <c r="V48" s="6">
        <f t="shared" si="33"/>
        <v>0</v>
      </c>
      <c r="W48" s="2"/>
      <c r="X48" s="7">
        <f t="shared" si="34"/>
        <v>554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11481.77</v>
      </c>
      <c r="I49" s="1"/>
      <c r="J49" s="5">
        <f t="shared" si="29"/>
        <v>1.9907174740122248E-2</v>
      </c>
      <c r="K49" s="1"/>
      <c r="L49" s="1">
        <f t="shared" si="30"/>
        <v>-11481.77</v>
      </c>
      <c r="M49" s="1"/>
      <c r="N49" s="5">
        <f t="shared" si="31"/>
        <v>-1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15377.79</v>
      </c>
      <c r="U49" s="1"/>
      <c r="V49" s="5">
        <f t="shared" si="33"/>
        <v>1.443584287933455E-2</v>
      </c>
      <c r="W49" s="1"/>
      <c r="X49" s="1">
        <f t="shared" si="34"/>
        <v>-15377.79</v>
      </c>
      <c r="Y49" s="1"/>
      <c r="Z49" s="5">
        <f t="shared" si="35"/>
        <v>-1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28"/>
        <v>0</v>
      </c>
      <c r="G50" s="2"/>
      <c r="H50" s="7">
        <v>11481.77</v>
      </c>
      <c r="I50" s="2"/>
      <c r="J50" s="6">
        <f t="shared" si="29"/>
        <v>1.9907174740122248E-2</v>
      </c>
      <c r="K50" s="2"/>
      <c r="L50" s="7">
        <f t="shared" si="30"/>
        <v>-11481.77</v>
      </c>
      <c r="M50" s="2"/>
      <c r="N50" s="6">
        <f t="shared" si="31"/>
        <v>-1</v>
      </c>
      <c r="O50" s="11"/>
      <c r="P50" s="7"/>
      <c r="Q50" s="2"/>
      <c r="R50" s="6">
        <f t="shared" si="32"/>
        <v>0</v>
      </c>
      <c r="S50" s="2"/>
      <c r="T50" s="7">
        <v>15377.79</v>
      </c>
      <c r="U50" s="2"/>
      <c r="V50" s="6">
        <f t="shared" si="33"/>
        <v>1.443584287933455E-2</v>
      </c>
      <c r="W50" s="2"/>
      <c r="X50" s="7">
        <f t="shared" si="34"/>
        <v>-15377.79</v>
      </c>
      <c r="Y50" s="2"/>
      <c r="Z50" s="6">
        <f t="shared" si="35"/>
        <v>-1</v>
      </c>
    </row>
    <row r="51" spans="1:26" s="27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21.33</v>
      </c>
      <c r="I51" s="1"/>
      <c r="J51" s="5">
        <f t="shared" si="29"/>
        <v>3.6982106174118406E-5</v>
      </c>
      <c r="K51" s="1"/>
      <c r="L51" s="1">
        <f t="shared" si="30"/>
        <v>-21.33</v>
      </c>
      <c r="M51" s="1"/>
      <c r="N51" s="5">
        <f t="shared" si="31"/>
        <v>-1</v>
      </c>
      <c r="O51" s="14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21.33</v>
      </c>
      <c r="U51" s="1"/>
      <c r="V51" s="5">
        <f t="shared" si="33"/>
        <v>2.0023457767091754E-5</v>
      </c>
      <c r="W51" s="1"/>
      <c r="X51" s="1">
        <f t="shared" si="34"/>
        <v>-21.33</v>
      </c>
      <c r="Y51" s="1"/>
      <c r="Z51" s="5">
        <f t="shared" si="35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>
        <v>21.33</v>
      </c>
      <c r="I52" s="2"/>
      <c r="J52" s="6">
        <f t="shared" si="29"/>
        <v>3.6982106174118406E-5</v>
      </c>
      <c r="K52" s="2"/>
      <c r="L52" s="7">
        <f t="shared" si="30"/>
        <v>-21.33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21.33</v>
      </c>
      <c r="U52" s="2"/>
      <c r="V52" s="6">
        <f t="shared" si="33"/>
        <v>2.0023457767091754E-5</v>
      </c>
      <c r="W52" s="2"/>
      <c r="X52" s="7">
        <f t="shared" si="34"/>
        <v>-21.33</v>
      </c>
      <c r="Y52" s="2"/>
      <c r="Z52" s="6">
        <f t="shared" si="35"/>
        <v>-1</v>
      </c>
    </row>
    <row r="53" spans="1:26" s="27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116.72</v>
      </c>
      <c r="E53" s="1"/>
      <c r="F53" s="5">
        <f t="shared" si="28"/>
        <v>4.5934219458683015E-3</v>
      </c>
      <c r="G53" s="1"/>
      <c r="H53" s="1">
        <f>SUM(OSRRefH22_8x_0)</f>
        <v>-355.28</v>
      </c>
      <c r="I53" s="1"/>
      <c r="J53" s="5">
        <f t="shared" si="29"/>
        <v>-6.1598699866576598E-4</v>
      </c>
      <c r="K53" s="1"/>
      <c r="L53" s="1">
        <f t="shared" si="30"/>
        <v>472</v>
      </c>
      <c r="M53" s="1"/>
      <c r="N53" s="5">
        <f t="shared" si="31"/>
        <v>-1.3285296104480975</v>
      </c>
      <c r="O53" s="14"/>
      <c r="P53" s="1">
        <f>SUM(OSRRefP22_8x_0)</f>
        <v>602.94000000000005</v>
      </c>
      <c r="Q53" s="1"/>
      <c r="R53" s="5">
        <f t="shared" si="32"/>
        <v>1.2588743290816174E-2</v>
      </c>
      <c r="S53" s="1"/>
      <c r="T53" s="1">
        <f>SUM(OSRRefT22_8x_0)</f>
        <v>544.88</v>
      </c>
      <c r="U53" s="1"/>
      <c r="V53" s="5">
        <f t="shared" si="33"/>
        <v>5.115040632036079E-4</v>
      </c>
      <c r="W53" s="1"/>
      <c r="X53" s="1">
        <f t="shared" si="34"/>
        <v>58.060000000000059</v>
      </c>
      <c r="Y53" s="1"/>
      <c r="Z53" s="5">
        <f t="shared" si="35"/>
        <v>0.1065555718690355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7">
        <v>116.72</v>
      </c>
      <c r="E54" s="2"/>
      <c r="F54" s="6">
        <f t="shared" si="28"/>
        <v>4.5934219458683015E-3</v>
      </c>
      <c r="G54" s="2"/>
      <c r="H54" s="7">
        <v>-355.28</v>
      </c>
      <c r="I54" s="2"/>
      <c r="J54" s="6">
        <f t="shared" si="29"/>
        <v>-6.1598699866576598E-4</v>
      </c>
      <c r="K54" s="2"/>
      <c r="L54" s="7">
        <f t="shared" si="30"/>
        <v>472</v>
      </c>
      <c r="M54" s="2"/>
      <c r="N54" s="6">
        <f t="shared" si="31"/>
        <v>-1.3285296104480975</v>
      </c>
      <c r="O54" s="11"/>
      <c r="P54" s="7">
        <v>602.94000000000005</v>
      </c>
      <c r="Q54" s="2"/>
      <c r="R54" s="6">
        <f t="shared" si="32"/>
        <v>1.2588743290816174E-2</v>
      </c>
      <c r="S54" s="2"/>
      <c r="T54" s="7">
        <v>544.88</v>
      </c>
      <c r="U54" s="2"/>
      <c r="V54" s="6">
        <f t="shared" si="33"/>
        <v>5.115040632036079E-4</v>
      </c>
      <c r="W54" s="2"/>
      <c r="X54" s="7">
        <f t="shared" si="34"/>
        <v>58.060000000000059</v>
      </c>
      <c r="Y54" s="2"/>
      <c r="Z54" s="6">
        <f t="shared" si="35"/>
        <v>0.1065555718690355</v>
      </c>
    </row>
    <row r="55" spans="1:26" s="27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SUM(OSRRefP22_9x_0)</f>
        <v>3500.2</v>
      </c>
      <c r="Q55" s="1"/>
      <c r="R55" s="5">
        <f t="shared" si="32"/>
        <v>7.3080437964830269E-2</v>
      </c>
      <c r="S55" s="1"/>
      <c r="T55" s="1">
        <f>SUM(OSRRefT22_9x_0)</f>
        <v>1499.55</v>
      </c>
      <c r="U55" s="1"/>
      <c r="V55" s="5">
        <f t="shared" si="33"/>
        <v>1.4076969570859092E-3</v>
      </c>
      <c r="W55" s="1"/>
      <c r="X55" s="1">
        <f t="shared" si="34"/>
        <v>2000.6499999999999</v>
      </c>
      <c r="Y55" s="1"/>
      <c r="Z55" s="5">
        <f t="shared" si="35"/>
        <v>1.3341669167416892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3500.2</v>
      </c>
      <c r="Q56" s="2"/>
      <c r="R56" s="6">
        <f t="shared" si="32"/>
        <v>7.3080437964830269E-2</v>
      </c>
      <c r="S56" s="2"/>
      <c r="T56" s="7">
        <v>1499.55</v>
      </c>
      <c r="U56" s="2"/>
      <c r="V56" s="6">
        <f t="shared" si="33"/>
        <v>1.4076969570859092E-3</v>
      </c>
      <c r="W56" s="2"/>
      <c r="X56" s="7">
        <f t="shared" si="34"/>
        <v>2000.6499999999999</v>
      </c>
      <c r="Y56" s="2"/>
      <c r="Z56" s="6">
        <f t="shared" si="35"/>
        <v>1.3341669167416892</v>
      </c>
    </row>
    <row r="57" spans="1:26" s="27" customFormat="1" outlineLevel="1" collapsed="1" x14ac:dyDescent="0.25">
      <c r="A57" s="29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0</v>
      </c>
      <c r="E57" s="1"/>
      <c r="F57" s="5">
        <f t="shared" si="28"/>
        <v>0</v>
      </c>
      <c r="G57" s="1"/>
      <c r="H57" s="1">
        <f>SUM(OSRRefH22_10x_0)</f>
        <v>49689.440000000002</v>
      </c>
      <c r="I57" s="1"/>
      <c r="J57" s="5">
        <f t="shared" si="29"/>
        <v>8.6151905570205647E-2</v>
      </c>
      <c r="K57" s="1"/>
      <c r="L57" s="1">
        <f t="shared" si="30"/>
        <v>-49689.440000000002</v>
      </c>
      <c r="M57" s="1"/>
      <c r="N57" s="5">
        <f t="shared" si="31"/>
        <v>-1</v>
      </c>
      <c r="O57" s="14"/>
      <c r="P57" s="1">
        <f>SUM(OSRRefP22_10x_0)</f>
        <v>1295.68</v>
      </c>
      <c r="Q57" s="1"/>
      <c r="R57" s="5">
        <f t="shared" si="32"/>
        <v>2.7052414679810097E-2</v>
      </c>
      <c r="S57" s="1"/>
      <c r="T57" s="1">
        <f>SUM(OSRRefT22_10x_0)</f>
        <v>80444.280000000013</v>
      </c>
      <c r="U57" s="1"/>
      <c r="V57" s="5">
        <f t="shared" si="33"/>
        <v>7.5516767144121158E-2</v>
      </c>
      <c r="W57" s="1"/>
      <c r="X57" s="1">
        <f t="shared" si="34"/>
        <v>-79148.60000000002</v>
      </c>
      <c r="Y57" s="1"/>
      <c r="Z57" s="5">
        <f t="shared" si="35"/>
        <v>-0.98389344773798715</v>
      </c>
    </row>
    <row r="58" spans="1:26" s="24" customFormat="1" hidden="1" outlineLevel="2" x14ac:dyDescent="0.25">
      <c r="A58" s="28"/>
      <c r="B58" s="11" t="str">
        <f>CONCATENATE("          ", "6387", " - ", "COMMISSION DUE HOUSING")</f>
        <v xml:space="preserve">          6387 - COMMISSION DUE HOUSING</v>
      </c>
      <c r="C58" s="11"/>
      <c r="D58" s="7"/>
      <c r="E58" s="2"/>
      <c r="F58" s="6">
        <f t="shared" si="28"/>
        <v>0</v>
      </c>
      <c r="G58" s="2"/>
      <c r="H58" s="7">
        <v>49689.440000000002</v>
      </c>
      <c r="I58" s="2"/>
      <c r="J58" s="6">
        <f t="shared" si="29"/>
        <v>8.6151905570205647E-2</v>
      </c>
      <c r="K58" s="2"/>
      <c r="L58" s="7">
        <f t="shared" si="30"/>
        <v>-49689.440000000002</v>
      </c>
      <c r="M58" s="2"/>
      <c r="N58" s="6">
        <f t="shared" si="31"/>
        <v>-1</v>
      </c>
      <c r="O58" s="11"/>
      <c r="P58" s="7">
        <v>1295.68</v>
      </c>
      <c r="Q58" s="2"/>
      <c r="R58" s="6">
        <f t="shared" si="32"/>
        <v>2.7052414679810097E-2</v>
      </c>
      <c r="S58" s="2"/>
      <c r="T58" s="7">
        <v>80444.280000000013</v>
      </c>
      <c r="U58" s="2"/>
      <c r="V58" s="6">
        <f t="shared" si="33"/>
        <v>7.5516767144121158E-2</v>
      </c>
      <c r="W58" s="2"/>
      <c r="X58" s="7">
        <f t="shared" si="34"/>
        <v>-79148.60000000002</v>
      </c>
      <c r="Y58" s="2"/>
      <c r="Z58" s="6">
        <f t="shared" si="35"/>
        <v>-0.98389344773798715</v>
      </c>
    </row>
    <row r="59" spans="1:26" s="27" customFormat="1" outlineLevel="1" collapsed="1" x14ac:dyDescent="0.25">
      <c r="A59" s="29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72.349999999999994</v>
      </c>
      <c r="E59" s="1"/>
      <c r="F59" s="5">
        <f t="shared" si="28"/>
        <v>2.847276197597426E-3</v>
      </c>
      <c r="G59" s="1"/>
      <c r="H59" s="1">
        <f>SUM(OSRRefH22_11x_0)</f>
        <v>0</v>
      </c>
      <c r="I59" s="1"/>
      <c r="J59" s="5">
        <f t="shared" si="29"/>
        <v>0</v>
      </c>
      <c r="K59" s="1"/>
      <c r="L59" s="1">
        <f t="shared" si="30"/>
        <v>72.349999999999994</v>
      </c>
      <c r="M59" s="1"/>
      <c r="N59" s="5">
        <f t="shared" si="31"/>
        <v>0</v>
      </c>
      <c r="O59" s="14"/>
      <c r="P59" s="1">
        <f>SUM(OSRRefP22_11x_0)</f>
        <v>1157.45</v>
      </c>
      <c r="Q59" s="1"/>
      <c r="R59" s="5">
        <f t="shared" si="32"/>
        <v>2.4166319902403522E-2</v>
      </c>
      <c r="S59" s="1"/>
      <c r="T59" s="1">
        <f>SUM(OSRRefT22_11x_0)</f>
        <v>0</v>
      </c>
      <c r="U59" s="1"/>
      <c r="V59" s="5">
        <f t="shared" si="33"/>
        <v>0</v>
      </c>
      <c r="W59" s="1"/>
      <c r="X59" s="1">
        <f t="shared" si="34"/>
        <v>1157.45</v>
      </c>
      <c r="Y59" s="1"/>
      <c r="Z59" s="5">
        <f t="shared" si="35"/>
        <v>0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7">
        <v>72.349999999999994</v>
      </c>
      <c r="E60" s="2"/>
      <c r="F60" s="6">
        <f t="shared" si="28"/>
        <v>2.847276197597426E-3</v>
      </c>
      <c r="G60" s="2"/>
      <c r="H60" s="7"/>
      <c r="I60" s="2"/>
      <c r="J60" s="6">
        <f t="shared" si="29"/>
        <v>0</v>
      </c>
      <c r="K60" s="2"/>
      <c r="L60" s="7">
        <f t="shared" si="30"/>
        <v>72.349999999999994</v>
      </c>
      <c r="M60" s="2"/>
      <c r="N60" s="6">
        <f t="shared" si="31"/>
        <v>0</v>
      </c>
      <c r="O60" s="11"/>
      <c r="P60" s="7">
        <v>1157.45</v>
      </c>
      <c r="Q60" s="2"/>
      <c r="R60" s="6">
        <f t="shared" si="32"/>
        <v>2.4166319902403522E-2</v>
      </c>
      <c r="S60" s="2"/>
      <c r="T60" s="7"/>
      <c r="U60" s="2"/>
      <c r="V60" s="6">
        <f t="shared" si="33"/>
        <v>0</v>
      </c>
      <c r="W60" s="2"/>
      <c r="X60" s="7">
        <f t="shared" si="34"/>
        <v>1157.45</v>
      </c>
      <c r="Y60" s="2"/>
      <c r="Z60" s="6">
        <f t="shared" si="35"/>
        <v>0</v>
      </c>
    </row>
    <row r="61" spans="1:26" s="27" customFormat="1" outlineLevel="1" collapsed="1" x14ac:dyDescent="0.25">
      <c r="A61" s="29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4375.8600000000006</v>
      </c>
      <c r="E61" s="1"/>
      <c r="F61" s="5">
        <f t="shared" si="28"/>
        <v>0.17220845918477781</v>
      </c>
      <c r="G61" s="1"/>
      <c r="H61" s="1">
        <f>SUM(OSRRefH22_12x_0)</f>
        <v>7161.7699999999995</v>
      </c>
      <c r="I61" s="1"/>
      <c r="J61" s="5">
        <f t="shared" si="29"/>
        <v>1.2417127920047632E-2</v>
      </c>
      <c r="K61" s="1"/>
      <c r="L61" s="1">
        <f t="shared" si="30"/>
        <v>-2785.9099999999989</v>
      </c>
      <c r="M61" s="1"/>
      <c r="N61" s="5">
        <f t="shared" si="31"/>
        <v>-0.38899741265078314</v>
      </c>
      <c r="O61" s="14"/>
      <c r="P61" s="1">
        <f>SUM(OSRRefP22_12x_0)</f>
        <v>20317.730000000003</v>
      </c>
      <c r="Q61" s="1"/>
      <c r="R61" s="5">
        <f t="shared" si="32"/>
        <v>0.42421250410010036</v>
      </c>
      <c r="S61" s="1"/>
      <c r="T61" s="1">
        <f>SUM(OSRRefT22_12x_0)</f>
        <v>19908.07</v>
      </c>
      <c r="U61" s="1"/>
      <c r="V61" s="5">
        <f t="shared" si="33"/>
        <v>1.8688626294857309E-2</v>
      </c>
      <c r="W61" s="1"/>
      <c r="X61" s="1">
        <f t="shared" si="34"/>
        <v>409.66000000000349</v>
      </c>
      <c r="Y61" s="1"/>
      <c r="Z61" s="5">
        <f t="shared" si="35"/>
        <v>2.0577584868849842E-2</v>
      </c>
    </row>
    <row r="62" spans="1:26" s="24" customFormat="1" hidden="1" outlineLevel="2" x14ac:dyDescent="0.25">
      <c r="A62" s="28"/>
      <c r="B62" s="11" t="str">
        <f>CONCATENATE("          ", "6282", " - ", "JANITORIAL/EXTERMINATOR EXPENS")</f>
        <v xml:space="preserve">          6282 - JANITORIAL/EXTERMINATOR EXPENS</v>
      </c>
      <c r="C62" s="11"/>
      <c r="D62" s="7"/>
      <c r="E62" s="2"/>
      <c r="F62" s="6">
        <f t="shared" si="28"/>
        <v>0</v>
      </c>
      <c r="G62" s="2"/>
      <c r="H62" s="7">
        <v>537.32000000000005</v>
      </c>
      <c r="I62" s="2"/>
      <c r="J62" s="6">
        <f t="shared" si="29"/>
        <v>9.316092493894658E-4</v>
      </c>
      <c r="K62" s="2"/>
      <c r="L62" s="7">
        <f t="shared" si="30"/>
        <v>-537.32000000000005</v>
      </c>
      <c r="M62" s="2"/>
      <c r="N62" s="6">
        <f t="shared" si="31"/>
        <v>-1</v>
      </c>
      <c r="O62" s="11"/>
      <c r="P62" s="7">
        <v>548.02</v>
      </c>
      <c r="Q62" s="2"/>
      <c r="R62" s="6">
        <f t="shared" si="32"/>
        <v>1.1442072342576506E-2</v>
      </c>
      <c r="S62" s="2"/>
      <c r="T62" s="7">
        <v>1371.96</v>
      </c>
      <c r="U62" s="2"/>
      <c r="V62" s="6">
        <f t="shared" si="33"/>
        <v>1.2879223215255136E-3</v>
      </c>
      <c r="W62" s="2"/>
      <c r="X62" s="7">
        <f t="shared" si="34"/>
        <v>-823.94</v>
      </c>
      <c r="Y62" s="2"/>
      <c r="Z62" s="6">
        <f t="shared" si="35"/>
        <v>-0.60055686754715887</v>
      </c>
    </row>
    <row r="63" spans="1:26" s="24" customFormat="1" hidden="1" outlineLevel="2" x14ac:dyDescent="0.25">
      <c r="A63" s="28"/>
      <c r="B63" s="11" t="str">
        <f>CONCATENATE("          ", "6285", " - ", "JANITORIAL SERVICES")</f>
        <v xml:space="preserve">          6285 - JANITORIAL SERVICES</v>
      </c>
      <c r="C63" s="11"/>
      <c r="D63" s="7">
        <v>4157.05</v>
      </c>
      <c r="E63" s="2"/>
      <c r="F63" s="6">
        <f t="shared" si="28"/>
        <v>0.16359736720417942</v>
      </c>
      <c r="G63" s="2"/>
      <c r="H63" s="7">
        <v>4916.07</v>
      </c>
      <c r="I63" s="2"/>
      <c r="J63" s="6">
        <f t="shared" si="29"/>
        <v>8.5235172386028263E-3</v>
      </c>
      <c r="K63" s="2"/>
      <c r="L63" s="7">
        <f t="shared" si="30"/>
        <v>-759.01999999999953</v>
      </c>
      <c r="M63" s="2"/>
      <c r="N63" s="6">
        <f t="shared" si="31"/>
        <v>-0.15439568598494316</v>
      </c>
      <c r="O63" s="11"/>
      <c r="P63" s="7">
        <v>16628.2</v>
      </c>
      <c r="Q63" s="2"/>
      <c r="R63" s="6">
        <f t="shared" si="32"/>
        <v>0.34717905793005854</v>
      </c>
      <c r="S63" s="2"/>
      <c r="T63" s="7">
        <v>12903.17</v>
      </c>
      <c r="U63" s="2"/>
      <c r="V63" s="6">
        <f t="shared" si="33"/>
        <v>1.2112802604622847E-2</v>
      </c>
      <c r="W63" s="2"/>
      <c r="X63" s="7">
        <f t="shared" si="34"/>
        <v>3725.0300000000007</v>
      </c>
      <c r="Y63" s="2"/>
      <c r="Z63" s="6">
        <f t="shared" si="35"/>
        <v>0.28869107358889334</v>
      </c>
    </row>
    <row r="64" spans="1:26" s="24" customFormat="1" hidden="1" outlineLevel="2" x14ac:dyDescent="0.25">
      <c r="A64" s="28"/>
      <c r="B64" s="11" t="str">
        <f>CONCATENATE("          ", "6286", " - ", "LAUNDRY EXPENSE")</f>
        <v xml:space="preserve">          6286 - LAUNDRY EXPENSE</v>
      </c>
      <c r="C64" s="11"/>
      <c r="D64" s="7">
        <v>218.81</v>
      </c>
      <c r="E64" s="2"/>
      <c r="F64" s="6">
        <f t="shared" si="28"/>
        <v>8.6110919805983798E-3</v>
      </c>
      <c r="G64" s="2"/>
      <c r="H64" s="7">
        <v>1708.38</v>
      </c>
      <c r="I64" s="2"/>
      <c r="J64" s="6">
        <f t="shared" si="29"/>
        <v>2.9620014320553404E-3</v>
      </c>
      <c r="K64" s="2"/>
      <c r="L64" s="7">
        <f t="shared" si="30"/>
        <v>-1489.5700000000002</v>
      </c>
      <c r="M64" s="2"/>
      <c r="N64" s="6">
        <f t="shared" si="31"/>
        <v>-0.87191959634273408</v>
      </c>
      <c r="O64" s="11"/>
      <c r="P64" s="7">
        <v>3141.51</v>
      </c>
      <c r="Q64" s="2"/>
      <c r="R64" s="6">
        <f t="shared" si="32"/>
        <v>6.5591373827465285E-2</v>
      </c>
      <c r="S64" s="2"/>
      <c r="T64" s="7">
        <v>5632.94</v>
      </c>
      <c r="U64" s="2"/>
      <c r="V64" s="6">
        <f t="shared" si="33"/>
        <v>5.2879013687089464E-3</v>
      </c>
      <c r="W64" s="2"/>
      <c r="X64" s="7">
        <f t="shared" si="34"/>
        <v>-2491.4299999999994</v>
      </c>
      <c r="Y64" s="2"/>
      <c r="Z64" s="6">
        <f t="shared" si="35"/>
        <v>-0.44229656271858026</v>
      </c>
    </row>
    <row r="65" spans="1:26" s="27" customFormat="1" outlineLevel="1" collapsed="1" x14ac:dyDescent="0.25">
      <c r="A65" s="29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1628.65</v>
      </c>
      <c r="E65" s="1"/>
      <c r="F65" s="5">
        <f t="shared" ref="F65:F72" si="36">IF(D$12=0,0,D65/D$12)</f>
        <v>6.4094213949095355E-2</v>
      </c>
      <c r="G65" s="1"/>
      <c r="H65" s="1">
        <f>SUM(OSRRefH22_13x_0)</f>
        <v>5428.13</v>
      </c>
      <c r="I65" s="1"/>
      <c r="J65" s="5">
        <f t="shared" ref="J65:J72" si="37">IF(H$12=0,0,H65/H$12)</f>
        <v>9.4113305197804677E-3</v>
      </c>
      <c r="K65" s="1"/>
      <c r="L65" s="1">
        <f t="shared" ref="L65:L72" si="38">+D65-H65</f>
        <v>-3799.48</v>
      </c>
      <c r="M65" s="1"/>
      <c r="N65" s="5">
        <f t="shared" ref="N65:N72" si="39">IF(H65=0,0,L65/H65)</f>
        <v>-0.69996112841807401</v>
      </c>
      <c r="O65" s="14"/>
      <c r="P65" s="1">
        <f>SUM(OSRRefP22_13x_0)</f>
        <v>7986.3899999999994</v>
      </c>
      <c r="Q65" s="1"/>
      <c r="R65" s="5">
        <f t="shared" ref="R65:R72" si="40">IF(P$12=0,0,P65/P$12)</f>
        <v>0.16674729414260353</v>
      </c>
      <c r="S65" s="1"/>
      <c r="T65" s="1">
        <f>SUM(OSRRefT22_13x_0)</f>
        <v>20048.129999999997</v>
      </c>
      <c r="U65" s="1"/>
      <c r="V65" s="5">
        <f t="shared" ref="V65:V72" si="41">IF(T$12=0,0,T65/T$12)</f>
        <v>1.882010709630404E-2</v>
      </c>
      <c r="W65" s="1"/>
      <c r="X65" s="1">
        <f t="shared" ref="X65:X72" si="42">+P65-T65</f>
        <v>-12061.739999999998</v>
      </c>
      <c r="Y65" s="1"/>
      <c r="Z65" s="5">
        <f t="shared" ref="Z65:Z72" si="43">IF(T65=0,0,X65/T65)</f>
        <v>-0.60163915537259582</v>
      </c>
    </row>
    <row r="66" spans="1:26" s="24" customFormat="1" hidden="1" outlineLevel="2" x14ac:dyDescent="0.25">
      <c r="A66" s="28"/>
      <c r="B66" s="11" t="str">
        <f>CONCATENATE("          ", "6235", " - ", "COVID-19 EXPENSES")</f>
        <v xml:space="preserve">          6235 - COVID-19 EXPENSES</v>
      </c>
      <c r="C66" s="11"/>
      <c r="D66" s="7">
        <v>265.7</v>
      </c>
      <c r="E66" s="2"/>
      <c r="F66" s="6">
        <f t="shared" si="36"/>
        <v>1.0456410306864356E-2</v>
      </c>
      <c r="G66" s="2"/>
      <c r="H66" s="7"/>
      <c r="I66" s="2"/>
      <c r="J66" s="6">
        <f t="shared" si="37"/>
        <v>0</v>
      </c>
      <c r="K66" s="2"/>
      <c r="L66" s="7">
        <f t="shared" si="38"/>
        <v>265.7</v>
      </c>
      <c r="M66" s="2"/>
      <c r="N66" s="6">
        <f t="shared" si="39"/>
        <v>0</v>
      </c>
      <c r="O66" s="11"/>
      <c r="P66" s="7">
        <v>1375.08</v>
      </c>
      <c r="Q66" s="2"/>
      <c r="R66" s="6">
        <f t="shared" si="40"/>
        <v>2.8710201884657682E-2</v>
      </c>
      <c r="S66" s="2"/>
      <c r="T66" s="7"/>
      <c r="U66" s="2"/>
      <c r="V66" s="6">
        <f t="shared" si="41"/>
        <v>0</v>
      </c>
      <c r="W66" s="2"/>
      <c r="X66" s="7">
        <f t="shared" si="42"/>
        <v>1375.08</v>
      </c>
      <c r="Y66" s="2"/>
      <c r="Z66" s="6">
        <f t="shared" si="43"/>
        <v>0</v>
      </c>
    </row>
    <row r="67" spans="1:26" s="24" customFormat="1" hidden="1" outlineLevel="2" x14ac:dyDescent="0.25">
      <c r="A67" s="28"/>
      <c r="B67" s="11" t="str">
        <f>CONCATENATE("          ", "6237", " - ", "JANITORIAL SUPPLIES")</f>
        <v xml:space="preserve">          6237 - JANITORIAL SUPPLIES</v>
      </c>
      <c r="C67" s="11"/>
      <c r="D67" s="7">
        <v>1362.95</v>
      </c>
      <c r="E67" s="2"/>
      <c r="F67" s="6">
        <f t="shared" si="36"/>
        <v>5.3637803642230988E-2</v>
      </c>
      <c r="G67" s="2"/>
      <c r="H67" s="7">
        <v>2438.08</v>
      </c>
      <c r="I67" s="2"/>
      <c r="J67" s="6">
        <f t="shared" si="37"/>
        <v>4.227160497936925E-3</v>
      </c>
      <c r="K67" s="2"/>
      <c r="L67" s="7">
        <f t="shared" si="38"/>
        <v>-1075.1299999999999</v>
      </c>
      <c r="M67" s="2"/>
      <c r="N67" s="6">
        <f t="shared" si="39"/>
        <v>-0.44097404515028216</v>
      </c>
      <c r="O67" s="11"/>
      <c r="P67" s="7">
        <v>2550.9899999999998</v>
      </c>
      <c r="Q67" s="2"/>
      <c r="R67" s="6">
        <f t="shared" si="40"/>
        <v>5.3261946872722239E-2</v>
      </c>
      <c r="S67" s="2"/>
      <c r="T67" s="7">
        <v>8275.76</v>
      </c>
      <c r="U67" s="2"/>
      <c r="V67" s="6">
        <f t="shared" si="41"/>
        <v>7.7688387646782601E-3</v>
      </c>
      <c r="W67" s="2"/>
      <c r="X67" s="7">
        <f t="shared" si="42"/>
        <v>-5724.77</v>
      </c>
      <c r="Y67" s="2"/>
      <c r="Z67" s="6">
        <f t="shared" si="43"/>
        <v>-0.69175157326940373</v>
      </c>
    </row>
    <row r="68" spans="1:26" s="24" customFormat="1" hidden="1" outlineLevel="2" x14ac:dyDescent="0.25">
      <c r="A68" s="28"/>
      <c r="B68" s="11" t="str">
        <f>CONCATENATE("          ", "6239", " - ", "KITCHEN SUPPLIES")</f>
        <v xml:space="preserve">          6239 - KITCHEN SUPPLIES</v>
      </c>
      <c r="C68" s="11"/>
      <c r="D68" s="7"/>
      <c r="E68" s="2"/>
      <c r="F68" s="6">
        <f t="shared" si="36"/>
        <v>0</v>
      </c>
      <c r="G68" s="2"/>
      <c r="H68" s="7">
        <v>351.88</v>
      </c>
      <c r="I68" s="2"/>
      <c r="J68" s="6">
        <f t="shared" si="37"/>
        <v>6.1009205440922584E-4</v>
      </c>
      <c r="K68" s="2"/>
      <c r="L68" s="7">
        <f t="shared" si="38"/>
        <v>-351.88</v>
      </c>
      <c r="M68" s="2"/>
      <c r="N68" s="6">
        <f t="shared" si="39"/>
        <v>-1</v>
      </c>
      <c r="O68" s="11"/>
      <c r="P68" s="7">
        <v>1031.07</v>
      </c>
      <c r="Q68" s="2"/>
      <c r="R68" s="6">
        <f t="shared" si="40"/>
        <v>2.1527640469801025E-2</v>
      </c>
      <c r="S68" s="2"/>
      <c r="T68" s="7">
        <v>2531.77</v>
      </c>
      <c r="U68" s="2"/>
      <c r="V68" s="6">
        <f t="shared" si="41"/>
        <v>2.3766896235813358E-3</v>
      </c>
      <c r="W68" s="2"/>
      <c r="X68" s="7">
        <f t="shared" si="42"/>
        <v>-1500.7</v>
      </c>
      <c r="Y68" s="2"/>
      <c r="Z68" s="6">
        <f t="shared" si="43"/>
        <v>-0.59274736646693815</v>
      </c>
    </row>
    <row r="69" spans="1:26" s="24" customFormat="1" hidden="1" outlineLevel="2" x14ac:dyDescent="0.25">
      <c r="A69" s="28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36"/>
        <v>0</v>
      </c>
      <c r="G69" s="2"/>
      <c r="H69" s="7">
        <v>29.5</v>
      </c>
      <c r="I69" s="2"/>
      <c r="J69" s="6">
        <f t="shared" si="37"/>
        <v>5.1147310461157674E-5</v>
      </c>
      <c r="K69" s="2"/>
      <c r="L69" s="7">
        <f t="shared" si="38"/>
        <v>-29.5</v>
      </c>
      <c r="M69" s="2"/>
      <c r="N69" s="6">
        <f t="shared" si="39"/>
        <v>-1</v>
      </c>
      <c r="O69" s="11"/>
      <c r="P69" s="7">
        <v>19.7</v>
      </c>
      <c r="Q69" s="2"/>
      <c r="R69" s="6">
        <f t="shared" si="40"/>
        <v>4.1131496140425018E-4</v>
      </c>
      <c r="S69" s="2"/>
      <c r="T69" s="7">
        <v>1122.9000000000001</v>
      </c>
      <c r="U69" s="2"/>
      <c r="V69" s="6">
        <f t="shared" si="41"/>
        <v>1.05411817752777E-3</v>
      </c>
      <c r="W69" s="2"/>
      <c r="X69" s="7">
        <f t="shared" si="42"/>
        <v>-1103.2</v>
      </c>
      <c r="Y69" s="2"/>
      <c r="Z69" s="6">
        <f t="shared" si="43"/>
        <v>-0.98245614035087714</v>
      </c>
    </row>
    <row r="70" spans="1:26" s="24" customFormat="1" hidden="1" outlineLevel="2" x14ac:dyDescent="0.25">
      <c r="A70" s="28"/>
      <c r="B70" s="11" t="str">
        <f>CONCATENATE("          ", "6243", " - ", "PAPER SUPPLIES")</f>
        <v xml:space="preserve">          6243 - PAPER SUPPLIES</v>
      </c>
      <c r="C70" s="11"/>
      <c r="D70" s="7"/>
      <c r="E70" s="2"/>
      <c r="F70" s="6">
        <f t="shared" si="36"/>
        <v>0</v>
      </c>
      <c r="G70" s="2"/>
      <c r="H70" s="7">
        <v>2608.67</v>
      </c>
      <c r="I70" s="2"/>
      <c r="J70" s="6">
        <f t="shared" si="37"/>
        <v>4.5229306569731587E-3</v>
      </c>
      <c r="K70" s="2"/>
      <c r="L70" s="7">
        <f t="shared" si="38"/>
        <v>-2608.67</v>
      </c>
      <c r="M70" s="2"/>
      <c r="N70" s="6">
        <f t="shared" si="39"/>
        <v>-1</v>
      </c>
      <c r="O70" s="11"/>
      <c r="P70" s="7">
        <v>3009.55</v>
      </c>
      <c r="Q70" s="2"/>
      <c r="R70" s="6">
        <f t="shared" si="40"/>
        <v>6.2836189954018337E-2</v>
      </c>
      <c r="S70" s="2"/>
      <c r="T70" s="7">
        <v>6454.28</v>
      </c>
      <c r="U70" s="2"/>
      <c r="V70" s="6">
        <f t="shared" si="41"/>
        <v>6.0589312234873407E-3</v>
      </c>
      <c r="W70" s="2"/>
      <c r="X70" s="7">
        <f t="shared" si="42"/>
        <v>-3444.7299999999996</v>
      </c>
      <c r="Y70" s="2"/>
      <c r="Z70" s="6">
        <f t="shared" si="43"/>
        <v>-0.53371251324702362</v>
      </c>
    </row>
    <row r="71" spans="1:26" s="24" customFormat="1" hidden="1" outlineLevel="2" x14ac:dyDescent="0.25">
      <c r="A71" s="28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36"/>
        <v>0</v>
      </c>
      <c r="G71" s="2"/>
      <c r="H71" s="7"/>
      <c r="I71" s="2"/>
      <c r="J71" s="6">
        <f t="shared" si="37"/>
        <v>0</v>
      </c>
      <c r="K71" s="2"/>
      <c r="L71" s="7">
        <f t="shared" si="38"/>
        <v>0</v>
      </c>
      <c r="M71" s="2"/>
      <c r="N71" s="6">
        <f t="shared" si="39"/>
        <v>0</v>
      </c>
      <c r="O71" s="11"/>
      <c r="P71" s="7"/>
      <c r="Q71" s="2"/>
      <c r="R71" s="6">
        <f t="shared" si="40"/>
        <v>0</v>
      </c>
      <c r="S71" s="2"/>
      <c r="T71" s="7">
        <v>441</v>
      </c>
      <c r="U71" s="2"/>
      <c r="V71" s="6">
        <f t="shared" si="41"/>
        <v>4.1398710151371144E-4</v>
      </c>
      <c r="W71" s="2"/>
      <c r="X71" s="7">
        <f t="shared" si="42"/>
        <v>-441</v>
      </c>
      <c r="Y71" s="2"/>
      <c r="Z71" s="6">
        <f t="shared" si="43"/>
        <v>-1</v>
      </c>
    </row>
    <row r="72" spans="1:26" s="24" customFormat="1" hidden="1" outlineLevel="2" x14ac:dyDescent="0.25">
      <c r="A72" s="28"/>
      <c r="B72" s="11" t="str">
        <f>CONCATENATE("          ", "6248", " - ", "UNIFORMS")</f>
        <v xml:space="preserve">          6248 - UNIFORMS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/>
      <c r="Q72" s="2"/>
      <c r="R72" s="6">
        <f t="shared" si="40"/>
        <v>0</v>
      </c>
      <c r="S72" s="2"/>
      <c r="T72" s="7">
        <v>1222.42</v>
      </c>
      <c r="U72" s="2"/>
      <c r="V72" s="6">
        <f t="shared" si="41"/>
        <v>1.1475422055156261E-3</v>
      </c>
      <c r="W72" s="2"/>
      <c r="X72" s="7">
        <f t="shared" si="42"/>
        <v>-1222.42</v>
      </c>
      <c r="Y72" s="2"/>
      <c r="Z72" s="6">
        <f t="shared" si="43"/>
        <v>-1</v>
      </c>
    </row>
    <row r="73" spans="1:26" s="27" customFormat="1" outlineLevel="1" collapsed="1" x14ac:dyDescent="0.25">
      <c r="A73" s="29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225</v>
      </c>
      <c r="E73" s="1"/>
      <c r="F73" s="5">
        <f t="shared" ref="F73:F78" si="44">IF(D$12=0,0,D73/D$12)</f>
        <v>8.8546944638482495E-3</v>
      </c>
      <c r="G73" s="1"/>
      <c r="H73" s="1">
        <f>SUM(OSRRefH22_14x_0)</f>
        <v>285</v>
      </c>
      <c r="I73" s="1"/>
      <c r="J73" s="5">
        <f t="shared" ref="J73:J78" si="45">IF(H$12=0,0,H73/H$12)</f>
        <v>4.9413503326881136E-4</v>
      </c>
      <c r="K73" s="1"/>
      <c r="L73" s="1">
        <f t="shared" ref="L73:L78" si="46">+D73-H73</f>
        <v>-60</v>
      </c>
      <c r="M73" s="1"/>
      <c r="N73" s="5">
        <f t="shared" ref="N73:N78" si="47">IF(H73=0,0,L73/H73)</f>
        <v>-0.21052631578947367</v>
      </c>
      <c r="O73" s="14"/>
      <c r="P73" s="1">
        <f>SUM(OSRRefP22_14x_0)</f>
        <v>503</v>
      </c>
      <c r="Q73" s="1"/>
      <c r="R73" s="5">
        <f t="shared" ref="R73:R78" si="48">IF(P$12=0,0,P73/P$12)</f>
        <v>1.0502102821641515E-2</v>
      </c>
      <c r="S73" s="1"/>
      <c r="T73" s="1">
        <f>SUM(OSRRefT22_14x_0)</f>
        <v>555.29999999999995</v>
      </c>
      <c r="U73" s="1"/>
      <c r="V73" s="5">
        <f t="shared" ref="V73:V78" si="49">IF(T$12=0,0,T73/T$12)</f>
        <v>5.2128579925297947E-4</v>
      </c>
      <c r="W73" s="1"/>
      <c r="X73" s="1">
        <f t="shared" ref="X73:X78" si="50">+P73-T73</f>
        <v>-52.299999999999955</v>
      </c>
      <c r="Y73" s="1"/>
      <c r="Z73" s="5">
        <f t="shared" ref="Z73:Z78" si="51">IF(T73=0,0,X73/T73)</f>
        <v>-9.4183324329191354E-2</v>
      </c>
    </row>
    <row r="74" spans="1:26" s="24" customFormat="1" hidden="1" outlineLevel="2" x14ac:dyDescent="0.25">
      <c r="A74" s="28"/>
      <c r="B74" s="11" t="str">
        <f>CONCATENATE("          ", "6309", " - ", "TELEPHONE")</f>
        <v xml:space="preserve">          6309 - TELEPHONE</v>
      </c>
      <c r="C74" s="11"/>
      <c r="D74" s="7">
        <v>225</v>
      </c>
      <c r="E74" s="2"/>
      <c r="F74" s="6">
        <f t="shared" si="44"/>
        <v>8.8546944638482495E-3</v>
      </c>
      <c r="G74" s="2"/>
      <c r="H74" s="7">
        <v>285</v>
      </c>
      <c r="I74" s="2"/>
      <c r="J74" s="6">
        <f t="shared" si="45"/>
        <v>4.9413503326881136E-4</v>
      </c>
      <c r="K74" s="2"/>
      <c r="L74" s="7">
        <f t="shared" si="46"/>
        <v>-60</v>
      </c>
      <c r="M74" s="2"/>
      <c r="N74" s="6">
        <f t="shared" si="47"/>
        <v>-0.21052631578947367</v>
      </c>
      <c r="O74" s="11"/>
      <c r="P74" s="7">
        <v>503</v>
      </c>
      <c r="Q74" s="2"/>
      <c r="R74" s="6">
        <f t="shared" si="48"/>
        <v>1.0502102821641515E-2</v>
      </c>
      <c r="S74" s="2"/>
      <c r="T74" s="7">
        <v>555.29999999999995</v>
      </c>
      <c r="U74" s="2"/>
      <c r="V74" s="6">
        <f t="shared" si="49"/>
        <v>5.2128579925297947E-4</v>
      </c>
      <c r="W74" s="2"/>
      <c r="X74" s="7">
        <f t="shared" si="50"/>
        <v>-52.299999999999955</v>
      </c>
      <c r="Y74" s="2"/>
      <c r="Z74" s="6">
        <f t="shared" si="51"/>
        <v>-9.4183324329191354E-2</v>
      </c>
    </row>
    <row r="75" spans="1:26" s="27" customFormat="1" outlineLevel="1" collapsed="1" x14ac:dyDescent="0.25">
      <c r="A75" s="29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SUM(OSRRefD22_15x_0)</f>
        <v>0</v>
      </c>
      <c r="E75" s="1"/>
      <c r="F75" s="5">
        <f t="shared" si="44"/>
        <v>0</v>
      </c>
      <c r="G75" s="1"/>
      <c r="H75" s="1">
        <f>SUM(OSRRefH22_15x_0)</f>
        <v>96</v>
      </c>
      <c r="I75" s="1"/>
      <c r="J75" s="5">
        <f t="shared" si="45"/>
        <v>1.66445484890547E-4</v>
      </c>
      <c r="K75" s="1"/>
      <c r="L75" s="1">
        <f t="shared" si="46"/>
        <v>-96</v>
      </c>
      <c r="M75" s="1"/>
      <c r="N75" s="5">
        <f t="shared" si="47"/>
        <v>-1</v>
      </c>
      <c r="O75" s="14"/>
      <c r="P75" s="1">
        <f>SUM(OSRRefP22_15x_0)</f>
        <v>0</v>
      </c>
      <c r="Q75" s="1"/>
      <c r="R75" s="5">
        <f t="shared" si="48"/>
        <v>0</v>
      </c>
      <c r="S75" s="1"/>
      <c r="T75" s="1">
        <f>SUM(OSRRefT22_15x_0)</f>
        <v>569.37</v>
      </c>
      <c r="U75" s="1"/>
      <c r="V75" s="5">
        <f t="shared" si="49"/>
        <v>5.344939591584169E-4</v>
      </c>
      <c r="W75" s="1"/>
      <c r="X75" s="1">
        <f t="shared" si="50"/>
        <v>-569.37</v>
      </c>
      <c r="Y75" s="1"/>
      <c r="Z75" s="5">
        <f t="shared" si="51"/>
        <v>-1</v>
      </c>
    </row>
    <row r="76" spans="1:26" s="24" customFormat="1" hidden="1" outlineLevel="2" x14ac:dyDescent="0.25">
      <c r="A76" s="28"/>
      <c r="B76" s="11" t="str">
        <f>CONCATENATE("          ", "6376", " - ", "TRAINING")</f>
        <v xml:space="preserve">          6376 - TRAINING</v>
      </c>
      <c r="C76" s="11"/>
      <c r="D76" s="7"/>
      <c r="E76" s="2"/>
      <c r="F76" s="6">
        <f t="shared" si="44"/>
        <v>0</v>
      </c>
      <c r="G76" s="2"/>
      <c r="H76" s="7">
        <v>96</v>
      </c>
      <c r="I76" s="2"/>
      <c r="J76" s="6">
        <f t="shared" si="45"/>
        <v>1.66445484890547E-4</v>
      </c>
      <c r="K76" s="2"/>
      <c r="L76" s="7">
        <f t="shared" si="46"/>
        <v>-96</v>
      </c>
      <c r="M76" s="2"/>
      <c r="N76" s="6">
        <f t="shared" si="47"/>
        <v>-1</v>
      </c>
      <c r="O76" s="11"/>
      <c r="P76" s="7"/>
      <c r="Q76" s="2"/>
      <c r="R76" s="6">
        <f t="shared" si="48"/>
        <v>0</v>
      </c>
      <c r="S76" s="2"/>
      <c r="T76" s="7">
        <v>569.37</v>
      </c>
      <c r="U76" s="2"/>
      <c r="V76" s="6">
        <f t="shared" si="49"/>
        <v>5.344939591584169E-4</v>
      </c>
      <c r="W76" s="2"/>
      <c r="X76" s="7">
        <f t="shared" si="50"/>
        <v>-569.37</v>
      </c>
      <c r="Y76" s="2"/>
      <c r="Z76" s="6">
        <f t="shared" si="51"/>
        <v>-1</v>
      </c>
    </row>
    <row r="77" spans="1:26" s="27" customFormat="1" outlineLevel="1" collapsed="1" x14ac:dyDescent="0.25">
      <c r="A77" s="29"/>
      <c r="B77" s="14" t="str">
        <f>CONCATENATE("     ","Travel                                            ")</f>
        <v xml:space="preserve">     Travel                                            </v>
      </c>
      <c r="C77" s="14"/>
      <c r="D77" s="1">
        <f>SUM(OSRRefD22_16x_0)</f>
        <v>0</v>
      </c>
      <c r="E77" s="1"/>
      <c r="F77" s="5">
        <f t="shared" si="44"/>
        <v>0</v>
      </c>
      <c r="G77" s="1"/>
      <c r="H77" s="1">
        <f>SUM(OSRRefH22_16x_0)</f>
        <v>0</v>
      </c>
      <c r="I77" s="1"/>
      <c r="J77" s="5">
        <f t="shared" si="45"/>
        <v>0</v>
      </c>
      <c r="K77" s="1"/>
      <c r="L77" s="1">
        <f t="shared" si="46"/>
        <v>0</v>
      </c>
      <c r="M77" s="1"/>
      <c r="N77" s="5">
        <f t="shared" si="47"/>
        <v>0</v>
      </c>
      <c r="O77" s="14"/>
      <c r="P77" s="1">
        <f>SUM(OSRRefP22_16x_0)</f>
        <v>0</v>
      </c>
      <c r="Q77" s="1"/>
      <c r="R77" s="5">
        <f t="shared" si="48"/>
        <v>0</v>
      </c>
      <c r="S77" s="1"/>
      <c r="T77" s="1">
        <f>SUM(OSRRefT22_16x_0)</f>
        <v>1429.86</v>
      </c>
      <c r="U77" s="1"/>
      <c r="V77" s="5">
        <f t="shared" si="49"/>
        <v>1.3422757300915996E-3</v>
      </c>
      <c r="W77" s="1"/>
      <c r="X77" s="1">
        <f t="shared" si="50"/>
        <v>-1429.86</v>
      </c>
      <c r="Y77" s="1"/>
      <c r="Z77" s="5">
        <f t="shared" si="51"/>
        <v>-1</v>
      </c>
    </row>
    <row r="78" spans="1:26" s="24" customFormat="1" hidden="1" outlineLevel="2" x14ac:dyDescent="0.25">
      <c r="A78" s="28"/>
      <c r="B78" s="11" t="str">
        <f>CONCATENATE("          ", "6292", " - ", "TRAVEL/CONFERENCE")</f>
        <v xml:space="preserve">          6292 - TRAVEL/CONFERENCE</v>
      </c>
      <c r="C78" s="11"/>
      <c r="D78" s="7"/>
      <c r="E78" s="2"/>
      <c r="F78" s="6">
        <f t="shared" si="44"/>
        <v>0</v>
      </c>
      <c r="G78" s="2"/>
      <c r="H78" s="7"/>
      <c r="I78" s="2"/>
      <c r="J78" s="6">
        <f t="shared" si="45"/>
        <v>0</v>
      </c>
      <c r="K78" s="2"/>
      <c r="L78" s="7">
        <f t="shared" si="46"/>
        <v>0</v>
      </c>
      <c r="M78" s="2"/>
      <c r="N78" s="6">
        <f t="shared" si="47"/>
        <v>0</v>
      </c>
      <c r="O78" s="11"/>
      <c r="P78" s="7"/>
      <c r="Q78" s="2"/>
      <c r="R78" s="6">
        <f t="shared" si="48"/>
        <v>0</v>
      </c>
      <c r="S78" s="2"/>
      <c r="T78" s="7">
        <v>1429.86</v>
      </c>
      <c r="U78" s="2"/>
      <c r="V78" s="6">
        <f t="shared" si="49"/>
        <v>1.3422757300915996E-3</v>
      </c>
      <c r="W78" s="2"/>
      <c r="X78" s="7">
        <f t="shared" si="50"/>
        <v>-1429.86</v>
      </c>
      <c r="Y78" s="2"/>
      <c r="Z78" s="6">
        <f t="shared" si="51"/>
        <v>-1</v>
      </c>
    </row>
    <row r="79" spans="1:26" s="60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x14ac:dyDescent="0.25">
      <c r="A80" s="10"/>
      <c r="B80" s="26" t="s">
        <v>0</v>
      </c>
      <c r="C80" s="10"/>
      <c r="D80" s="4">
        <f>SUM(0)</f>
        <v>0</v>
      </c>
      <c r="E80" s="4"/>
      <c r="F80" s="12">
        <f>IF(D$12=0,0,D80/D$12)</f>
        <v>0</v>
      </c>
      <c r="G80" s="4"/>
      <c r="H80" s="4">
        <f>SUM(0)</f>
        <v>0</v>
      </c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>
        <f>SUM(0)</f>
        <v>0</v>
      </c>
      <c r="Q80" s="4"/>
      <c r="R80" s="12">
        <f>IF(P$12=0,0,P80/P$12)</f>
        <v>0</v>
      </c>
      <c r="S80" s="4"/>
      <c r="T80" s="4">
        <f>SUM(0)</f>
        <v>0</v>
      </c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10"/>
      <c r="B82" s="25" t="s">
        <v>3</v>
      </c>
      <c r="C82" s="25"/>
      <c r="D82" s="22">
        <f>+D21-D23+D80</f>
        <v>-26482.909999999989</v>
      </c>
      <c r="E82" s="13"/>
      <c r="F82" s="21">
        <f>IF(D$12=0,0,D82/D$12)</f>
        <v>-1.0422136736159617</v>
      </c>
      <c r="G82" s="13"/>
      <c r="H82" s="22">
        <f>+H21-H23+H80</f>
        <v>262855.8</v>
      </c>
      <c r="I82" s="13"/>
      <c r="J82" s="21">
        <f>IF(H$12=0,0,H82/H$12)</f>
        <v>0.45574126132596504</v>
      </c>
      <c r="K82" s="15"/>
      <c r="L82" s="22">
        <f>+D82-H82</f>
        <v>-289338.70999999996</v>
      </c>
      <c r="M82" s="15"/>
      <c r="N82" s="21">
        <f>IF(H82=0,0,L82/H82)</f>
        <v>-1.1007507157917003</v>
      </c>
      <c r="O82" s="26"/>
      <c r="P82" s="22">
        <f>+P21-P23+P80</f>
        <v>-142636.68</v>
      </c>
      <c r="Q82" s="13"/>
      <c r="R82" s="21">
        <f>IF(P$12=0,0,P82/P$12)</f>
        <v>-2.9781015496969734</v>
      </c>
      <c r="S82" s="13"/>
      <c r="T82" s="22">
        <f>+T21-T23+T80</f>
        <v>353868.96</v>
      </c>
      <c r="U82" s="13"/>
      <c r="V82" s="21">
        <f>IF(T$12=0,0,T82/T$12)</f>
        <v>0.33219316341512811</v>
      </c>
      <c r="W82" s="15"/>
      <c r="X82" s="22">
        <f>+P82-T82</f>
        <v>-496505.64</v>
      </c>
      <c r="Y82" s="15"/>
      <c r="Z82" s="21">
        <f>IF(T82=0,0,X82/T82)</f>
        <v>-1.4030776816367279</v>
      </c>
    </row>
    <row r="83" spans="1:26" x14ac:dyDescent="0.25">
      <c r="A83" s="9"/>
      <c r="B83" s="10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51"/>
      <c r="B84" s="10" t="s">
        <v>13</v>
      </c>
      <c r="C84" s="10"/>
      <c r="D84" s="4">
        <v>5076.54</v>
      </c>
      <c r="E84" s="4"/>
      <c r="F84" s="12">
        <f>IF(D$12=0,0,D84/D$12)</f>
        <v>0.19978315837112975</v>
      </c>
      <c r="G84" s="4"/>
      <c r="H84" s="4">
        <v>53516.83</v>
      </c>
      <c r="I84" s="4"/>
      <c r="J84" s="12">
        <f>IF(H$12=0,0,H84/H$12)</f>
        <v>9.2787861657864304E-2</v>
      </c>
      <c r="K84" s="4"/>
      <c r="L84" s="4">
        <f>+D84-H84</f>
        <v>-48440.29</v>
      </c>
      <c r="M84" s="4"/>
      <c r="N84" s="12">
        <f>IF(H84=0,0,L84/H84)</f>
        <v>-0.90514124248390648</v>
      </c>
      <c r="O84" s="10"/>
      <c r="P84" s="4">
        <v>8872.82</v>
      </c>
      <c r="Q84" s="4"/>
      <c r="R84" s="12">
        <f>IF(P$12=0,0,P84/P$12)</f>
        <v>0.18525500588055122</v>
      </c>
      <c r="S84" s="4"/>
      <c r="T84" s="4">
        <v>114422.01999999999</v>
      </c>
      <c r="U84" s="4"/>
      <c r="V84" s="12">
        <f>IF(T$12=0,0,T84/T$12)</f>
        <v>0.10741324355814946</v>
      </c>
      <c r="W84" s="4"/>
      <c r="X84" s="4">
        <f>+P84-T84</f>
        <v>-105549.19999999998</v>
      </c>
      <c r="Y84" s="4"/>
      <c r="Z84" s="12">
        <f>IF(T84=0,0,X84/T84)</f>
        <v>-0.92245531061241526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5" t="s">
        <v>4</v>
      </c>
      <c r="C86" s="25"/>
      <c r="D86" s="33">
        <f>+D82-D84</f>
        <v>-31559.44999999999</v>
      </c>
      <c r="E86" s="13"/>
      <c r="F86" s="32">
        <f>IF(D$12=0,0,D86/D$12)</f>
        <v>-1.2419968319870913</v>
      </c>
      <c r="G86" s="13"/>
      <c r="H86" s="33">
        <f>+H82-H84</f>
        <v>209338.96999999997</v>
      </c>
      <c r="I86" s="13"/>
      <c r="J86" s="32">
        <f>IF(H$12=0,0,H86/H$12)</f>
        <v>0.3629533996681007</v>
      </c>
      <c r="K86" s="15"/>
      <c r="L86" s="33">
        <f>D86-H86</f>
        <v>-240898.41999999995</v>
      </c>
      <c r="M86" s="15"/>
      <c r="N86" s="32">
        <f>IF(H86=0,0,L86/H86)</f>
        <v>-1.1507576444080143</v>
      </c>
      <c r="O86" s="26"/>
      <c r="P86" s="33">
        <f>+P82-P84</f>
        <v>-151509.5</v>
      </c>
      <c r="Q86" s="13"/>
      <c r="R86" s="32">
        <f>IF(P$12=0,0,P86/P$12)</f>
        <v>-3.1633565555775252</v>
      </c>
      <c r="S86" s="13"/>
      <c r="T86" s="33">
        <f>+T82-T84</f>
        <v>239446.94000000003</v>
      </c>
      <c r="U86" s="13"/>
      <c r="V86" s="32">
        <f>IF(T$12=0,0,T86/T$12)</f>
        <v>0.22477991985697865</v>
      </c>
      <c r="W86" s="15"/>
      <c r="X86" s="33">
        <f>P86-T86</f>
        <v>-390956.44000000006</v>
      </c>
      <c r="Y86" s="15"/>
      <c r="Z86" s="32">
        <f>IF(T86=0,0,X86/T86)</f>
        <v>-1.6327476976736475</v>
      </c>
    </row>
    <row r="87" spans="1:26" ht="15.75" thickTop="1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5" t="s">
        <v>5</v>
      </c>
      <c r="C89" s="25"/>
      <c r="D89" s="34">
        <f>SUM(D86:D88)</f>
        <v>-31559.44999999999</v>
      </c>
      <c r="E89" s="13"/>
      <c r="F89" s="31">
        <f>IF(D$12=0,0,D89/D$12)</f>
        <v>-1.2419968319870913</v>
      </c>
      <c r="G89" s="13"/>
      <c r="H89" s="34">
        <f>SUM(H86:H88)</f>
        <v>209338.96999999997</v>
      </c>
      <c r="I89" s="13"/>
      <c r="J89" s="31">
        <f>IF(H$12=0,0,H89/H$12)</f>
        <v>0.3629533996681007</v>
      </c>
      <c r="K89" s="15"/>
      <c r="L89" s="34">
        <f>+D89-H89</f>
        <v>-240898.41999999995</v>
      </c>
      <c r="M89" s="15"/>
      <c r="N89" s="31">
        <f>IF(H89=0,0,L89/H89)</f>
        <v>-1.1507576444080143</v>
      </c>
      <c r="O89" s="26"/>
      <c r="P89" s="34">
        <f>SUM(P86:P88)</f>
        <v>-151509.5</v>
      </c>
      <c r="Q89" s="13"/>
      <c r="R89" s="31">
        <f>IF(P$12=0,0,P89/P$12)</f>
        <v>-3.1633565555775252</v>
      </c>
      <c r="S89" s="13"/>
      <c r="T89" s="34">
        <f>SUM(T86:T88)</f>
        <v>239446.94000000003</v>
      </c>
      <c r="U89" s="13"/>
      <c r="V89" s="31">
        <f>IF(T$12=0,0,T89/T$12)</f>
        <v>0.22477991985697865</v>
      </c>
      <c r="W89" s="15"/>
      <c r="X89" s="34">
        <f>+P89-T89</f>
        <v>-390956.44000000006</v>
      </c>
      <c r="Y89" s="15"/>
      <c r="Z89" s="31">
        <f>IF(T89=0,0,X89/T89)</f>
        <v>-1.6327476976736475</v>
      </c>
    </row>
    <row r="90" spans="1:26" ht="15.75" thickTop="1" x14ac:dyDescent="0.25">
      <c r="A90" s="9"/>
      <c r="C90" s="9"/>
      <c r="D90" s="18"/>
      <c r="E90" s="18"/>
      <c r="G90" s="18"/>
      <c r="H90" s="18"/>
      <c r="I90" s="18"/>
      <c r="J90" s="42"/>
      <c r="K90" s="18"/>
      <c r="L90" s="18"/>
      <c r="M90" s="18"/>
      <c r="P90" s="18"/>
      <c r="Q90" s="18"/>
      <c r="R90" s="42"/>
      <c r="S90" s="18"/>
      <c r="T90" s="18"/>
      <c r="U90" s="18"/>
      <c r="V90" s="42"/>
      <c r="W90" s="18"/>
      <c r="X90" s="18"/>
    </row>
    <row r="91" spans="1:26" x14ac:dyDescent="0.25">
      <c r="A91" s="9"/>
      <c r="B91" s="54">
        <v>44123.565787465275</v>
      </c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9" t="s">
        <v>313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8"/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1194.07</v>
      </c>
      <c r="I12" s="4"/>
      <c r="J12" s="12"/>
      <c r="K12" s="4"/>
      <c r="L12" s="4">
        <f t="shared" ref="L12:L15" si="0">+D12-H12</f>
        <v>-1194.07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1510.71</v>
      </c>
      <c r="U12" s="4"/>
      <c r="V12" s="12"/>
      <c r="W12" s="4"/>
      <c r="X12" s="4">
        <f t="shared" ref="X12:X15" si="2">+P12-T12</f>
        <v>-1510.71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5" si="4">0</f>
        <v>0</v>
      </c>
      <c r="E13" s="2"/>
      <c r="F13" s="19"/>
      <c r="G13" s="2"/>
      <c r="H13" s="2">
        <f>--233.67</f>
        <v>233.67</v>
      </c>
      <c r="I13" s="2"/>
      <c r="J13" s="19"/>
      <c r="K13" s="2"/>
      <c r="L13" s="2">
        <f t="shared" si="0"/>
        <v>-233.67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--279.32</f>
        <v>279.32</v>
      </c>
      <c r="U13" s="2"/>
      <c r="V13" s="19"/>
      <c r="W13" s="2"/>
      <c r="X13" s="2">
        <f t="shared" si="2"/>
        <v>-279.32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--260.28</f>
        <v>260.27999999999997</v>
      </c>
      <c r="I14" s="2"/>
      <c r="J14" s="19"/>
      <c r="K14" s="2"/>
      <c r="L14" s="2">
        <f t="shared" si="0"/>
        <v>-260.27999999999997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--260.28</f>
        <v>260.27999999999997</v>
      </c>
      <c r="U14" s="2"/>
      <c r="V14" s="19"/>
      <c r="W14" s="2"/>
      <c r="X14" s="2">
        <f t="shared" si="2"/>
        <v>-260.27999999999997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"4155", " - ", "NON-TAXABLE SALES-FOOD")</f>
        <v xml:space="preserve">          4155 - NON-TAXABLE SALES-FOOD</v>
      </c>
      <c r="C15" s="11"/>
      <c r="D15" s="2">
        <f t="shared" si="4"/>
        <v>0</v>
      </c>
      <c r="E15" s="2"/>
      <c r="F15" s="19"/>
      <c r="G15" s="2"/>
      <c r="H15" s="2">
        <f>--700.12</f>
        <v>700.12</v>
      </c>
      <c r="I15" s="2"/>
      <c r="J15" s="19"/>
      <c r="K15" s="2"/>
      <c r="L15" s="2">
        <f t="shared" si="0"/>
        <v>-700.12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--971.11</f>
        <v>971.11</v>
      </c>
      <c r="U15" s="2"/>
      <c r="V15" s="19"/>
      <c r="W15" s="2"/>
      <c r="X15" s="2">
        <f t="shared" si="2"/>
        <v>-971.11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9" si="6">IF(D$12=0,0,D17/D$12)</f>
        <v>0</v>
      </c>
      <c r="G17" s="4"/>
      <c r="H17" s="4">
        <f>SUM(OSRRefH16x_0)</f>
        <v>91.539999999999964</v>
      </c>
      <c r="I17" s="4"/>
      <c r="J17" s="12">
        <f t="shared" ref="J17:J19" si="7">IF(H$12=0,0,H17/H$12)</f>
        <v>7.6662172234458592E-2</v>
      </c>
      <c r="K17" s="4"/>
      <c r="L17" s="4">
        <f t="shared" ref="L17:L19" si="8">+D17-H17</f>
        <v>-91.539999999999964</v>
      </c>
      <c r="M17" s="4"/>
      <c r="N17" s="12">
        <f t="shared" ref="N17:N19" si="9">IF(H17=0,0,L17/H17)</f>
        <v>-1</v>
      </c>
      <c r="O17" s="10"/>
      <c r="P17" s="4">
        <f>SUM(OSRRefP16x_0)</f>
        <v>0</v>
      </c>
      <c r="Q17" s="4"/>
      <c r="R17" s="12">
        <f t="shared" ref="R17:R19" si="10">IF(P$12=0,0,P17/P$12)</f>
        <v>0</v>
      </c>
      <c r="S17" s="4"/>
      <c r="T17" s="4">
        <f>SUM(OSRRefT16x_0)</f>
        <v>440.59999999999991</v>
      </c>
      <c r="U17" s="4"/>
      <c r="V17" s="12">
        <f t="shared" ref="V17:V19" si="11">IF(T$12=0,0,T17/T$12)</f>
        <v>0.29165094558187865</v>
      </c>
      <c r="W17" s="4"/>
      <c r="X17" s="4">
        <f t="shared" ref="X17:X19" si="12">+P17-T17</f>
        <v>-440.59999999999991</v>
      </c>
      <c r="Y17" s="4"/>
      <c r="Z17" s="12">
        <f t="shared" ref="Z17:Z19" si="13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6"/>
        <v>0</v>
      </c>
      <c r="G18" s="2"/>
      <c r="H18" s="2">
        <v>396.14</v>
      </c>
      <c r="I18" s="2"/>
      <c r="J18" s="19">
        <f t="shared" si="7"/>
        <v>0.33175609470131567</v>
      </c>
      <c r="K18" s="2"/>
      <c r="L18" s="2">
        <f t="shared" si="8"/>
        <v>-396.14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2704.4</v>
      </c>
      <c r="U18" s="2"/>
      <c r="V18" s="19">
        <f t="shared" si="11"/>
        <v>1.7901516505484176</v>
      </c>
      <c r="W18" s="2"/>
      <c r="X18" s="2">
        <f t="shared" si="12"/>
        <v>-2704.4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6"/>
        <v>0</v>
      </c>
      <c r="G19" s="2"/>
      <c r="H19" s="2">
        <v>-304.60000000000002</v>
      </c>
      <c r="I19" s="2"/>
      <c r="J19" s="19">
        <f t="shared" si="7"/>
        <v>-0.25509392246685708</v>
      </c>
      <c r="K19" s="2"/>
      <c r="L19" s="2">
        <f t="shared" si="8"/>
        <v>304.60000000000002</v>
      </c>
      <c r="M19" s="2"/>
      <c r="N19" s="19">
        <f t="shared" si="9"/>
        <v>-1</v>
      </c>
      <c r="O19" s="11"/>
      <c r="P19" s="2"/>
      <c r="Q19" s="2"/>
      <c r="R19" s="19">
        <f t="shared" si="10"/>
        <v>0</v>
      </c>
      <c r="S19" s="2"/>
      <c r="T19" s="2">
        <v>-2263.8000000000002</v>
      </c>
      <c r="U19" s="2"/>
      <c r="V19" s="19">
        <f t="shared" si="11"/>
        <v>-1.4985007049665391</v>
      </c>
      <c r="W19" s="2"/>
      <c r="X19" s="2">
        <f t="shared" si="12"/>
        <v>2263.8000000000002</v>
      </c>
      <c r="Y19" s="2"/>
      <c r="Z19" s="19">
        <f t="shared" si="13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2">
        <f>D12-D17</f>
        <v>0</v>
      </c>
      <c r="E21" s="13"/>
      <c r="F21" s="21">
        <f>IF(D$12=0,0,D21/D$12)</f>
        <v>0</v>
      </c>
      <c r="G21" s="13"/>
      <c r="H21" s="22">
        <f>H12-H17</f>
        <v>1102.53</v>
      </c>
      <c r="I21" s="13"/>
      <c r="J21" s="21">
        <f>IF(H$12=0,0,H21/H$12)</f>
        <v>0.92333782776554141</v>
      </c>
      <c r="K21" s="15"/>
      <c r="L21" s="22">
        <f>+D21-H21</f>
        <v>-1102.53</v>
      </c>
      <c r="M21" s="15"/>
      <c r="N21" s="21">
        <f>IF(H21=0,0,L21/H21)</f>
        <v>-1</v>
      </c>
      <c r="O21" s="26"/>
      <c r="P21" s="22">
        <f>P12-P17</f>
        <v>0</v>
      </c>
      <c r="Q21" s="13"/>
      <c r="R21" s="21">
        <f>IF(P$12=0,0,P21/P$12)</f>
        <v>0</v>
      </c>
      <c r="S21" s="13"/>
      <c r="T21" s="22">
        <f>T12-T17</f>
        <v>1070.1100000000001</v>
      </c>
      <c r="U21" s="13"/>
      <c r="V21" s="21">
        <f>IF(T$12=0,0,T21/T$12)</f>
        <v>0.70834905441812135</v>
      </c>
      <c r="W21" s="15"/>
      <c r="X21" s="22">
        <f>+P21-T21</f>
        <v>-1070.1100000000001</v>
      </c>
      <c r="Y21" s="15"/>
      <c r="Z21" s="21">
        <f>IF(T21=0,0,X21/T21)</f>
        <v>-1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0</v>
      </c>
      <c r="E23" s="20"/>
      <c r="F23" s="36">
        <f t="shared" ref="F23:F27" si="14">IF(D$12=0,0,D23/D$12)</f>
        <v>0</v>
      </c>
      <c r="G23" s="20"/>
      <c r="H23" s="20">
        <f>SUM(OSRRefH22x_0)</f>
        <v>2603.64</v>
      </c>
      <c r="I23" s="20"/>
      <c r="J23" s="36">
        <f t="shared" ref="J23:J27" si="15">IF(H$12=0,0,H23/H$12)</f>
        <v>2.1804751815220214</v>
      </c>
      <c r="K23" s="4"/>
      <c r="L23" s="20">
        <f t="shared" ref="L23:L27" si="16">+D23-H23</f>
        <v>-2603.64</v>
      </c>
      <c r="M23" s="4"/>
      <c r="N23" s="36">
        <f t="shared" ref="N23:N27" si="17">IF(H23=0,0,L23/H23)</f>
        <v>-1</v>
      </c>
      <c r="O23" s="10"/>
      <c r="P23" s="20">
        <f>SUM(OSRRefP22x_0)</f>
        <v>151</v>
      </c>
      <c r="Q23" s="20"/>
      <c r="R23" s="36">
        <f t="shared" ref="R23:R27" si="18">IF(P$12=0,0,P23/P$12)</f>
        <v>0</v>
      </c>
      <c r="S23" s="20"/>
      <c r="T23" s="20">
        <f>SUM(OSRRefT22x_0)</f>
        <v>6508.5999999999985</v>
      </c>
      <c r="U23" s="20"/>
      <c r="V23" s="36">
        <f t="shared" ref="V23:V27" si="19">IF(T$12=0,0,T23/T$12)</f>
        <v>4.3083053663509201</v>
      </c>
      <c r="W23" s="4"/>
      <c r="X23" s="20">
        <f t="shared" ref="X23:X27" si="20">+P23-T23</f>
        <v>-6357.5999999999985</v>
      </c>
      <c r="Y23" s="4"/>
      <c r="Z23" s="36">
        <f t="shared" ref="Z23:Z27" si="21">IF(T23=0,0,X23/T23)</f>
        <v>-0.9767999262514212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4"/>
        <v>0</v>
      </c>
      <c r="G24" s="1"/>
      <c r="H24" s="1">
        <f>SUM(OSRRefH22_0x_0)</f>
        <v>171.34</v>
      </c>
      <c r="I24" s="1"/>
      <c r="J24" s="5">
        <f t="shared" si="15"/>
        <v>0.14349242506720714</v>
      </c>
      <c r="K24" s="1"/>
      <c r="L24" s="1">
        <f t="shared" si="16"/>
        <v>-171.34</v>
      </c>
      <c r="M24" s="1"/>
      <c r="N24" s="5">
        <f t="shared" si="17"/>
        <v>-1</v>
      </c>
      <c r="O24" s="14"/>
      <c r="P24" s="1">
        <f>SUM(OSRRefP22_0x_0)</f>
        <v>0</v>
      </c>
      <c r="Q24" s="1"/>
      <c r="R24" s="5">
        <f t="shared" si="18"/>
        <v>0</v>
      </c>
      <c r="S24" s="1"/>
      <c r="T24" s="1">
        <f>SUM(OSRRefT22_0x_0)</f>
        <v>267.70999999999998</v>
      </c>
      <c r="U24" s="1"/>
      <c r="V24" s="5">
        <f t="shared" si="19"/>
        <v>0.17720806772974296</v>
      </c>
      <c r="W24" s="1"/>
      <c r="X24" s="1">
        <f t="shared" si="20"/>
        <v>-267.70999999999998</v>
      </c>
      <c r="Y24" s="1"/>
      <c r="Z24" s="5">
        <f t="shared" si="21"/>
        <v>-1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/>
      <c r="E25" s="2"/>
      <c r="F25" s="6">
        <f t="shared" si="14"/>
        <v>0</v>
      </c>
      <c r="G25" s="2"/>
      <c r="H25" s="7">
        <v>115.84</v>
      </c>
      <c r="I25" s="2"/>
      <c r="J25" s="6">
        <f t="shared" si="15"/>
        <v>9.701273794668655E-2</v>
      </c>
      <c r="K25" s="2"/>
      <c r="L25" s="7">
        <f t="shared" si="16"/>
        <v>-115.84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161.16</v>
      </c>
      <c r="U25" s="2"/>
      <c r="V25" s="6">
        <f t="shared" si="19"/>
        <v>0.10667831681792005</v>
      </c>
      <c r="W25" s="2"/>
      <c r="X25" s="7">
        <f t="shared" si="20"/>
        <v>-161.16</v>
      </c>
      <c r="Y25" s="2"/>
      <c r="Z25" s="6">
        <f t="shared" si="21"/>
        <v>-1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/>
      <c r="E26" s="2"/>
      <c r="F26" s="6">
        <f t="shared" si="14"/>
        <v>0</v>
      </c>
      <c r="G26" s="2"/>
      <c r="H26" s="7">
        <v>48.82</v>
      </c>
      <c r="I26" s="2"/>
      <c r="J26" s="6">
        <f t="shared" si="15"/>
        <v>4.088537522925792E-2</v>
      </c>
      <c r="K26" s="2"/>
      <c r="L26" s="7">
        <f t="shared" si="16"/>
        <v>-48.82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93.73</v>
      </c>
      <c r="U26" s="2"/>
      <c r="V26" s="6">
        <f t="shared" si="19"/>
        <v>6.2043674828391952E-2</v>
      </c>
      <c r="W26" s="2"/>
      <c r="X26" s="7">
        <f t="shared" si="20"/>
        <v>-93.73</v>
      </c>
      <c r="Y26" s="2"/>
      <c r="Z26" s="6">
        <f t="shared" si="21"/>
        <v>-1</v>
      </c>
    </row>
    <row r="27" spans="1:26" s="24" customFormat="1" hidden="1" outlineLevel="2" x14ac:dyDescent="0.25">
      <c r="A27" s="28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6.68</v>
      </c>
      <c r="I27" s="2"/>
      <c r="J27" s="6">
        <f t="shared" si="15"/>
        <v>5.5943118912626559E-3</v>
      </c>
      <c r="K27" s="2"/>
      <c r="L27" s="7">
        <f t="shared" si="16"/>
        <v>-6.68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12.82</v>
      </c>
      <c r="U27" s="2"/>
      <c r="V27" s="6">
        <f t="shared" si="19"/>
        <v>8.4860760834309691E-3</v>
      </c>
      <c r="W27" s="2"/>
      <c r="X27" s="7">
        <f t="shared" si="20"/>
        <v>-12.82</v>
      </c>
      <c r="Y27" s="2"/>
      <c r="Z27" s="6">
        <f t="shared" si="21"/>
        <v>-1</v>
      </c>
    </row>
    <row r="28" spans="1:26" s="27" customFormat="1" outlineLevel="1" collapsed="1" x14ac:dyDescent="0.25">
      <c r="A28" s="29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0" si="22">IF(D$12=0,0,D28/D$12)</f>
        <v>0</v>
      </c>
      <c r="G28" s="1"/>
      <c r="H28" s="1">
        <f>SUM(OSRRefH22_1x_0)</f>
        <v>2234.1</v>
      </c>
      <c r="I28" s="1"/>
      <c r="J28" s="5">
        <f t="shared" ref="J28:J30" si="23">IF(H$12=0,0,H28/H$12)</f>
        <v>1.8709958377649551</v>
      </c>
      <c r="K28" s="1"/>
      <c r="L28" s="1">
        <f t="shared" ref="L28:L30" si="24">+D28-H28</f>
        <v>-2234.1</v>
      </c>
      <c r="M28" s="1"/>
      <c r="N28" s="5">
        <f t="shared" ref="N28:N30" si="25">IF(H28=0,0,L28/H28)</f>
        <v>-1</v>
      </c>
      <c r="O28" s="14"/>
      <c r="P28" s="1">
        <f>SUM(OSRRefP22_1x_0)</f>
        <v>0</v>
      </c>
      <c r="Q28" s="1"/>
      <c r="R28" s="5">
        <f t="shared" ref="R28:R30" si="26">IF(P$12=0,0,P28/P$12)</f>
        <v>0</v>
      </c>
      <c r="S28" s="1"/>
      <c r="T28" s="1">
        <f>SUM(OSRRefT22_1x_0)</f>
        <v>3422.66</v>
      </c>
      <c r="U28" s="1"/>
      <c r="V28" s="5">
        <f t="shared" ref="V28:V30" si="27">IF(T$12=0,0,T28/T$12)</f>
        <v>2.265596970960674</v>
      </c>
      <c r="W28" s="1"/>
      <c r="X28" s="1">
        <f t="shared" ref="X28:X30" si="28">+P28-T28</f>
        <v>-3422.66</v>
      </c>
      <c r="Y28" s="1"/>
      <c r="Z28" s="5">
        <f t="shared" ref="Z28:Z30" si="29">IF(T28=0,0,X28/T28)</f>
        <v>-1</v>
      </c>
    </row>
    <row r="29" spans="1:26" s="24" customFormat="1" hidden="1" outlineLevel="2" x14ac:dyDescent="0.25">
      <c r="A29" s="28"/>
      <c r="B29" s="11" t="str">
        <f>CONCATENATE("          ", "6005", " - ", "TEMPORARY WAGES-HOURLY")</f>
        <v xml:space="preserve">          6005 - TEMPORARY WAGES-HOURLY</v>
      </c>
      <c r="C29" s="11"/>
      <c r="D29" s="7"/>
      <c r="E29" s="2"/>
      <c r="F29" s="6">
        <f t="shared" si="22"/>
        <v>0</v>
      </c>
      <c r="G29" s="2"/>
      <c r="H29" s="7">
        <v>1514.1</v>
      </c>
      <c r="I29" s="2"/>
      <c r="J29" s="6">
        <f t="shared" si="23"/>
        <v>1.2680161129582017</v>
      </c>
      <c r="K29" s="2"/>
      <c r="L29" s="7">
        <f t="shared" si="24"/>
        <v>-1514.1</v>
      </c>
      <c r="M29" s="2"/>
      <c r="N29" s="6">
        <f t="shared" si="25"/>
        <v>-1</v>
      </c>
      <c r="O29" s="11"/>
      <c r="P29" s="7"/>
      <c r="Q29" s="2"/>
      <c r="R29" s="6">
        <f t="shared" si="26"/>
        <v>0</v>
      </c>
      <c r="S29" s="2"/>
      <c r="T29" s="7">
        <v>2010.66</v>
      </c>
      <c r="U29" s="2"/>
      <c r="V29" s="6">
        <f t="shared" si="27"/>
        <v>1.3309371090414441</v>
      </c>
      <c r="W29" s="2"/>
      <c r="X29" s="7">
        <f t="shared" si="28"/>
        <v>-2010.66</v>
      </c>
      <c r="Y29" s="2"/>
      <c r="Z29" s="6">
        <f t="shared" si="29"/>
        <v>-1</v>
      </c>
    </row>
    <row r="30" spans="1:26" s="24" customFormat="1" hidden="1" outlineLevel="2" x14ac:dyDescent="0.25">
      <c r="A30" s="28"/>
      <c r="B30" s="11" t="str">
        <f>CONCATENATE("          ", "6007", " - ", "STUDENT HOURLY")</f>
        <v xml:space="preserve">          6007 - STUDENT HOURLY</v>
      </c>
      <c r="C30" s="11"/>
      <c r="D30" s="7"/>
      <c r="E30" s="2"/>
      <c r="F30" s="6">
        <f t="shared" si="22"/>
        <v>0</v>
      </c>
      <c r="G30" s="2"/>
      <c r="H30" s="7">
        <v>720</v>
      </c>
      <c r="I30" s="2"/>
      <c r="J30" s="6">
        <f t="shared" si="23"/>
        <v>0.60297972480675344</v>
      </c>
      <c r="K30" s="2"/>
      <c r="L30" s="7">
        <f t="shared" si="24"/>
        <v>-720</v>
      </c>
      <c r="M30" s="2"/>
      <c r="N30" s="6">
        <f t="shared" si="25"/>
        <v>-1</v>
      </c>
      <c r="O30" s="11"/>
      <c r="P30" s="7"/>
      <c r="Q30" s="2"/>
      <c r="R30" s="6">
        <f t="shared" si="26"/>
        <v>0</v>
      </c>
      <c r="S30" s="2"/>
      <c r="T30" s="7">
        <v>1412</v>
      </c>
      <c r="U30" s="2"/>
      <c r="V30" s="6">
        <f t="shared" si="27"/>
        <v>0.93465986191923001</v>
      </c>
      <c r="W30" s="2"/>
      <c r="X30" s="7">
        <f t="shared" si="28"/>
        <v>-1412</v>
      </c>
      <c r="Y30" s="2"/>
      <c r="Z30" s="6">
        <f t="shared" si="29"/>
        <v>-1</v>
      </c>
    </row>
    <row r="31" spans="1:26" s="27" customFormat="1" outlineLevel="1" collapsed="1" x14ac:dyDescent="0.25">
      <c r="A31" s="29"/>
      <c r="B31" s="14" t="str">
        <f>CONCATENATE("     ","Bad Debts/Over/Short                              ")</f>
        <v xml:space="preserve">     Bad Debts/Over/Short                              </v>
      </c>
      <c r="C31" s="14"/>
      <c r="D31" s="1">
        <f>SUM(OSRRefD22_2x_0)</f>
        <v>0</v>
      </c>
      <c r="E31" s="1"/>
      <c r="F31" s="5">
        <f t="shared" ref="F31:F41" si="30">IF(D$12=0,0,D31/D$12)</f>
        <v>0</v>
      </c>
      <c r="G31" s="1"/>
      <c r="H31" s="1">
        <f>SUM(OSRRefH22_2x_0)</f>
        <v>-0.02</v>
      </c>
      <c r="I31" s="1"/>
      <c r="J31" s="5">
        <f t="shared" ref="J31:J41" si="31">IF(H$12=0,0,H31/H$12)</f>
        <v>-1.6749436800187595E-5</v>
      </c>
      <c r="K31" s="1"/>
      <c r="L31" s="1">
        <f t="shared" ref="L31:L41" si="32">+D31-H31</f>
        <v>0.02</v>
      </c>
      <c r="M31" s="1"/>
      <c r="N31" s="5">
        <f t="shared" ref="N31:N41" si="33">IF(H31=0,0,L31/H31)</f>
        <v>-1</v>
      </c>
      <c r="O31" s="14"/>
      <c r="P31" s="1">
        <f>SUM(OSRRefP22_2x_0)</f>
        <v>0</v>
      </c>
      <c r="Q31" s="1"/>
      <c r="R31" s="5">
        <f t="shared" ref="R31:R41" si="34">IF(P$12=0,0,P31/P$12)</f>
        <v>0</v>
      </c>
      <c r="S31" s="1"/>
      <c r="T31" s="1">
        <f>SUM(OSRRefT22_2x_0)</f>
        <v>-0.31</v>
      </c>
      <c r="U31" s="1"/>
      <c r="V31" s="5">
        <f t="shared" ref="V31:V41" si="35">IF(T$12=0,0,T31/T$12)</f>
        <v>-2.0520152775847116E-4</v>
      </c>
      <c r="W31" s="1"/>
      <c r="X31" s="1">
        <f t="shared" ref="X31:X41" si="36">+P31-T31</f>
        <v>0.31</v>
      </c>
      <c r="Y31" s="1"/>
      <c r="Z31" s="5">
        <f t="shared" ref="Z31:Z41" si="37">IF(T31=0,0,X31/T31)</f>
        <v>-1</v>
      </c>
    </row>
    <row r="32" spans="1:26" s="24" customFormat="1" hidden="1" outlineLevel="2" x14ac:dyDescent="0.25">
      <c r="A32" s="28"/>
      <c r="B32" s="11" t="str">
        <f>CONCATENATE("          ", "6272", " - ", "CASH (OVER/SHORT)")</f>
        <v xml:space="preserve">          6272 - CASH (OVER/SHORT)</v>
      </c>
      <c r="C32" s="11"/>
      <c r="D32" s="7"/>
      <c r="E32" s="2"/>
      <c r="F32" s="6">
        <f t="shared" si="30"/>
        <v>0</v>
      </c>
      <c r="G32" s="2"/>
      <c r="H32" s="7">
        <v>-0.02</v>
      </c>
      <c r="I32" s="2"/>
      <c r="J32" s="6">
        <f t="shared" si="31"/>
        <v>-1.6749436800187595E-5</v>
      </c>
      <c r="K32" s="2"/>
      <c r="L32" s="7">
        <f t="shared" si="32"/>
        <v>0.02</v>
      </c>
      <c r="M32" s="2"/>
      <c r="N32" s="6">
        <f t="shared" si="33"/>
        <v>-1</v>
      </c>
      <c r="O32" s="11"/>
      <c r="P32" s="7"/>
      <c r="Q32" s="2"/>
      <c r="R32" s="6">
        <f t="shared" si="34"/>
        <v>0</v>
      </c>
      <c r="S32" s="2"/>
      <c r="T32" s="7">
        <v>-0.31</v>
      </c>
      <c r="U32" s="2"/>
      <c r="V32" s="6">
        <f t="shared" si="35"/>
        <v>-2.0520152775847116E-4</v>
      </c>
      <c r="W32" s="2"/>
      <c r="X32" s="7">
        <f t="shared" si="36"/>
        <v>0.31</v>
      </c>
      <c r="Y32" s="2"/>
      <c r="Z32" s="6">
        <f t="shared" si="37"/>
        <v>-1</v>
      </c>
    </row>
    <row r="33" spans="1:26" s="27" customFormat="1" outlineLevel="1" collapsed="1" x14ac:dyDescent="0.25">
      <c r="A33" s="29"/>
      <c r="B33" s="14" t="str">
        <f>CONCATENATE("     ","Bank/card Fees                                    ")</f>
        <v xml:space="preserve">     Bank/card Fees                                    </v>
      </c>
      <c r="C33" s="14"/>
      <c r="D33" s="1">
        <f>SUM(OSRRefD22_3x_0)</f>
        <v>0</v>
      </c>
      <c r="E33" s="1"/>
      <c r="F33" s="5">
        <f t="shared" si="30"/>
        <v>0</v>
      </c>
      <c r="G33" s="1"/>
      <c r="H33" s="1">
        <f>SUM(OSRRefH22_3x_0)</f>
        <v>23.36</v>
      </c>
      <c r="I33" s="1"/>
      <c r="J33" s="5">
        <f t="shared" si="31"/>
        <v>1.9563342182619112E-2</v>
      </c>
      <c r="K33" s="1"/>
      <c r="L33" s="1">
        <f t="shared" si="32"/>
        <v>-23.36</v>
      </c>
      <c r="M33" s="1"/>
      <c r="N33" s="5">
        <f t="shared" si="33"/>
        <v>-1</v>
      </c>
      <c r="O33" s="14"/>
      <c r="P33" s="1">
        <f>SUM(OSRRefP22_3x_0)</f>
        <v>0</v>
      </c>
      <c r="Q33" s="1"/>
      <c r="R33" s="5">
        <f t="shared" si="34"/>
        <v>0</v>
      </c>
      <c r="S33" s="1"/>
      <c r="T33" s="1">
        <f>SUM(OSRRefT22_3x_0)</f>
        <v>31.55</v>
      </c>
      <c r="U33" s="1"/>
      <c r="V33" s="5">
        <f t="shared" si="35"/>
        <v>2.0884220002515372E-2</v>
      </c>
      <c r="W33" s="1"/>
      <c r="X33" s="1">
        <f t="shared" si="36"/>
        <v>-31.55</v>
      </c>
      <c r="Y33" s="1"/>
      <c r="Z33" s="5">
        <f t="shared" si="37"/>
        <v>-1</v>
      </c>
    </row>
    <row r="34" spans="1:26" s="24" customFormat="1" hidden="1" outlineLevel="2" x14ac:dyDescent="0.25">
      <c r="A34" s="28"/>
      <c r="B34" s="11" t="str">
        <f>CONCATENATE("          ", "6381", " - ", "BANK/CREDIT CARD FEES")</f>
        <v xml:space="preserve">          6381 - BANK/CREDIT CARD FEES</v>
      </c>
      <c r="C34" s="11"/>
      <c r="D34" s="7"/>
      <c r="E34" s="2"/>
      <c r="F34" s="6">
        <f t="shared" si="30"/>
        <v>0</v>
      </c>
      <c r="G34" s="2"/>
      <c r="H34" s="7">
        <v>23.36</v>
      </c>
      <c r="I34" s="2"/>
      <c r="J34" s="6">
        <f t="shared" si="31"/>
        <v>1.9563342182619112E-2</v>
      </c>
      <c r="K34" s="2"/>
      <c r="L34" s="7">
        <f t="shared" si="32"/>
        <v>-23.36</v>
      </c>
      <c r="M34" s="2"/>
      <c r="N34" s="6">
        <f t="shared" si="33"/>
        <v>-1</v>
      </c>
      <c r="O34" s="11"/>
      <c r="P34" s="7"/>
      <c r="Q34" s="2"/>
      <c r="R34" s="6">
        <f t="shared" si="34"/>
        <v>0</v>
      </c>
      <c r="S34" s="2"/>
      <c r="T34" s="7">
        <v>31.55</v>
      </c>
      <c r="U34" s="2"/>
      <c r="V34" s="6">
        <f t="shared" si="35"/>
        <v>2.0884220002515372E-2</v>
      </c>
      <c r="W34" s="2"/>
      <c r="X34" s="7">
        <f t="shared" si="36"/>
        <v>-31.55</v>
      </c>
      <c r="Y34" s="2"/>
      <c r="Z34" s="6">
        <f t="shared" si="37"/>
        <v>-1</v>
      </c>
    </row>
    <row r="35" spans="1:26" s="27" customFormat="1" outlineLevel="1" collapsed="1" x14ac:dyDescent="0.25">
      <c r="A35" s="29"/>
      <c r="B35" s="14" t="str">
        <f>CONCATENATE("     ","General                                           ")</f>
        <v xml:space="preserve">     General                                           </v>
      </c>
      <c r="C35" s="14"/>
      <c r="D35" s="1">
        <f>SUM(OSRRefD22_4x_0)</f>
        <v>0</v>
      </c>
      <c r="E35" s="1"/>
      <c r="F35" s="5">
        <f t="shared" si="30"/>
        <v>0</v>
      </c>
      <c r="G35" s="1"/>
      <c r="H35" s="1">
        <f>SUM(OSRRefH22_4x_0)</f>
        <v>24</v>
      </c>
      <c r="I35" s="1"/>
      <c r="J35" s="5">
        <f t="shared" si="31"/>
        <v>2.0099324160225113E-2</v>
      </c>
      <c r="K35" s="1"/>
      <c r="L35" s="1">
        <f t="shared" si="32"/>
        <v>-24</v>
      </c>
      <c r="M35" s="1"/>
      <c r="N35" s="5">
        <f t="shared" si="33"/>
        <v>-1</v>
      </c>
      <c r="O35" s="14"/>
      <c r="P35" s="1">
        <f>SUM(OSRRefP22_4x_0)</f>
        <v>0</v>
      </c>
      <c r="Q35" s="1"/>
      <c r="R35" s="5">
        <f t="shared" si="34"/>
        <v>0</v>
      </c>
      <c r="S35" s="1"/>
      <c r="T35" s="1">
        <f>SUM(OSRRefT22_4x_0)</f>
        <v>1113.55</v>
      </c>
      <c r="U35" s="1"/>
      <c r="V35" s="5">
        <f t="shared" si="35"/>
        <v>0.7371037459207922</v>
      </c>
      <c r="W35" s="1"/>
      <c r="X35" s="1">
        <f t="shared" si="36"/>
        <v>-1113.55</v>
      </c>
      <c r="Y35" s="1"/>
      <c r="Z35" s="5">
        <f t="shared" si="37"/>
        <v>-1</v>
      </c>
    </row>
    <row r="36" spans="1:26" s="24" customFormat="1" hidden="1" outlineLevel="2" x14ac:dyDescent="0.25">
      <c r="A36" s="28"/>
      <c r="B36" s="11" t="str">
        <f>CONCATENATE("          ", "6279", " - ", "GENERAL EXPENSE")</f>
        <v xml:space="preserve">          6279 - GENERAL EXPENSE</v>
      </c>
      <c r="C36" s="11"/>
      <c r="D36" s="7"/>
      <c r="E36" s="2"/>
      <c r="F36" s="6">
        <f t="shared" si="30"/>
        <v>0</v>
      </c>
      <c r="G36" s="2"/>
      <c r="H36" s="7">
        <v>24</v>
      </c>
      <c r="I36" s="2"/>
      <c r="J36" s="6">
        <f t="shared" si="31"/>
        <v>2.0099324160225113E-2</v>
      </c>
      <c r="K36" s="2"/>
      <c r="L36" s="7">
        <f t="shared" si="32"/>
        <v>-24</v>
      </c>
      <c r="M36" s="2"/>
      <c r="N36" s="6">
        <f t="shared" si="33"/>
        <v>-1</v>
      </c>
      <c r="O36" s="11"/>
      <c r="P36" s="7"/>
      <c r="Q36" s="2"/>
      <c r="R36" s="6">
        <f t="shared" si="34"/>
        <v>0</v>
      </c>
      <c r="S36" s="2"/>
      <c r="T36" s="7">
        <v>1113.55</v>
      </c>
      <c r="U36" s="2"/>
      <c r="V36" s="6">
        <f t="shared" si="35"/>
        <v>0.7371037459207922</v>
      </c>
      <c r="W36" s="2"/>
      <c r="X36" s="7">
        <f t="shared" si="36"/>
        <v>-1113.55</v>
      </c>
      <c r="Y36" s="2"/>
      <c r="Z36" s="6">
        <f t="shared" si="37"/>
        <v>-1</v>
      </c>
    </row>
    <row r="37" spans="1:26" s="27" customFormat="1" outlineLevel="1" collapsed="1" x14ac:dyDescent="0.25">
      <c r="A37" s="29"/>
      <c r="B37" s="14" t="str">
        <f>CONCATENATE("     ","R/H Commissions                                   ")</f>
        <v xml:space="preserve">     R/H Commissions                                   </v>
      </c>
      <c r="C37" s="14"/>
      <c r="D37" s="1">
        <f>SUM(OSRRefD22_5x_0)</f>
        <v>0</v>
      </c>
      <c r="E37" s="1"/>
      <c r="F37" s="5">
        <f t="shared" si="30"/>
        <v>0</v>
      </c>
      <c r="G37" s="1"/>
      <c r="H37" s="1">
        <f>SUM(OSRRefH22_5x_0)</f>
        <v>120.86</v>
      </c>
      <c r="I37" s="1"/>
      <c r="J37" s="5">
        <f t="shared" si="31"/>
        <v>0.10121684658353364</v>
      </c>
      <c r="K37" s="1"/>
      <c r="L37" s="1">
        <f t="shared" si="32"/>
        <v>-120.86</v>
      </c>
      <c r="M37" s="1"/>
      <c r="N37" s="5">
        <f t="shared" si="33"/>
        <v>-1</v>
      </c>
      <c r="O37" s="14"/>
      <c r="P37" s="1">
        <f>SUM(OSRRefP22_5x_0)</f>
        <v>0</v>
      </c>
      <c r="Q37" s="1"/>
      <c r="R37" s="5">
        <f t="shared" si="34"/>
        <v>0</v>
      </c>
      <c r="S37" s="1"/>
      <c r="T37" s="1">
        <f>SUM(OSRRefT22_5x_0)</f>
        <v>120.86</v>
      </c>
      <c r="U37" s="1"/>
      <c r="V37" s="5">
        <f t="shared" si="35"/>
        <v>8.0002118209318795E-2</v>
      </c>
      <c r="W37" s="1"/>
      <c r="X37" s="1">
        <f t="shared" si="36"/>
        <v>-120.86</v>
      </c>
      <c r="Y37" s="1"/>
      <c r="Z37" s="5">
        <f t="shared" si="37"/>
        <v>-1</v>
      </c>
    </row>
    <row r="38" spans="1:26" s="24" customFormat="1" hidden="1" outlineLevel="2" x14ac:dyDescent="0.25">
      <c r="A38" s="28"/>
      <c r="B38" s="11" t="str">
        <f>CONCATENATE("          ", "6387", " - ", "COMMISSION DUE HOUSING")</f>
        <v xml:space="preserve">          6387 - COMMISSION DUE HOUSING</v>
      </c>
      <c r="C38" s="11"/>
      <c r="D38" s="7"/>
      <c r="E38" s="2"/>
      <c r="F38" s="6">
        <f t="shared" si="30"/>
        <v>0</v>
      </c>
      <c r="G38" s="2"/>
      <c r="H38" s="7">
        <v>120.86</v>
      </c>
      <c r="I38" s="2"/>
      <c r="J38" s="6">
        <f t="shared" si="31"/>
        <v>0.10121684658353364</v>
      </c>
      <c r="K38" s="2"/>
      <c r="L38" s="7">
        <f t="shared" si="32"/>
        <v>-120.86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120.86</v>
      </c>
      <c r="U38" s="2"/>
      <c r="V38" s="6">
        <f t="shared" si="35"/>
        <v>8.0002118209318795E-2</v>
      </c>
      <c r="W38" s="2"/>
      <c r="X38" s="7">
        <f t="shared" si="36"/>
        <v>-120.86</v>
      </c>
      <c r="Y38" s="2"/>
      <c r="Z38" s="6">
        <f t="shared" si="37"/>
        <v>-1</v>
      </c>
    </row>
    <row r="39" spans="1:26" s="27" customFormat="1" outlineLevel="1" collapsed="1" x14ac:dyDescent="0.25">
      <c r="A39" s="29"/>
      <c r="B39" s="14" t="str">
        <f>CONCATENATE("     ","Supplies                                          ")</f>
        <v xml:space="preserve">     Supplies                                          </v>
      </c>
      <c r="C39" s="14"/>
      <c r="D39" s="1">
        <f>SUM(OSRRefD22_6x_0)</f>
        <v>0</v>
      </c>
      <c r="E39" s="1"/>
      <c r="F39" s="5">
        <f t="shared" si="30"/>
        <v>0</v>
      </c>
      <c r="G39" s="1"/>
      <c r="H39" s="1">
        <f>SUM(OSRRefH22_6x_0)</f>
        <v>30</v>
      </c>
      <c r="I39" s="1"/>
      <c r="J39" s="5">
        <f t="shared" si="31"/>
        <v>2.5124155200281391E-2</v>
      </c>
      <c r="K39" s="1"/>
      <c r="L39" s="1">
        <f t="shared" si="32"/>
        <v>-30</v>
      </c>
      <c r="M39" s="1"/>
      <c r="N39" s="5">
        <f t="shared" si="33"/>
        <v>-1</v>
      </c>
      <c r="O39" s="14"/>
      <c r="P39" s="1">
        <f>SUM(OSRRefP22_6x_0)</f>
        <v>0</v>
      </c>
      <c r="Q39" s="1"/>
      <c r="R39" s="5">
        <f t="shared" si="34"/>
        <v>0</v>
      </c>
      <c r="S39" s="1"/>
      <c r="T39" s="1">
        <f>SUM(OSRRefT22_6x_0)</f>
        <v>1366.08</v>
      </c>
      <c r="U39" s="1"/>
      <c r="V39" s="5">
        <f t="shared" si="35"/>
        <v>0.90426355819449122</v>
      </c>
      <c r="W39" s="1"/>
      <c r="X39" s="1">
        <f t="shared" si="36"/>
        <v>-1366.08</v>
      </c>
      <c r="Y39" s="1"/>
      <c r="Z39" s="5">
        <f t="shared" si="37"/>
        <v>-1</v>
      </c>
    </row>
    <row r="40" spans="1:26" s="24" customFormat="1" hidden="1" outlineLevel="2" x14ac:dyDescent="0.25">
      <c r="A40" s="28"/>
      <c r="B40" s="11" t="str">
        <f>CONCATENATE("          ", "6247", " - ", "STORE SUPPLIES")</f>
        <v xml:space="preserve">          6247 - STORE SUPPLIES</v>
      </c>
      <c r="C40" s="11"/>
      <c r="D40" s="7"/>
      <c r="E40" s="2"/>
      <c r="F40" s="6">
        <f t="shared" si="30"/>
        <v>0</v>
      </c>
      <c r="G40" s="2"/>
      <c r="H40" s="7">
        <v>30</v>
      </c>
      <c r="I40" s="2"/>
      <c r="J40" s="6">
        <f t="shared" si="31"/>
        <v>2.5124155200281391E-2</v>
      </c>
      <c r="K40" s="2"/>
      <c r="L40" s="7">
        <f t="shared" si="32"/>
        <v>-30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252.48</v>
      </c>
      <c r="U40" s="2"/>
      <c r="V40" s="6">
        <f t="shared" si="35"/>
        <v>0.16712671525309292</v>
      </c>
      <c r="W40" s="2"/>
      <c r="X40" s="7">
        <f t="shared" si="36"/>
        <v>-252.48</v>
      </c>
      <c r="Y40" s="2"/>
      <c r="Z40" s="6">
        <f t="shared" si="37"/>
        <v>-1</v>
      </c>
    </row>
    <row r="41" spans="1:26" s="24" customFormat="1" hidden="1" outlineLevel="2" x14ac:dyDescent="0.25">
      <c r="A41" s="28"/>
      <c r="B41" s="11" t="str">
        <f>CONCATENATE("          ", "6248", " - ", "UNIFORMS")</f>
        <v xml:space="preserve">          6248 - UNIFORMS</v>
      </c>
      <c r="C41" s="11"/>
      <c r="D41" s="7"/>
      <c r="E41" s="2"/>
      <c r="F41" s="6">
        <f t="shared" si="30"/>
        <v>0</v>
      </c>
      <c r="G41" s="2"/>
      <c r="H41" s="7"/>
      <c r="I41" s="2"/>
      <c r="J41" s="6">
        <f t="shared" si="31"/>
        <v>0</v>
      </c>
      <c r="K41" s="2"/>
      <c r="L41" s="7">
        <f t="shared" si="32"/>
        <v>0</v>
      </c>
      <c r="M41" s="2"/>
      <c r="N41" s="6">
        <f t="shared" si="33"/>
        <v>0</v>
      </c>
      <c r="O41" s="11"/>
      <c r="P41" s="7"/>
      <c r="Q41" s="2"/>
      <c r="R41" s="6">
        <f t="shared" si="34"/>
        <v>0</v>
      </c>
      <c r="S41" s="2"/>
      <c r="T41" s="7">
        <v>1113.5999999999999</v>
      </c>
      <c r="U41" s="2"/>
      <c r="V41" s="6">
        <f t="shared" si="35"/>
        <v>0.73713684294139836</v>
      </c>
      <c r="W41" s="2"/>
      <c r="X41" s="7">
        <f t="shared" si="36"/>
        <v>-1113.5999999999999</v>
      </c>
      <c r="Y41" s="2"/>
      <c r="Z41" s="6">
        <f t="shared" si="37"/>
        <v>-1</v>
      </c>
    </row>
    <row r="42" spans="1:26" s="27" customFormat="1" outlineLevel="1" collapsed="1" x14ac:dyDescent="0.25">
      <c r="A42" s="29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SUM(OSRRefD22_7x_0)</f>
        <v>0</v>
      </c>
      <c r="E42" s="1"/>
      <c r="F42" s="5">
        <f t="shared" ref="F42:F43" si="38">IF(D$12=0,0,D42/D$12)</f>
        <v>0</v>
      </c>
      <c r="G42" s="1"/>
      <c r="H42" s="1">
        <f>SUM(OSRRefH22_7x_0)</f>
        <v>0</v>
      </c>
      <c r="I42" s="1"/>
      <c r="J42" s="5">
        <f t="shared" ref="J42:J43" si="39">IF(H$12=0,0,H42/H$12)</f>
        <v>0</v>
      </c>
      <c r="K42" s="1"/>
      <c r="L42" s="1">
        <f t="shared" ref="L42:L43" si="40">+D42-H42</f>
        <v>0</v>
      </c>
      <c r="M42" s="1"/>
      <c r="N42" s="5">
        <f t="shared" ref="N42:N43" si="41">IF(H42=0,0,L42/H42)</f>
        <v>0</v>
      </c>
      <c r="O42" s="14"/>
      <c r="P42" s="1">
        <f>SUM(OSRRefP22_7x_0)</f>
        <v>151</v>
      </c>
      <c r="Q42" s="1"/>
      <c r="R42" s="5">
        <f t="shared" ref="R42:R43" si="42">IF(P$12=0,0,P42/P$12)</f>
        <v>0</v>
      </c>
      <c r="S42" s="1"/>
      <c r="T42" s="1">
        <f>SUM(OSRRefT22_7x_0)</f>
        <v>186.5</v>
      </c>
      <c r="U42" s="1"/>
      <c r="V42" s="5">
        <f t="shared" ref="V42:V43" si="43">IF(T$12=0,0,T42/T$12)</f>
        <v>0.12345188686114476</v>
      </c>
      <c r="W42" s="1"/>
      <c r="X42" s="1">
        <f t="shared" ref="X42:X43" si="44">+P42-T42</f>
        <v>-35.5</v>
      </c>
      <c r="Y42" s="1"/>
      <c r="Z42" s="5">
        <f t="shared" ref="Z42:Z43" si="45">IF(T42=0,0,X42/T42)</f>
        <v>-0.19034852546916889</v>
      </c>
    </row>
    <row r="43" spans="1:26" s="24" customFormat="1" hidden="1" outlineLevel="2" x14ac:dyDescent="0.25">
      <c r="A43" s="28"/>
      <c r="B43" s="11" t="str">
        <f>CONCATENATE("          ", "6309", " - ", "TELEPHONE")</f>
        <v xml:space="preserve">          6309 - TELEPHONE</v>
      </c>
      <c r="C43" s="11"/>
      <c r="D43" s="7"/>
      <c r="E43" s="2"/>
      <c r="F43" s="6">
        <f t="shared" si="38"/>
        <v>0</v>
      </c>
      <c r="G43" s="2"/>
      <c r="H43" s="7"/>
      <c r="I43" s="2"/>
      <c r="J43" s="6">
        <f t="shared" si="39"/>
        <v>0</v>
      </c>
      <c r="K43" s="2"/>
      <c r="L43" s="7">
        <f t="shared" si="40"/>
        <v>0</v>
      </c>
      <c r="M43" s="2"/>
      <c r="N43" s="6">
        <f t="shared" si="41"/>
        <v>0</v>
      </c>
      <c r="O43" s="11"/>
      <c r="P43" s="7">
        <v>151</v>
      </c>
      <c r="Q43" s="2"/>
      <c r="R43" s="6">
        <f t="shared" si="42"/>
        <v>0</v>
      </c>
      <c r="S43" s="2"/>
      <c r="T43" s="7">
        <v>186.5</v>
      </c>
      <c r="U43" s="2"/>
      <c r="V43" s="6">
        <f t="shared" si="43"/>
        <v>0.12345188686114476</v>
      </c>
      <c r="W43" s="2"/>
      <c r="X43" s="7">
        <f t="shared" si="44"/>
        <v>-35.5</v>
      </c>
      <c r="Y43" s="2"/>
      <c r="Z43" s="6">
        <f t="shared" si="45"/>
        <v>-0.19034852546916889</v>
      </c>
    </row>
    <row r="44" spans="1:26" s="60" customFormat="1" x14ac:dyDescent="0.25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25">
      <c r="A45" s="10"/>
      <c r="B45" s="26" t="s">
        <v>0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5" t="s">
        <v>3</v>
      </c>
      <c r="C47" s="25"/>
      <c r="D47" s="22">
        <f>+D21-D23+D45</f>
        <v>0</v>
      </c>
      <c r="E47" s="13"/>
      <c r="F47" s="21">
        <f>IF(D$12=0,0,D47/D$12)</f>
        <v>0</v>
      </c>
      <c r="G47" s="13"/>
      <c r="H47" s="22">
        <f>+H21-H23+H45</f>
        <v>-1501.11</v>
      </c>
      <c r="I47" s="13"/>
      <c r="J47" s="21">
        <f>IF(H$12=0,0,H47/H$12)</f>
        <v>-1.2571373537564798</v>
      </c>
      <c r="K47" s="15"/>
      <c r="L47" s="22">
        <f>+D47-H47</f>
        <v>1501.11</v>
      </c>
      <c r="M47" s="15"/>
      <c r="N47" s="21">
        <f>IF(H47=0,0,L47/H47)</f>
        <v>-1</v>
      </c>
      <c r="O47" s="26"/>
      <c r="P47" s="22">
        <f>+P21-P23+P45</f>
        <v>-151</v>
      </c>
      <c r="Q47" s="13"/>
      <c r="R47" s="21">
        <f>IF(P$12=0,0,P47/P$12)</f>
        <v>0</v>
      </c>
      <c r="S47" s="13"/>
      <c r="T47" s="22">
        <f>+T21-T23+T45</f>
        <v>-5438.489999999998</v>
      </c>
      <c r="U47" s="13"/>
      <c r="V47" s="21">
        <f>IF(T$12=0,0,T47/T$12)</f>
        <v>-3.5999563119327984</v>
      </c>
      <c r="W47" s="15"/>
      <c r="X47" s="22">
        <f>+P47-T47</f>
        <v>5287.489999999998</v>
      </c>
      <c r="Y47" s="15"/>
      <c r="Z47" s="21">
        <f>IF(T47=0,0,X47/T47)</f>
        <v>-0.97223494021318413</v>
      </c>
    </row>
    <row r="48" spans="1:26" x14ac:dyDescent="0.25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51"/>
      <c r="B49" s="10" t="s">
        <v>13</v>
      </c>
      <c r="C49" s="10"/>
      <c r="D49" s="4"/>
      <c r="E49" s="4"/>
      <c r="F49" s="12">
        <f>IF(D$12=0,0,D49/D$12)</f>
        <v>0</v>
      </c>
      <c r="G49" s="4"/>
      <c r="H49" s="4">
        <v>122.79</v>
      </c>
      <c r="I49" s="4"/>
      <c r="J49" s="12">
        <f>IF(H$12=0,0,H49/H$12)</f>
        <v>0.10283316723475175</v>
      </c>
      <c r="K49" s="4"/>
      <c r="L49" s="4">
        <f>+D49-H49</f>
        <v>-122.79</v>
      </c>
      <c r="M49" s="4"/>
      <c r="N49" s="12">
        <f>IF(H49=0,0,L49/H49)</f>
        <v>-1</v>
      </c>
      <c r="O49" s="10"/>
      <c r="P49" s="4"/>
      <c r="Q49" s="4"/>
      <c r="R49" s="12">
        <f>IF(P$12=0,0,P49/P$12)</f>
        <v>0</v>
      </c>
      <c r="S49" s="4"/>
      <c r="T49" s="4">
        <v>162.27000000000001</v>
      </c>
      <c r="U49" s="4"/>
      <c r="V49" s="12">
        <f>IF(T$12=0,0,T49/T$12)</f>
        <v>0.10741307067537781</v>
      </c>
      <c r="W49" s="4"/>
      <c r="X49" s="4">
        <f>+P49-T49</f>
        <v>-162.27000000000001</v>
      </c>
      <c r="Y49" s="4"/>
      <c r="Z49" s="12">
        <f>IF(T49=0,0,X49/T49)</f>
        <v>-1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5" t="s">
        <v>4</v>
      </c>
      <c r="C51" s="25"/>
      <c r="D51" s="33">
        <f>+D47-D49</f>
        <v>0</v>
      </c>
      <c r="E51" s="13"/>
      <c r="F51" s="32">
        <f>IF(D$12=0,0,D51/D$12)</f>
        <v>0</v>
      </c>
      <c r="G51" s="13"/>
      <c r="H51" s="33">
        <f>+H47-H49</f>
        <v>-1623.8999999999999</v>
      </c>
      <c r="I51" s="13"/>
      <c r="J51" s="32">
        <f>IF(H$12=0,0,H51/H$12)</f>
        <v>-1.3599705209912316</v>
      </c>
      <c r="K51" s="15"/>
      <c r="L51" s="33">
        <f>D51-H51</f>
        <v>1623.8999999999999</v>
      </c>
      <c r="M51" s="15"/>
      <c r="N51" s="32">
        <f>IF(H51=0,0,L51/H51)</f>
        <v>-1</v>
      </c>
      <c r="O51" s="26"/>
      <c r="P51" s="33">
        <f>+P47-P49</f>
        <v>-151</v>
      </c>
      <c r="Q51" s="13"/>
      <c r="R51" s="32">
        <f>IF(P$12=0,0,P51/P$12)</f>
        <v>0</v>
      </c>
      <c r="S51" s="13"/>
      <c r="T51" s="33">
        <f>+T47-T49</f>
        <v>-5600.7599999999984</v>
      </c>
      <c r="U51" s="13"/>
      <c r="V51" s="32">
        <f>IF(T$12=0,0,T51/T$12)</f>
        <v>-3.7073693826081766</v>
      </c>
      <c r="W51" s="15"/>
      <c r="X51" s="33">
        <f>P51-T51</f>
        <v>5449.7599999999984</v>
      </c>
      <c r="Y51" s="15"/>
      <c r="Z51" s="32">
        <f>IF(T51=0,0,X51/T51)</f>
        <v>-0.97303937322791911</v>
      </c>
    </row>
    <row r="52" spans="1:26" ht="15.75" thickTop="1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25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.75" thickBot="1" x14ac:dyDescent="0.3">
      <c r="A54" s="10"/>
      <c r="B54" s="25" t="s">
        <v>5</v>
      </c>
      <c r="C54" s="25"/>
      <c r="D54" s="34">
        <f>SUM(D51:D53)</f>
        <v>0</v>
      </c>
      <c r="E54" s="13"/>
      <c r="F54" s="31">
        <f>IF(D$12=0,0,D54/D$12)</f>
        <v>0</v>
      </c>
      <c r="G54" s="13"/>
      <c r="H54" s="34">
        <f>SUM(H51:H53)</f>
        <v>-1623.8999999999999</v>
      </c>
      <c r="I54" s="13"/>
      <c r="J54" s="31">
        <f>IF(H$12=0,0,H54/H$12)</f>
        <v>-1.3599705209912316</v>
      </c>
      <c r="K54" s="15"/>
      <c r="L54" s="34">
        <f>+D54-H54</f>
        <v>1623.8999999999999</v>
      </c>
      <c r="M54" s="15"/>
      <c r="N54" s="31">
        <f>IF(H54=0,0,L54/H54)</f>
        <v>-1</v>
      </c>
      <c r="O54" s="26"/>
      <c r="P54" s="34">
        <f>SUM(P51:P53)</f>
        <v>-151</v>
      </c>
      <c r="Q54" s="13"/>
      <c r="R54" s="31">
        <f>IF(P$12=0,0,P54/P$12)</f>
        <v>0</v>
      </c>
      <c r="S54" s="13"/>
      <c r="T54" s="34">
        <f>SUM(T51:T53)</f>
        <v>-5600.7599999999984</v>
      </c>
      <c r="U54" s="13"/>
      <c r="V54" s="31">
        <f>IF(T$12=0,0,T54/T$12)</f>
        <v>-3.7073693826081766</v>
      </c>
      <c r="W54" s="15"/>
      <c r="X54" s="34">
        <f>+P54-T54</f>
        <v>5449.7599999999984</v>
      </c>
      <c r="Y54" s="15"/>
      <c r="Z54" s="31">
        <f>IF(T54=0,0,X54/T54)</f>
        <v>-0.97303937322791911</v>
      </c>
    </row>
    <row r="55" spans="1:26" ht="15.75" thickTop="1" x14ac:dyDescent="0.25">
      <c r="A55" s="9"/>
      <c r="C55" s="9"/>
      <c r="D55" s="18"/>
      <c r="E55" s="18"/>
      <c r="G55" s="18"/>
      <c r="H55" s="18"/>
      <c r="I55" s="18"/>
      <c r="J55" s="42"/>
      <c r="K55" s="18"/>
      <c r="L55" s="18"/>
      <c r="M55" s="18"/>
      <c r="P55" s="18"/>
      <c r="Q55" s="18"/>
      <c r="R55" s="42"/>
      <c r="S55" s="18"/>
      <c r="T55" s="18"/>
      <c r="U55" s="18"/>
      <c r="V55" s="42"/>
      <c r="W55" s="18"/>
      <c r="X55" s="18"/>
    </row>
    <row r="56" spans="1:26" x14ac:dyDescent="0.25">
      <c r="A56" s="9"/>
      <c r="B56" s="54">
        <v>44123.565806134262</v>
      </c>
      <c r="D56" s="18"/>
      <c r="E56" s="18"/>
      <c r="G56" s="18"/>
      <c r="H56" s="18"/>
      <c r="I56" s="18"/>
      <c r="J56" s="42"/>
      <c r="K56" s="18"/>
      <c r="L56" s="18"/>
      <c r="M56" s="18"/>
      <c r="P56" s="18"/>
      <c r="Q56" s="18"/>
      <c r="R56" s="42"/>
      <c r="S56" s="18"/>
      <c r="T56" s="18"/>
      <c r="U56" s="18"/>
      <c r="V56" s="42"/>
      <c r="W56" s="18"/>
      <c r="X56" s="18"/>
    </row>
    <row r="57" spans="1:26" x14ac:dyDescent="0.25">
      <c r="A57" s="9"/>
      <c r="B57" s="59" t="s">
        <v>313</v>
      </c>
      <c r="D57" s="18"/>
      <c r="E57" s="18"/>
      <c r="G57" s="18"/>
      <c r="H57" s="18"/>
      <c r="I57" s="18"/>
      <c r="J57" s="42"/>
      <c r="K57" s="18"/>
      <c r="L57" s="18"/>
      <c r="M57" s="18"/>
      <c r="P57" s="18"/>
      <c r="Q57" s="18"/>
      <c r="R57" s="42"/>
      <c r="S57" s="18"/>
      <c r="T57" s="18"/>
      <c r="U57" s="18"/>
      <c r="V57" s="42"/>
      <c r="W57" s="18"/>
      <c r="X57" s="18"/>
    </row>
    <row r="58" spans="1:26" x14ac:dyDescent="0.25">
      <c r="A58" s="9"/>
      <c r="B58" s="58"/>
      <c r="D58" s="18"/>
      <c r="E58" s="18"/>
      <c r="G58" s="18"/>
      <c r="H58" s="18"/>
      <c r="I58" s="18"/>
      <c r="J58" s="42"/>
      <c r="K58" s="18"/>
      <c r="L58" s="18"/>
      <c r="M58" s="18"/>
      <c r="P58" s="18"/>
      <c r="Q58" s="18"/>
      <c r="R58" s="42"/>
      <c r="S58" s="18"/>
      <c r="T58" s="18"/>
      <c r="U58" s="18"/>
      <c r="V58" s="42"/>
      <c r="W58" s="18"/>
      <c r="X58" s="18"/>
    </row>
    <row r="59" spans="1:26" x14ac:dyDescent="0.25">
      <c r="D59" s="18"/>
      <c r="E59" s="18"/>
      <c r="G59" s="18"/>
      <c r="H59" s="18"/>
      <c r="I59" s="18"/>
      <c r="J59" s="42"/>
      <c r="K59" s="18"/>
      <c r="L59" s="18"/>
      <c r="M59" s="18"/>
      <c r="P59" s="18"/>
      <c r="Q59" s="18"/>
      <c r="R59" s="42"/>
      <c r="S59" s="18"/>
      <c r="T59" s="18"/>
      <c r="U59" s="18"/>
      <c r="V59" s="42"/>
      <c r="W59" s="18"/>
      <c r="X59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184399.6</v>
      </c>
      <c r="E12" s="4"/>
      <c r="F12" s="12"/>
      <c r="G12" s="4"/>
      <c r="H12" s="4">
        <f>SUM(OSRRefH13x_0)</f>
        <v>540956.72</v>
      </c>
      <c r="I12" s="4"/>
      <c r="J12" s="12"/>
      <c r="K12" s="4"/>
      <c r="L12" s="4">
        <f t="shared" ref="L12:L15" si="0">+D12-H12</f>
        <v>-356557.12</v>
      </c>
      <c r="M12" s="4"/>
      <c r="N12" s="12">
        <f t="shared" ref="N12:N15" si="1">IF(H12=0,0,L12/H12)</f>
        <v>-0.65912319196256586</v>
      </c>
      <c r="O12" s="10"/>
      <c r="P12" s="4">
        <f>SUM(OSRRefP13x_0)</f>
        <v>231070.68000000002</v>
      </c>
      <c r="Q12" s="4"/>
      <c r="R12" s="12"/>
      <c r="S12" s="4"/>
      <c r="T12" s="4">
        <f>SUM(OSRRefT13x_0)</f>
        <v>942462.93</v>
      </c>
      <c r="U12" s="4"/>
      <c r="V12" s="12"/>
      <c r="W12" s="4"/>
      <c r="X12" s="4">
        <f t="shared" ref="X12:X15" si="2">+P12-T12</f>
        <v>-711392.25</v>
      </c>
      <c r="Y12" s="4"/>
      <c r="Z12" s="12">
        <f t="shared" ref="Z12:Z15" si="3">IF(T12=0,0,X12/T12)</f>
        <v>-0.75482252654754278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--62.54</f>
        <v>62.54</v>
      </c>
      <c r="E13" s="2"/>
      <c r="F13" s="19"/>
      <c r="G13" s="2"/>
      <c r="H13" s="2">
        <f>--579.61</f>
        <v>579.61</v>
      </c>
      <c r="I13" s="2"/>
      <c r="J13" s="19"/>
      <c r="K13" s="2"/>
      <c r="L13" s="2">
        <f t="shared" si="0"/>
        <v>-517.07000000000005</v>
      </c>
      <c r="M13" s="2"/>
      <c r="N13" s="19">
        <f t="shared" si="1"/>
        <v>-0.89209986025085841</v>
      </c>
      <c r="O13" s="11"/>
      <c r="P13" s="2">
        <f>--184.79</f>
        <v>184.79</v>
      </c>
      <c r="Q13" s="2"/>
      <c r="R13" s="19"/>
      <c r="S13" s="2"/>
      <c r="T13" s="2">
        <f>--1278.03</f>
        <v>1278.03</v>
      </c>
      <c r="U13" s="2"/>
      <c r="V13" s="19"/>
      <c r="W13" s="2"/>
      <c r="X13" s="2">
        <f t="shared" si="2"/>
        <v>-1093.24</v>
      </c>
      <c r="Y13" s="2"/>
      <c r="Z13" s="19">
        <f t="shared" si="3"/>
        <v>-0.85541027988388385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--181378.7</f>
        <v>181378.7</v>
      </c>
      <c r="E14" s="2"/>
      <c r="F14" s="19"/>
      <c r="G14" s="2"/>
      <c r="H14" s="2">
        <f>--535163.52</f>
        <v>535163.52</v>
      </c>
      <c r="I14" s="2"/>
      <c r="J14" s="19"/>
      <c r="K14" s="2"/>
      <c r="L14" s="2">
        <f t="shared" si="0"/>
        <v>-353784.82</v>
      </c>
      <c r="M14" s="2"/>
      <c r="N14" s="19">
        <f t="shared" si="1"/>
        <v>-0.66107798229595316</v>
      </c>
      <c r="O14" s="11"/>
      <c r="P14" s="2">
        <f>--220129.38</f>
        <v>220129.38</v>
      </c>
      <c r="Q14" s="2"/>
      <c r="R14" s="19"/>
      <c r="S14" s="2"/>
      <c r="T14" s="2">
        <f>--917325.43</f>
        <v>917325.43</v>
      </c>
      <c r="U14" s="2"/>
      <c r="V14" s="19"/>
      <c r="W14" s="2"/>
      <c r="X14" s="2">
        <f t="shared" si="2"/>
        <v>-697196.05</v>
      </c>
      <c r="Y14" s="2"/>
      <c r="Z14" s="19">
        <f t="shared" si="3"/>
        <v>-0.76003131189767625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--2958.36</f>
        <v>2958.36</v>
      </c>
      <c r="E15" s="2"/>
      <c r="F15" s="19"/>
      <c r="G15" s="2"/>
      <c r="H15" s="2">
        <f>--5213.59</f>
        <v>5213.59</v>
      </c>
      <c r="I15" s="2"/>
      <c r="J15" s="19"/>
      <c r="K15" s="2"/>
      <c r="L15" s="2">
        <f t="shared" si="0"/>
        <v>-2255.23</v>
      </c>
      <c r="M15" s="2"/>
      <c r="N15" s="19">
        <f t="shared" si="1"/>
        <v>-0.43256757819467967</v>
      </c>
      <c r="O15" s="11"/>
      <c r="P15" s="2">
        <f>--10756.51</f>
        <v>10756.51</v>
      </c>
      <c r="Q15" s="2"/>
      <c r="R15" s="19"/>
      <c r="S15" s="2"/>
      <c r="T15" s="2">
        <f>--23859.47</f>
        <v>23859.47</v>
      </c>
      <c r="U15" s="2"/>
      <c r="V15" s="19"/>
      <c r="W15" s="2"/>
      <c r="X15" s="2">
        <f t="shared" si="2"/>
        <v>-13102.960000000001</v>
      </c>
      <c r="Y15" s="2"/>
      <c r="Z15" s="19">
        <f t="shared" si="3"/>
        <v>-0.54917229930086464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43646.619999999995</v>
      </c>
      <c r="E17" s="4"/>
      <c r="F17" s="12">
        <f t="shared" ref="F17:F19" si="4">IF(D$12=0,0,D17/D$12)</f>
        <v>0.23669584966561746</v>
      </c>
      <c r="G17" s="4"/>
      <c r="H17" s="4">
        <f>SUM(OSRRefH16x_0)</f>
        <v>120972.92</v>
      </c>
      <c r="I17" s="4"/>
      <c r="J17" s="12">
        <f t="shared" ref="J17:J19" si="5">IF(H$12=0,0,H17/H$12)</f>
        <v>0.22362772385931357</v>
      </c>
      <c r="K17" s="4"/>
      <c r="L17" s="4">
        <f t="shared" ref="L17:L19" si="6">+D17-H17</f>
        <v>-77326.3</v>
      </c>
      <c r="M17" s="4"/>
      <c r="N17" s="12">
        <f t="shared" ref="N17:N19" si="7">IF(H17=0,0,L17/H17)</f>
        <v>-0.63920338535268884</v>
      </c>
      <c r="O17" s="10"/>
      <c r="P17" s="4">
        <f>SUM(OSRRefP16x_0)</f>
        <v>76291.920000000013</v>
      </c>
      <c r="Q17" s="4"/>
      <c r="R17" s="12">
        <f t="shared" ref="R17:R19" si="8">IF(P$12=0,0,P17/P$12)</f>
        <v>0.33016702941281867</v>
      </c>
      <c r="S17" s="4"/>
      <c r="T17" s="4">
        <f>SUM(OSRRefT16x_0)</f>
        <v>252545.42</v>
      </c>
      <c r="U17" s="4"/>
      <c r="V17" s="12">
        <f t="shared" ref="V17:V19" si="9">IF(T$12=0,0,T17/T$12)</f>
        <v>0.26796323967882746</v>
      </c>
      <c r="W17" s="4"/>
      <c r="X17" s="4">
        <f t="shared" ref="X17:X19" si="10">+P17-T17</f>
        <v>-176253.5</v>
      </c>
      <c r="Y17" s="4"/>
      <c r="Z17" s="12">
        <f t="shared" ref="Z17:Z19" si="11">IF(T17=0,0,X17/T17)</f>
        <v>-0.69790812282400527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40326.199999999997</v>
      </c>
      <c r="E18" s="2"/>
      <c r="F18" s="19">
        <f t="shared" si="4"/>
        <v>0.21868919455356733</v>
      </c>
      <c r="G18" s="2"/>
      <c r="H18" s="2">
        <v>116290.92</v>
      </c>
      <c r="I18" s="2"/>
      <c r="J18" s="19">
        <f t="shared" si="5"/>
        <v>0.21497268764865329</v>
      </c>
      <c r="K18" s="2"/>
      <c r="L18" s="2">
        <f t="shared" si="6"/>
        <v>-75964.72</v>
      </c>
      <c r="M18" s="2"/>
      <c r="N18" s="19">
        <f t="shared" si="7"/>
        <v>-0.65323002002219954</v>
      </c>
      <c r="O18" s="11"/>
      <c r="P18" s="2">
        <v>110730.5</v>
      </c>
      <c r="Q18" s="2"/>
      <c r="R18" s="19">
        <f t="shared" si="8"/>
        <v>0.4792061892058308</v>
      </c>
      <c r="S18" s="2"/>
      <c r="T18" s="2">
        <v>259944.17</v>
      </c>
      <c r="U18" s="2"/>
      <c r="V18" s="19">
        <f t="shared" si="9"/>
        <v>0.27581368107496812</v>
      </c>
      <c r="W18" s="2"/>
      <c r="X18" s="2">
        <f t="shared" si="10"/>
        <v>-149213.67000000001</v>
      </c>
      <c r="Y18" s="2"/>
      <c r="Z18" s="19">
        <f t="shared" si="11"/>
        <v>-0.57402199095290352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3320.42</v>
      </c>
      <c r="E19" s="2"/>
      <c r="F19" s="19">
        <f t="shared" si="4"/>
        <v>1.8006655112050133E-2</v>
      </c>
      <c r="G19" s="2"/>
      <c r="H19" s="2">
        <v>4682</v>
      </c>
      <c r="I19" s="2"/>
      <c r="J19" s="19">
        <f t="shared" si="5"/>
        <v>8.6550362106602545E-3</v>
      </c>
      <c r="K19" s="2"/>
      <c r="L19" s="2">
        <f t="shared" si="6"/>
        <v>-1361.58</v>
      </c>
      <c r="M19" s="2"/>
      <c r="N19" s="19">
        <f t="shared" si="7"/>
        <v>-0.29081161896625374</v>
      </c>
      <c r="O19" s="11"/>
      <c r="P19" s="2">
        <v>-34438.579999999994</v>
      </c>
      <c r="Q19" s="2"/>
      <c r="R19" s="19">
        <f t="shared" si="8"/>
        <v>-0.14903915979301222</v>
      </c>
      <c r="S19" s="2"/>
      <c r="T19" s="2">
        <v>-7398.75</v>
      </c>
      <c r="U19" s="2"/>
      <c r="V19" s="19">
        <f t="shared" si="9"/>
        <v>-7.8504413961406408E-3</v>
      </c>
      <c r="W19" s="2"/>
      <c r="X19" s="2">
        <f t="shared" si="10"/>
        <v>-27039.829999999994</v>
      </c>
      <c r="Y19" s="2"/>
      <c r="Z19" s="19">
        <f t="shared" si="11"/>
        <v>3.6546484203412732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2">
        <f>D12-D17</f>
        <v>140752.98000000001</v>
      </c>
      <c r="E21" s="13"/>
      <c r="F21" s="21">
        <f>IF(D$12=0,0,D21/D$12)</f>
        <v>0.76330415033438259</v>
      </c>
      <c r="G21" s="13"/>
      <c r="H21" s="22">
        <f>H12-H17</f>
        <v>419983.8</v>
      </c>
      <c r="I21" s="13"/>
      <c r="J21" s="21">
        <f>IF(H$12=0,0,H21/H$12)</f>
        <v>0.77637227614068649</v>
      </c>
      <c r="K21" s="15"/>
      <c r="L21" s="22">
        <f>+D21-H21</f>
        <v>-279230.81999999995</v>
      </c>
      <c r="M21" s="15"/>
      <c r="N21" s="21">
        <f>IF(H21=0,0,L21/H21)</f>
        <v>-0.66486093035017058</v>
      </c>
      <c r="O21" s="26"/>
      <c r="P21" s="22">
        <f>P12-P17</f>
        <v>154778.76</v>
      </c>
      <c r="Q21" s="13"/>
      <c r="R21" s="21">
        <f>IF(P$12=0,0,P21/P$12)</f>
        <v>0.66983297058718139</v>
      </c>
      <c r="S21" s="13"/>
      <c r="T21" s="22">
        <f>T12-T17</f>
        <v>689917.51</v>
      </c>
      <c r="U21" s="13"/>
      <c r="V21" s="21">
        <f>IF(T$12=0,0,T21/T$12)</f>
        <v>0.73203676032117249</v>
      </c>
      <c r="W21" s="15"/>
      <c r="X21" s="22">
        <f>+P21-T21</f>
        <v>-535138.75</v>
      </c>
      <c r="Y21" s="15"/>
      <c r="Z21" s="21">
        <f>IF(T21=0,0,X21/T21)</f>
        <v>-0.77565613605023587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134039.1</v>
      </c>
      <c r="E23" s="20"/>
      <c r="F23" s="36">
        <f t="shared" ref="F23:F33" si="12">IF(D$12=0,0,D23/D$12)</f>
        <v>0.72689474380638575</v>
      </c>
      <c r="G23" s="20"/>
      <c r="H23" s="20">
        <f>SUM(OSRRefH22x_0)</f>
        <v>208457.49000000002</v>
      </c>
      <c r="I23" s="20"/>
      <c r="J23" s="36">
        <f t="shared" ref="J23:J33" si="13">IF(H$12=0,0,H23/H$12)</f>
        <v>0.38534966346291072</v>
      </c>
      <c r="K23" s="4"/>
      <c r="L23" s="20">
        <f t="shared" ref="L23:L33" si="14">+D23-H23</f>
        <v>-74418.390000000014</v>
      </c>
      <c r="M23" s="4"/>
      <c r="N23" s="36">
        <f t="shared" ref="N23:N33" si="15">IF(H23=0,0,L23/H23)</f>
        <v>-0.3569955198059806</v>
      </c>
      <c r="O23" s="10"/>
      <c r="P23" s="20">
        <f>SUM(OSRRefP22x_0)</f>
        <v>293484.42999999988</v>
      </c>
      <c r="Q23" s="20"/>
      <c r="R23" s="36">
        <f t="shared" ref="R23:R33" si="16">IF(P$12=0,0,P23/P$12)</f>
        <v>1.2701067482901762</v>
      </c>
      <c r="S23" s="20"/>
      <c r="T23" s="20">
        <f>SUM(OSRRefT22x_0)</f>
        <v>500286.56000000006</v>
      </c>
      <c r="U23" s="20"/>
      <c r="V23" s="36">
        <f t="shared" ref="V23:V33" si="17">IF(T$12=0,0,T23/T$12)</f>
        <v>0.53082889955151868</v>
      </c>
      <c r="W23" s="4"/>
      <c r="X23" s="20">
        <f t="shared" ref="X23:X33" si="18">+P23-T23</f>
        <v>-206802.13000000018</v>
      </c>
      <c r="Y23" s="4"/>
      <c r="Z23" s="36">
        <f t="shared" ref="Z23:Z33" si="19">IF(T23=0,0,X23/T23)</f>
        <v>-0.41336735090385029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29955.019999999997</v>
      </c>
      <c r="E24" s="1"/>
      <c r="F24" s="5">
        <f t="shared" si="12"/>
        <v>0.16244623090288696</v>
      </c>
      <c r="G24" s="1"/>
      <c r="H24" s="1">
        <f>SUM(OSRRefH22_0x_0)</f>
        <v>33212.689999999995</v>
      </c>
      <c r="I24" s="1"/>
      <c r="J24" s="5">
        <f t="shared" si="13"/>
        <v>6.1396205596632565E-2</v>
      </c>
      <c r="K24" s="1"/>
      <c r="L24" s="1">
        <f t="shared" si="14"/>
        <v>-3257.6699999999983</v>
      </c>
      <c r="M24" s="1"/>
      <c r="N24" s="5">
        <f t="shared" si="15"/>
        <v>-9.8085099400259321E-2</v>
      </c>
      <c r="O24" s="14"/>
      <c r="P24" s="1">
        <f>SUM(OSRRefP22_0x_0)</f>
        <v>85758.930000000008</v>
      </c>
      <c r="Q24" s="1"/>
      <c r="R24" s="5">
        <f t="shared" si="16"/>
        <v>0.37113722087112044</v>
      </c>
      <c r="S24" s="1"/>
      <c r="T24" s="1">
        <f>SUM(OSRRefT22_0x_0)</f>
        <v>100204.04</v>
      </c>
      <c r="U24" s="1"/>
      <c r="V24" s="5">
        <f t="shared" si="17"/>
        <v>0.10632146560926273</v>
      </c>
      <c r="W24" s="1"/>
      <c r="X24" s="1">
        <f t="shared" si="18"/>
        <v>-14445.109999999986</v>
      </c>
      <c r="Y24" s="1"/>
      <c r="Z24" s="5">
        <f t="shared" si="19"/>
        <v>-0.14415696213446072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3793.18</v>
      </c>
      <c r="E25" s="2"/>
      <c r="F25" s="6">
        <f t="shared" si="12"/>
        <v>2.0570435076865675E-2</v>
      </c>
      <c r="G25" s="2"/>
      <c r="H25" s="7">
        <v>4491.6499999999996</v>
      </c>
      <c r="I25" s="2"/>
      <c r="J25" s="6">
        <f t="shared" si="13"/>
        <v>8.3031596316984462E-3</v>
      </c>
      <c r="K25" s="2"/>
      <c r="L25" s="7">
        <f t="shared" si="14"/>
        <v>-698.4699999999998</v>
      </c>
      <c r="M25" s="2"/>
      <c r="N25" s="6">
        <f t="shared" si="15"/>
        <v>-0.15550410205603729</v>
      </c>
      <c r="O25" s="11"/>
      <c r="P25" s="7">
        <v>9033.4500000000007</v>
      </c>
      <c r="Q25" s="2"/>
      <c r="R25" s="6">
        <f t="shared" si="16"/>
        <v>3.9093882443242044E-2</v>
      </c>
      <c r="S25" s="2"/>
      <c r="T25" s="7">
        <v>14623.26</v>
      </c>
      <c r="U25" s="2"/>
      <c r="V25" s="6">
        <f t="shared" si="17"/>
        <v>1.5516005494242622E-2</v>
      </c>
      <c r="W25" s="2"/>
      <c r="X25" s="7">
        <f t="shared" si="18"/>
        <v>-5589.8099999999995</v>
      </c>
      <c r="Y25" s="2"/>
      <c r="Z25" s="6">
        <f t="shared" si="19"/>
        <v>-0.38225470927823202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2815.82</v>
      </c>
      <c r="E26" s="2"/>
      <c r="F26" s="6">
        <f t="shared" si="12"/>
        <v>1.5270206659884294E-2</v>
      </c>
      <c r="G26" s="2"/>
      <c r="H26" s="7">
        <v>4149.25</v>
      </c>
      <c r="I26" s="2"/>
      <c r="J26" s="6">
        <f t="shared" si="13"/>
        <v>7.67020696221317E-3</v>
      </c>
      <c r="K26" s="2"/>
      <c r="L26" s="7">
        <f t="shared" si="14"/>
        <v>-1333.4299999999998</v>
      </c>
      <c r="M26" s="2"/>
      <c r="N26" s="6">
        <f t="shared" si="15"/>
        <v>-0.32136651202024458</v>
      </c>
      <c r="O26" s="11"/>
      <c r="P26" s="7">
        <v>5806.22</v>
      </c>
      <c r="Q26" s="2"/>
      <c r="R26" s="6">
        <f t="shared" si="16"/>
        <v>2.5127463164084686E-2</v>
      </c>
      <c r="S26" s="2"/>
      <c r="T26" s="7">
        <v>9580.01</v>
      </c>
      <c r="U26" s="2"/>
      <c r="V26" s="6">
        <f t="shared" si="17"/>
        <v>1.0164866643614301E-2</v>
      </c>
      <c r="W26" s="2"/>
      <c r="X26" s="7">
        <f t="shared" si="18"/>
        <v>-3773.79</v>
      </c>
      <c r="Y26" s="2"/>
      <c r="Z26" s="6">
        <f t="shared" si="19"/>
        <v>-0.39392338838894742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16509.649999999998</v>
      </c>
      <c r="E27" s="2"/>
      <c r="F27" s="6">
        <f t="shared" si="12"/>
        <v>8.9531918724335607E-2</v>
      </c>
      <c r="G27" s="2"/>
      <c r="H27" s="7">
        <v>16686.48</v>
      </c>
      <c r="I27" s="2"/>
      <c r="J27" s="6">
        <f t="shared" si="13"/>
        <v>3.0846238493903912E-2</v>
      </c>
      <c r="K27" s="2"/>
      <c r="L27" s="7">
        <f t="shared" si="14"/>
        <v>-176.83000000000175</v>
      </c>
      <c r="M27" s="2"/>
      <c r="N27" s="6">
        <f t="shared" si="15"/>
        <v>-1.0597202046207574E-2</v>
      </c>
      <c r="O27" s="11"/>
      <c r="P27" s="7">
        <v>49528.950000000004</v>
      </c>
      <c r="Q27" s="2"/>
      <c r="R27" s="6">
        <f t="shared" si="16"/>
        <v>0.21434545481927866</v>
      </c>
      <c r="S27" s="2"/>
      <c r="T27" s="7">
        <v>50059.44</v>
      </c>
      <c r="U27" s="2"/>
      <c r="V27" s="6">
        <f t="shared" si="17"/>
        <v>5.3115553308818203E-2</v>
      </c>
      <c r="W27" s="2"/>
      <c r="X27" s="7">
        <f t="shared" si="18"/>
        <v>-530.48999999999796</v>
      </c>
      <c r="Y27" s="2"/>
      <c r="Z27" s="6">
        <f t="shared" si="19"/>
        <v>-1.0597202046207427E-2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170.64</v>
      </c>
      <c r="E28" s="2"/>
      <c r="F28" s="6">
        <f t="shared" si="12"/>
        <v>9.2538161687986302E-4</v>
      </c>
      <c r="G28" s="2"/>
      <c r="H28" s="7">
        <v>278.02999999999997</v>
      </c>
      <c r="I28" s="2"/>
      <c r="J28" s="6">
        <f t="shared" si="13"/>
        <v>5.139597859141116E-4</v>
      </c>
      <c r="K28" s="2"/>
      <c r="L28" s="7">
        <f t="shared" si="14"/>
        <v>-107.38999999999999</v>
      </c>
      <c r="M28" s="2"/>
      <c r="N28" s="6">
        <f t="shared" si="15"/>
        <v>-0.38625328201992587</v>
      </c>
      <c r="O28" s="11"/>
      <c r="P28" s="7">
        <v>424.03</v>
      </c>
      <c r="Q28" s="2"/>
      <c r="R28" s="6">
        <f t="shared" si="16"/>
        <v>1.8350662230275166E-3</v>
      </c>
      <c r="S28" s="2"/>
      <c r="T28" s="7">
        <v>641.92999999999995</v>
      </c>
      <c r="U28" s="2"/>
      <c r="V28" s="6">
        <f t="shared" si="17"/>
        <v>6.8111962769718687E-4</v>
      </c>
      <c r="W28" s="2"/>
      <c r="X28" s="7">
        <f t="shared" si="18"/>
        <v>-217.89999999999998</v>
      </c>
      <c r="Y28" s="2"/>
      <c r="Z28" s="6">
        <f t="shared" si="19"/>
        <v>-0.33944511083763024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1457.5</v>
      </c>
      <c r="E29" s="2"/>
      <c r="F29" s="6">
        <f t="shared" si="12"/>
        <v>7.9040301605860317E-3</v>
      </c>
      <c r="G29" s="2"/>
      <c r="H29" s="7">
        <v>1216.6600000000001</v>
      </c>
      <c r="I29" s="2"/>
      <c r="J29" s="6">
        <f t="shared" si="13"/>
        <v>2.2490893541353921E-3</v>
      </c>
      <c r="K29" s="2"/>
      <c r="L29" s="7">
        <f t="shared" si="14"/>
        <v>240.83999999999992</v>
      </c>
      <c r="M29" s="2"/>
      <c r="N29" s="6">
        <f t="shared" si="15"/>
        <v>0.19795176959873745</v>
      </c>
      <c r="O29" s="11"/>
      <c r="P29" s="7">
        <v>5101.25</v>
      </c>
      <c r="Q29" s="2"/>
      <c r="R29" s="6">
        <f t="shared" si="16"/>
        <v>2.2076578473737989E-2</v>
      </c>
      <c r="S29" s="2"/>
      <c r="T29" s="7">
        <v>3649.98</v>
      </c>
      <c r="U29" s="2"/>
      <c r="V29" s="6">
        <f t="shared" si="17"/>
        <v>3.8728101486177283E-3</v>
      </c>
      <c r="W29" s="2"/>
      <c r="X29" s="7">
        <f t="shared" si="18"/>
        <v>1451.27</v>
      </c>
      <c r="Y29" s="2"/>
      <c r="Z29" s="6">
        <f t="shared" si="19"/>
        <v>0.39761039786519375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582.11</v>
      </c>
      <c r="E30" s="2"/>
      <c r="F30" s="6">
        <f t="shared" si="12"/>
        <v>3.1567855895565933E-3</v>
      </c>
      <c r="G30" s="2"/>
      <c r="H30" s="7">
        <v>1023.16</v>
      </c>
      <c r="I30" s="2"/>
      <c r="J30" s="6">
        <f t="shared" si="13"/>
        <v>1.8913897585004582E-3</v>
      </c>
      <c r="K30" s="2"/>
      <c r="L30" s="7">
        <f t="shared" si="14"/>
        <v>-441.04999999999995</v>
      </c>
      <c r="M30" s="2"/>
      <c r="N30" s="6">
        <f t="shared" si="15"/>
        <v>-0.43106649986316897</v>
      </c>
      <c r="O30" s="11"/>
      <c r="P30" s="7">
        <v>1838.03</v>
      </c>
      <c r="Q30" s="2"/>
      <c r="R30" s="6">
        <f t="shared" si="16"/>
        <v>7.9544059852162969E-3</v>
      </c>
      <c r="S30" s="2"/>
      <c r="T30" s="7">
        <v>2293.7199999999998</v>
      </c>
      <c r="U30" s="2"/>
      <c r="V30" s="6">
        <f t="shared" si="17"/>
        <v>2.4337508956453063E-3</v>
      </c>
      <c r="W30" s="2"/>
      <c r="X30" s="7">
        <f t="shared" si="18"/>
        <v>-455.68999999999983</v>
      </c>
      <c r="Y30" s="2"/>
      <c r="Z30" s="6">
        <f t="shared" si="19"/>
        <v>-0.19866853844409949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2445.52</v>
      </c>
      <c r="E31" s="2"/>
      <c r="F31" s="6">
        <f t="shared" si="12"/>
        <v>1.3262067813596125E-2</v>
      </c>
      <c r="G31" s="2"/>
      <c r="H31" s="7">
        <v>2637.87</v>
      </c>
      <c r="I31" s="2"/>
      <c r="J31" s="6">
        <f t="shared" si="13"/>
        <v>4.8763050766797017E-3</v>
      </c>
      <c r="K31" s="2"/>
      <c r="L31" s="7">
        <f t="shared" si="14"/>
        <v>-192.34999999999991</v>
      </c>
      <c r="M31" s="2"/>
      <c r="N31" s="6">
        <f t="shared" si="15"/>
        <v>-7.2918680602152466E-2</v>
      </c>
      <c r="O31" s="11"/>
      <c r="P31" s="7">
        <v>7194</v>
      </c>
      <c r="Q31" s="2"/>
      <c r="R31" s="6">
        <f t="shared" si="16"/>
        <v>3.1133331152182524E-2</v>
      </c>
      <c r="S31" s="2"/>
      <c r="T31" s="7">
        <v>8731.1200000000008</v>
      </c>
      <c r="U31" s="2"/>
      <c r="V31" s="6">
        <f t="shared" si="17"/>
        <v>9.2641521720116891E-3</v>
      </c>
      <c r="W31" s="2"/>
      <c r="X31" s="7">
        <f t="shared" si="18"/>
        <v>-1537.1200000000008</v>
      </c>
      <c r="Y31" s="2"/>
      <c r="Z31" s="6">
        <f t="shared" si="19"/>
        <v>-0.17605072430570198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1504</v>
      </c>
      <c r="E32" s="2"/>
      <c r="F32" s="6">
        <f t="shared" si="12"/>
        <v>8.1561999049889478E-3</v>
      </c>
      <c r="G32" s="2"/>
      <c r="H32" s="7">
        <v>1637.04</v>
      </c>
      <c r="I32" s="2"/>
      <c r="J32" s="6">
        <f t="shared" si="13"/>
        <v>3.0261940363731873E-3</v>
      </c>
      <c r="K32" s="2"/>
      <c r="L32" s="7">
        <f t="shared" si="14"/>
        <v>-133.03999999999996</v>
      </c>
      <c r="M32" s="2"/>
      <c r="N32" s="6">
        <f t="shared" si="15"/>
        <v>-8.1268631187997833E-2</v>
      </c>
      <c r="O32" s="11"/>
      <c r="P32" s="7">
        <v>4512</v>
      </c>
      <c r="Q32" s="2"/>
      <c r="R32" s="6">
        <f t="shared" si="16"/>
        <v>1.9526492932811723E-2</v>
      </c>
      <c r="S32" s="2"/>
      <c r="T32" s="7">
        <v>7003.37</v>
      </c>
      <c r="U32" s="2"/>
      <c r="V32" s="6">
        <f t="shared" si="17"/>
        <v>7.4309235695880363E-3</v>
      </c>
      <c r="W32" s="2"/>
      <c r="X32" s="7">
        <f t="shared" si="18"/>
        <v>-2491.37</v>
      </c>
      <c r="Y32" s="2"/>
      <c r="Z32" s="6">
        <f t="shared" si="19"/>
        <v>-0.35573873720794419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676.6</v>
      </c>
      <c r="E33" s="2"/>
      <c r="F33" s="6">
        <f t="shared" si="12"/>
        <v>3.6692053561938314E-3</v>
      </c>
      <c r="G33" s="2"/>
      <c r="H33" s="7">
        <v>1092.55</v>
      </c>
      <c r="I33" s="2"/>
      <c r="J33" s="6">
        <f t="shared" si="13"/>
        <v>2.0196624972141949E-3</v>
      </c>
      <c r="K33" s="2"/>
      <c r="L33" s="7">
        <f t="shared" si="14"/>
        <v>-415.94999999999993</v>
      </c>
      <c r="M33" s="2"/>
      <c r="N33" s="6">
        <f t="shared" si="15"/>
        <v>-0.38071484142602163</v>
      </c>
      <c r="O33" s="11"/>
      <c r="P33" s="7">
        <v>2321</v>
      </c>
      <c r="Q33" s="2"/>
      <c r="R33" s="6">
        <f t="shared" si="16"/>
        <v>1.0044545677539009E-2</v>
      </c>
      <c r="S33" s="2"/>
      <c r="T33" s="7">
        <v>3621.21</v>
      </c>
      <c r="U33" s="2"/>
      <c r="V33" s="6">
        <f t="shared" si="17"/>
        <v>3.8422837490276673E-3</v>
      </c>
      <c r="W33" s="2"/>
      <c r="X33" s="7">
        <f t="shared" si="18"/>
        <v>-1300.21</v>
      </c>
      <c r="Y33" s="2"/>
      <c r="Z33" s="6">
        <f t="shared" si="19"/>
        <v>-0.35905401785591007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65737.73</v>
      </c>
      <c r="E34" s="1"/>
      <c r="F34" s="5">
        <f t="shared" ref="F34:F40" si="20">IF(D$12=0,0,D34/D$12)</f>
        <v>0.35649605530597678</v>
      </c>
      <c r="G34" s="1"/>
      <c r="H34" s="1">
        <f>SUM(OSRRefH22_1x_0)</f>
        <v>106053.77</v>
      </c>
      <c r="I34" s="1"/>
      <c r="J34" s="5">
        <f t="shared" ref="J34:J40" si="21">IF(H$12=0,0,H34/H$12)</f>
        <v>0.19604853046284371</v>
      </c>
      <c r="K34" s="1"/>
      <c r="L34" s="1">
        <f t="shared" ref="L34:L40" si="22">+D34-H34</f>
        <v>-40316.040000000008</v>
      </c>
      <c r="M34" s="1"/>
      <c r="N34" s="5">
        <f t="shared" ref="N34:N40" si="23">IF(H34=0,0,L34/H34)</f>
        <v>-0.38014716497112744</v>
      </c>
      <c r="O34" s="14"/>
      <c r="P34" s="1">
        <f>SUM(OSRRefP22_1x_0)</f>
        <v>141427.77000000002</v>
      </c>
      <c r="Q34" s="1"/>
      <c r="R34" s="5">
        <f t="shared" ref="R34:R40" si="24">IF(P$12=0,0,P34/P$12)</f>
        <v>0.61205415589723455</v>
      </c>
      <c r="S34" s="1"/>
      <c r="T34" s="1">
        <f>SUM(OSRRefT22_1x_0)</f>
        <v>263133.11</v>
      </c>
      <c r="U34" s="1"/>
      <c r="V34" s="5">
        <f t="shared" ref="V34:V40" si="25">IF(T$12=0,0,T34/T$12)</f>
        <v>0.27919730487436784</v>
      </c>
      <c r="W34" s="1"/>
      <c r="X34" s="1">
        <f t="shared" ref="X34:X40" si="26">+P34-T34</f>
        <v>-121705.33999999997</v>
      </c>
      <c r="Y34" s="1"/>
      <c r="Z34" s="5">
        <f t="shared" ref="Z34:Z40" si="27">IF(T34=0,0,X34/T34)</f>
        <v>-0.46252385342156282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14008.24</v>
      </c>
      <c r="E35" s="2"/>
      <c r="F35" s="6">
        <f t="shared" si="20"/>
        <v>7.5966759146982962E-2</v>
      </c>
      <c r="G35" s="2"/>
      <c r="H35" s="7">
        <v>14132.89</v>
      </c>
      <c r="I35" s="2"/>
      <c r="J35" s="6">
        <f t="shared" si="21"/>
        <v>2.612573146332298E-2</v>
      </c>
      <c r="K35" s="2"/>
      <c r="L35" s="7">
        <f t="shared" si="22"/>
        <v>-124.64999999999964</v>
      </c>
      <c r="M35" s="2"/>
      <c r="N35" s="6">
        <f t="shared" si="23"/>
        <v>-8.8198521321541205E-3</v>
      </c>
      <c r="O35" s="11"/>
      <c r="P35" s="7">
        <v>47794.080000000002</v>
      </c>
      <c r="Q35" s="2"/>
      <c r="R35" s="6">
        <f t="shared" si="24"/>
        <v>0.20683749232053153</v>
      </c>
      <c r="S35" s="2"/>
      <c r="T35" s="7">
        <v>46434.67</v>
      </c>
      <c r="U35" s="2"/>
      <c r="V35" s="6">
        <f t="shared" si="25"/>
        <v>4.9269492222893049E-2</v>
      </c>
      <c r="W35" s="2"/>
      <c r="X35" s="7">
        <f t="shared" si="26"/>
        <v>1359.4100000000035</v>
      </c>
      <c r="Y35" s="2"/>
      <c r="Z35" s="6">
        <f t="shared" si="27"/>
        <v>2.9275754517045206E-2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18181.080000000002</v>
      </c>
      <c r="E36" s="2"/>
      <c r="F36" s="6">
        <f t="shared" si="20"/>
        <v>9.8596092399332758E-2</v>
      </c>
      <c r="G36" s="2"/>
      <c r="H36" s="7">
        <v>21827.75</v>
      </c>
      <c r="I36" s="2"/>
      <c r="J36" s="6">
        <f t="shared" si="21"/>
        <v>4.0350270535506057E-2</v>
      </c>
      <c r="K36" s="2"/>
      <c r="L36" s="7">
        <f t="shared" si="22"/>
        <v>-3646.6699999999983</v>
      </c>
      <c r="M36" s="2"/>
      <c r="N36" s="6">
        <f t="shared" si="23"/>
        <v>-0.16706577636265754</v>
      </c>
      <c r="O36" s="11"/>
      <c r="P36" s="7">
        <v>44599.18</v>
      </c>
      <c r="Q36" s="2"/>
      <c r="R36" s="6">
        <f t="shared" si="24"/>
        <v>0.19301098694131161</v>
      </c>
      <c r="S36" s="2"/>
      <c r="T36" s="7">
        <v>54012.270000000004</v>
      </c>
      <c r="U36" s="2"/>
      <c r="V36" s="6">
        <f t="shared" si="25"/>
        <v>5.7309702356144659E-2</v>
      </c>
      <c r="W36" s="2"/>
      <c r="X36" s="7">
        <f t="shared" si="26"/>
        <v>-9413.0900000000038</v>
      </c>
      <c r="Y36" s="2"/>
      <c r="Z36" s="6">
        <f t="shared" si="27"/>
        <v>-0.174276881901094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>
        <v>13566.64</v>
      </c>
      <c r="E37" s="2"/>
      <c r="F37" s="6">
        <f t="shared" si="20"/>
        <v>7.3571960025943656E-2</v>
      </c>
      <c r="G37" s="2"/>
      <c r="H37" s="7">
        <v>20488.88</v>
      </c>
      <c r="I37" s="2"/>
      <c r="J37" s="6">
        <f t="shared" si="21"/>
        <v>3.7875266620220567E-2</v>
      </c>
      <c r="K37" s="2"/>
      <c r="L37" s="7">
        <f t="shared" si="22"/>
        <v>-6922.2400000000016</v>
      </c>
      <c r="M37" s="2"/>
      <c r="N37" s="6">
        <f t="shared" si="23"/>
        <v>-0.33785350883015575</v>
      </c>
      <c r="O37" s="11"/>
      <c r="P37" s="7">
        <v>14519.74</v>
      </c>
      <c r="Q37" s="2"/>
      <c r="R37" s="6">
        <f t="shared" si="24"/>
        <v>6.2836790890129363E-2</v>
      </c>
      <c r="S37" s="2"/>
      <c r="T37" s="7">
        <v>53355.96</v>
      </c>
      <c r="U37" s="2"/>
      <c r="V37" s="6">
        <f t="shared" si="25"/>
        <v>5.6613324833900892E-2</v>
      </c>
      <c r="W37" s="2"/>
      <c r="X37" s="7">
        <f t="shared" si="26"/>
        <v>-38836.22</v>
      </c>
      <c r="Y37" s="2"/>
      <c r="Z37" s="6">
        <f t="shared" si="27"/>
        <v>-0.72787032601418855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1506</v>
      </c>
      <c r="I38" s="2"/>
      <c r="J38" s="6">
        <f t="shared" si="21"/>
        <v>2.7839565427711112E-3</v>
      </c>
      <c r="K38" s="2"/>
      <c r="L38" s="7">
        <f t="shared" si="22"/>
        <v>-1506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5928</v>
      </c>
      <c r="U38" s="2"/>
      <c r="V38" s="6">
        <f t="shared" si="25"/>
        <v>6.2899025641252543E-3</v>
      </c>
      <c r="W38" s="2"/>
      <c r="X38" s="7">
        <f t="shared" si="26"/>
        <v>-5928</v>
      </c>
      <c r="Y38" s="2"/>
      <c r="Z38" s="6">
        <f t="shared" si="27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>
        <v>16895.439999999999</v>
      </c>
      <c r="E39" s="2"/>
      <c r="F39" s="6">
        <f t="shared" si="20"/>
        <v>9.162405992203887E-2</v>
      </c>
      <c r="G39" s="2"/>
      <c r="H39" s="7">
        <v>36257.25</v>
      </c>
      <c r="I39" s="2"/>
      <c r="J39" s="6">
        <f t="shared" si="21"/>
        <v>6.7024308340230987E-2</v>
      </c>
      <c r="K39" s="2"/>
      <c r="L39" s="7">
        <f t="shared" si="22"/>
        <v>-19361.810000000001</v>
      </c>
      <c r="M39" s="2"/>
      <c r="N39" s="6">
        <f t="shared" si="23"/>
        <v>-0.53401209413289763</v>
      </c>
      <c r="O39" s="11"/>
      <c r="P39" s="7">
        <v>30812.11</v>
      </c>
      <c r="Q39" s="2"/>
      <c r="R39" s="6">
        <f t="shared" si="24"/>
        <v>0.13334495748227337</v>
      </c>
      <c r="S39" s="2"/>
      <c r="T39" s="7">
        <v>80776.210000000006</v>
      </c>
      <c r="U39" s="2"/>
      <c r="V39" s="6">
        <f t="shared" si="25"/>
        <v>8.5707572604473689E-2</v>
      </c>
      <c r="W39" s="2"/>
      <c r="X39" s="7">
        <f t="shared" si="26"/>
        <v>-49964.100000000006</v>
      </c>
      <c r="Y39" s="2"/>
      <c r="Z39" s="6">
        <f t="shared" si="27"/>
        <v>-0.61854969427260831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>
        <v>3086.33</v>
      </c>
      <c r="E40" s="2"/>
      <c r="F40" s="6">
        <f t="shared" si="20"/>
        <v>1.673718381167855E-2</v>
      </c>
      <c r="G40" s="2"/>
      <c r="H40" s="7">
        <v>11841</v>
      </c>
      <c r="I40" s="2"/>
      <c r="J40" s="6">
        <f t="shared" si="21"/>
        <v>2.1888996960791985E-2</v>
      </c>
      <c r="K40" s="2"/>
      <c r="L40" s="7">
        <f t="shared" si="22"/>
        <v>-8754.67</v>
      </c>
      <c r="M40" s="2"/>
      <c r="N40" s="6">
        <f t="shared" si="23"/>
        <v>-0.73935225065450549</v>
      </c>
      <c r="O40" s="11"/>
      <c r="P40" s="7">
        <v>3702.66</v>
      </c>
      <c r="Q40" s="2"/>
      <c r="R40" s="6">
        <f t="shared" si="24"/>
        <v>1.602392826298862E-2</v>
      </c>
      <c r="S40" s="2"/>
      <c r="T40" s="7">
        <v>22626</v>
      </c>
      <c r="U40" s="2"/>
      <c r="V40" s="6">
        <f t="shared" si="25"/>
        <v>2.4007310292830295E-2</v>
      </c>
      <c r="W40" s="2"/>
      <c r="X40" s="7">
        <f t="shared" si="26"/>
        <v>-18923.34</v>
      </c>
      <c r="Y40" s="2"/>
      <c r="Z40" s="6">
        <f t="shared" si="27"/>
        <v>-0.83635375232033948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1" si="28">IF(D$12=0,0,D41/D$12)</f>
        <v>0</v>
      </c>
      <c r="G41" s="1"/>
      <c r="H41" s="1">
        <f>SUM(OSRRefH22_2x_0)</f>
        <v>20.73</v>
      </c>
      <c r="I41" s="1"/>
      <c r="J41" s="5">
        <f t="shared" ref="J41:J61" si="29">IF(H$12=0,0,H41/H$12)</f>
        <v>3.8320995439339402E-5</v>
      </c>
      <c r="K41" s="1"/>
      <c r="L41" s="1">
        <f t="shared" ref="L41:L61" si="30">+D41-H41</f>
        <v>-20.73</v>
      </c>
      <c r="M41" s="1"/>
      <c r="N41" s="5">
        <f t="shared" ref="N41:N61" si="31">IF(H41=0,0,L41/H41)</f>
        <v>-1</v>
      </c>
      <c r="O41" s="14"/>
      <c r="P41" s="1">
        <f>SUM(OSRRefP22_2x_0)</f>
        <v>1224.25</v>
      </c>
      <c r="Q41" s="1"/>
      <c r="R41" s="5">
        <f t="shared" ref="R41:R61" si="32">IF(P$12=0,0,P41/P$12)</f>
        <v>5.2981624496885532E-3</v>
      </c>
      <c r="S41" s="1"/>
      <c r="T41" s="1">
        <f>SUM(OSRRefT22_2x_0)</f>
        <v>2160.88</v>
      </c>
      <c r="U41" s="1"/>
      <c r="V41" s="5">
        <f t="shared" ref="V41:V61" si="33">IF(T$12=0,0,T41/T$12)</f>
        <v>2.2928010547852529E-3</v>
      </c>
      <c r="W41" s="1"/>
      <c r="X41" s="1">
        <f t="shared" ref="X41:X61" si="34">+P41-T41</f>
        <v>-936.63000000000011</v>
      </c>
      <c r="Y41" s="1"/>
      <c r="Z41" s="5">
        <f t="shared" ref="Z41:Z61" si="35">IF(T41=0,0,X41/T41)</f>
        <v>-0.43344840990707495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20.73</v>
      </c>
      <c r="I42" s="2"/>
      <c r="J42" s="6">
        <f t="shared" si="29"/>
        <v>3.8320995439339402E-5</v>
      </c>
      <c r="K42" s="2"/>
      <c r="L42" s="7">
        <f t="shared" si="30"/>
        <v>-20.73</v>
      </c>
      <c r="M42" s="2"/>
      <c r="N42" s="6">
        <f t="shared" si="31"/>
        <v>-1</v>
      </c>
      <c r="O42" s="11"/>
      <c r="P42" s="7">
        <v>1224.25</v>
      </c>
      <c r="Q42" s="2"/>
      <c r="R42" s="6">
        <f t="shared" si="32"/>
        <v>5.2981624496885532E-3</v>
      </c>
      <c r="S42" s="2"/>
      <c r="T42" s="7">
        <v>2160.88</v>
      </c>
      <c r="U42" s="2"/>
      <c r="V42" s="6">
        <f t="shared" si="33"/>
        <v>2.2928010547852529E-3</v>
      </c>
      <c r="W42" s="2"/>
      <c r="X42" s="7">
        <f t="shared" si="34"/>
        <v>-936.63000000000011</v>
      </c>
      <c r="Y42" s="2"/>
      <c r="Z42" s="6">
        <f t="shared" si="35"/>
        <v>-0.43344840990707495</v>
      </c>
    </row>
    <row r="43" spans="1:26" s="27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4.95</v>
      </c>
      <c r="I43" s="1"/>
      <c r="J43" s="5">
        <f t="shared" si="29"/>
        <v>9.1504547720564426E-6</v>
      </c>
      <c r="K43" s="1"/>
      <c r="L43" s="1">
        <f t="shared" si="30"/>
        <v>-4.95</v>
      </c>
      <c r="M43" s="1"/>
      <c r="N43" s="5">
        <f t="shared" si="31"/>
        <v>-1</v>
      </c>
      <c r="O43" s="14"/>
      <c r="P43" s="1">
        <f>SUM(OSRRefP22_3x_0)</f>
        <v>32</v>
      </c>
      <c r="Q43" s="1"/>
      <c r="R43" s="5">
        <f t="shared" si="32"/>
        <v>1.3848576548093421E-4</v>
      </c>
      <c r="S43" s="1"/>
      <c r="T43" s="1">
        <f>SUM(OSRRefT22_3x_0)</f>
        <v>2.95</v>
      </c>
      <c r="U43" s="1"/>
      <c r="V43" s="5">
        <f t="shared" si="33"/>
        <v>3.1300965863983638E-6</v>
      </c>
      <c r="W43" s="1"/>
      <c r="X43" s="1">
        <f t="shared" si="34"/>
        <v>29.05</v>
      </c>
      <c r="Y43" s="1"/>
      <c r="Z43" s="5">
        <f t="shared" si="35"/>
        <v>9.8474576271186436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>
        <v>4.95</v>
      </c>
      <c r="I44" s="2"/>
      <c r="J44" s="6">
        <f t="shared" si="29"/>
        <v>9.1504547720564426E-6</v>
      </c>
      <c r="K44" s="2"/>
      <c r="L44" s="7">
        <f t="shared" si="30"/>
        <v>-4.95</v>
      </c>
      <c r="M44" s="2"/>
      <c r="N44" s="6">
        <f t="shared" si="31"/>
        <v>-1</v>
      </c>
      <c r="O44" s="11"/>
      <c r="P44" s="7">
        <v>32</v>
      </c>
      <c r="Q44" s="2"/>
      <c r="R44" s="6">
        <f t="shared" si="32"/>
        <v>1.3848576548093421E-4</v>
      </c>
      <c r="S44" s="2"/>
      <c r="T44" s="7">
        <v>2.95</v>
      </c>
      <c r="U44" s="2"/>
      <c r="V44" s="6">
        <f t="shared" si="33"/>
        <v>3.1300965863983638E-6</v>
      </c>
      <c r="W44" s="2"/>
      <c r="X44" s="7">
        <f t="shared" si="34"/>
        <v>29.05</v>
      </c>
      <c r="Y44" s="2"/>
      <c r="Z44" s="6">
        <f t="shared" si="35"/>
        <v>9.8474576271186436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156.07</v>
      </c>
      <c r="I45" s="1"/>
      <c r="J45" s="5">
        <f t="shared" si="29"/>
        <v>2.8850736894441389E-4</v>
      </c>
      <c r="K45" s="1"/>
      <c r="L45" s="1">
        <f t="shared" si="30"/>
        <v>-156.07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524.38</v>
      </c>
      <c r="U45" s="1"/>
      <c r="V45" s="5">
        <f t="shared" si="33"/>
        <v>5.5639323660188942E-4</v>
      </c>
      <c r="W45" s="1"/>
      <c r="X45" s="1">
        <f t="shared" si="34"/>
        <v>-524.38</v>
      </c>
      <c r="Y45" s="1"/>
      <c r="Z45" s="5">
        <f t="shared" si="35"/>
        <v>-1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156.07</v>
      </c>
      <c r="I46" s="2"/>
      <c r="J46" s="6">
        <f t="shared" si="29"/>
        <v>2.8850736894441389E-4</v>
      </c>
      <c r="K46" s="2"/>
      <c r="L46" s="7">
        <f t="shared" si="30"/>
        <v>-156.07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524.38</v>
      </c>
      <c r="U46" s="2"/>
      <c r="V46" s="6">
        <f t="shared" si="33"/>
        <v>5.5639323660188942E-4</v>
      </c>
      <c r="W46" s="2"/>
      <c r="X46" s="7">
        <f t="shared" si="34"/>
        <v>-524.38</v>
      </c>
      <c r="Y46" s="2"/>
      <c r="Z46" s="6">
        <f t="shared" si="35"/>
        <v>-1</v>
      </c>
    </row>
    <row r="47" spans="1:26" s="27" customFormat="1" outlineLevel="1" collapsed="1" x14ac:dyDescent="0.25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272.74</v>
      </c>
      <c r="E47" s="1"/>
      <c r="F47" s="5">
        <f t="shared" si="28"/>
        <v>1.4790704535150836E-3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272.74</v>
      </c>
      <c r="M47" s="1"/>
      <c r="N47" s="5">
        <f t="shared" si="31"/>
        <v>0</v>
      </c>
      <c r="O47" s="14"/>
      <c r="P47" s="1">
        <f>SUM(OSRRefP22_5x_0)</f>
        <v>554</v>
      </c>
      <c r="Q47" s="1"/>
      <c r="R47" s="5">
        <f t="shared" si="32"/>
        <v>2.3975348148886737E-3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554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272.74</v>
      </c>
      <c r="E48" s="2"/>
      <c r="F48" s="6">
        <f t="shared" si="28"/>
        <v>1.4790704535150836E-3</v>
      </c>
      <c r="G48" s="2"/>
      <c r="H48" s="7"/>
      <c r="I48" s="2"/>
      <c r="J48" s="6">
        <f t="shared" si="29"/>
        <v>0</v>
      </c>
      <c r="K48" s="2"/>
      <c r="L48" s="7">
        <f t="shared" si="30"/>
        <v>272.74</v>
      </c>
      <c r="M48" s="2"/>
      <c r="N48" s="6">
        <f t="shared" si="31"/>
        <v>0</v>
      </c>
      <c r="O48" s="11"/>
      <c r="P48" s="7">
        <v>554</v>
      </c>
      <c r="Q48" s="2"/>
      <c r="R48" s="6">
        <f t="shared" si="32"/>
        <v>2.3975348148886737E-3</v>
      </c>
      <c r="S48" s="2"/>
      <c r="T48" s="7"/>
      <c r="U48" s="2"/>
      <c r="V48" s="6">
        <f t="shared" si="33"/>
        <v>0</v>
      </c>
      <c r="W48" s="2"/>
      <c r="X48" s="7">
        <f t="shared" si="34"/>
        <v>554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8888.07</v>
      </c>
      <c r="E49" s="1"/>
      <c r="F49" s="5">
        <f t="shared" si="28"/>
        <v>4.8200050325488769E-2</v>
      </c>
      <c r="G49" s="1"/>
      <c r="H49" s="1">
        <f>SUM(OSRRefH22_6x_0)</f>
        <v>4128.3599999999997</v>
      </c>
      <c r="I49" s="1"/>
      <c r="J49" s="5">
        <f t="shared" si="29"/>
        <v>7.6315901944983694E-3</v>
      </c>
      <c r="K49" s="1"/>
      <c r="L49" s="1">
        <f t="shared" si="30"/>
        <v>4759.71</v>
      </c>
      <c r="M49" s="1"/>
      <c r="N49" s="5">
        <f t="shared" si="31"/>
        <v>1.1529299770368864</v>
      </c>
      <c r="O49" s="14"/>
      <c r="P49" s="1">
        <f>SUM(OSRRefP22_6x_0)</f>
        <v>11110.09</v>
      </c>
      <c r="Q49" s="1"/>
      <c r="R49" s="5">
        <f t="shared" si="32"/>
        <v>4.8080916194127264E-2</v>
      </c>
      <c r="S49" s="1"/>
      <c r="T49" s="1">
        <f>SUM(OSRRefT22_6x_0)</f>
        <v>6186.03</v>
      </c>
      <c r="U49" s="1"/>
      <c r="V49" s="5">
        <f t="shared" si="33"/>
        <v>6.5636852157145318E-3</v>
      </c>
      <c r="W49" s="1"/>
      <c r="X49" s="1">
        <f t="shared" si="34"/>
        <v>4924.0600000000004</v>
      </c>
      <c r="Y49" s="1"/>
      <c r="Z49" s="5">
        <f t="shared" si="35"/>
        <v>0.79599678630721171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7">
        <v>8888.07</v>
      </c>
      <c r="E50" s="2"/>
      <c r="F50" s="6">
        <f t="shared" si="28"/>
        <v>4.8200050325488769E-2</v>
      </c>
      <c r="G50" s="2"/>
      <c r="H50" s="7">
        <v>4128.3599999999997</v>
      </c>
      <c r="I50" s="2"/>
      <c r="J50" s="6">
        <f t="shared" si="29"/>
        <v>7.6315901944983694E-3</v>
      </c>
      <c r="K50" s="2"/>
      <c r="L50" s="7">
        <f t="shared" si="30"/>
        <v>4759.71</v>
      </c>
      <c r="M50" s="2"/>
      <c r="N50" s="6">
        <f t="shared" si="31"/>
        <v>1.1529299770368864</v>
      </c>
      <c r="O50" s="11"/>
      <c r="P50" s="7">
        <v>11110.09</v>
      </c>
      <c r="Q50" s="2"/>
      <c r="R50" s="6">
        <f t="shared" si="32"/>
        <v>4.8080916194127264E-2</v>
      </c>
      <c r="S50" s="2"/>
      <c r="T50" s="7">
        <v>6186.03</v>
      </c>
      <c r="U50" s="2"/>
      <c r="V50" s="6">
        <f t="shared" si="33"/>
        <v>6.5636852157145318E-3</v>
      </c>
      <c r="W50" s="2"/>
      <c r="X50" s="7">
        <f t="shared" si="34"/>
        <v>4924.0600000000004</v>
      </c>
      <c r="Y50" s="2"/>
      <c r="Z50" s="6">
        <f t="shared" si="35"/>
        <v>0.79599678630721171</v>
      </c>
    </row>
    <row r="51" spans="1:26" s="27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692.57</v>
      </c>
      <c r="I51" s="1"/>
      <c r="J51" s="5">
        <f t="shared" si="29"/>
        <v>1.280268780097602E-3</v>
      </c>
      <c r="K51" s="1"/>
      <c r="L51" s="1">
        <f t="shared" si="30"/>
        <v>-692.57</v>
      </c>
      <c r="M51" s="1"/>
      <c r="N51" s="5">
        <f t="shared" si="31"/>
        <v>-1</v>
      </c>
      <c r="O51" s="14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805.63</v>
      </c>
      <c r="U51" s="1"/>
      <c r="V51" s="5">
        <f t="shared" si="33"/>
        <v>8.5481346200003854E-4</v>
      </c>
      <c r="W51" s="1"/>
      <c r="X51" s="1">
        <f t="shared" si="34"/>
        <v>-805.63</v>
      </c>
      <c r="Y51" s="1"/>
      <c r="Z51" s="5">
        <f t="shared" si="35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>
        <v>692.57</v>
      </c>
      <c r="I52" s="2"/>
      <c r="J52" s="6">
        <f t="shared" si="29"/>
        <v>1.280268780097602E-3</v>
      </c>
      <c r="K52" s="2"/>
      <c r="L52" s="7">
        <f t="shared" si="30"/>
        <v>-692.57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805.63</v>
      </c>
      <c r="U52" s="2"/>
      <c r="V52" s="6">
        <f t="shared" si="33"/>
        <v>8.5481346200003854E-4</v>
      </c>
      <c r="W52" s="2"/>
      <c r="X52" s="7">
        <f t="shared" si="34"/>
        <v>-805.63</v>
      </c>
      <c r="Y52" s="2"/>
      <c r="Z52" s="6">
        <f t="shared" si="35"/>
        <v>-1</v>
      </c>
    </row>
    <row r="53" spans="1:26" s="27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485.2</v>
      </c>
      <c r="E53" s="1"/>
      <c r="F53" s="5">
        <f t="shared" si="28"/>
        <v>2.6312421501998918E-3</v>
      </c>
      <c r="G53" s="1"/>
      <c r="H53" s="1">
        <f>SUM(OSRRefH22_8x_0)</f>
        <v>-367.97</v>
      </c>
      <c r="I53" s="1"/>
      <c r="J53" s="5">
        <f t="shared" si="29"/>
        <v>-6.8022077625729471E-4</v>
      </c>
      <c r="K53" s="1"/>
      <c r="L53" s="1">
        <f t="shared" si="30"/>
        <v>853.17000000000007</v>
      </c>
      <c r="M53" s="1"/>
      <c r="N53" s="5">
        <f t="shared" si="31"/>
        <v>-2.318585754273446</v>
      </c>
      <c r="O53" s="14"/>
      <c r="P53" s="1">
        <f>SUM(OSRRefP22_8x_0)</f>
        <v>1035.74</v>
      </c>
      <c r="Q53" s="1"/>
      <c r="R53" s="5">
        <f t="shared" si="32"/>
        <v>4.4823514606007128E-3</v>
      </c>
      <c r="S53" s="1"/>
      <c r="T53" s="1">
        <f>SUM(OSRRefT22_8x_0)</f>
        <v>700.33</v>
      </c>
      <c r="U53" s="1"/>
      <c r="V53" s="5">
        <f t="shared" si="33"/>
        <v>7.4308492961097151E-4</v>
      </c>
      <c r="W53" s="1"/>
      <c r="X53" s="1">
        <f t="shared" si="34"/>
        <v>335.40999999999997</v>
      </c>
      <c r="Y53" s="1"/>
      <c r="Z53" s="5">
        <f t="shared" si="35"/>
        <v>0.47893136092984728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7">
        <v>485.2</v>
      </c>
      <c r="E54" s="2"/>
      <c r="F54" s="6">
        <f t="shared" si="28"/>
        <v>2.6312421501998918E-3</v>
      </c>
      <c r="G54" s="2"/>
      <c r="H54" s="7">
        <v>-367.97</v>
      </c>
      <c r="I54" s="2"/>
      <c r="J54" s="6">
        <f t="shared" si="29"/>
        <v>-6.8022077625729471E-4</v>
      </c>
      <c r="K54" s="2"/>
      <c r="L54" s="7">
        <f t="shared" si="30"/>
        <v>853.17000000000007</v>
      </c>
      <c r="M54" s="2"/>
      <c r="N54" s="6">
        <f t="shared" si="31"/>
        <v>-2.318585754273446</v>
      </c>
      <c r="O54" s="11"/>
      <c r="P54" s="7">
        <v>1035.74</v>
      </c>
      <c r="Q54" s="2"/>
      <c r="R54" s="6">
        <f t="shared" si="32"/>
        <v>4.4823514606007128E-3</v>
      </c>
      <c r="S54" s="2"/>
      <c r="T54" s="7">
        <v>700.33</v>
      </c>
      <c r="U54" s="2"/>
      <c r="V54" s="6">
        <f t="shared" si="33"/>
        <v>7.4308492961097151E-4</v>
      </c>
      <c r="W54" s="2"/>
      <c r="X54" s="7">
        <f t="shared" si="34"/>
        <v>335.40999999999997</v>
      </c>
      <c r="Y54" s="2"/>
      <c r="Z54" s="6">
        <f t="shared" si="35"/>
        <v>0.47893136092984728</v>
      </c>
    </row>
    <row r="55" spans="1:26" s="27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60</v>
      </c>
      <c r="I55" s="1"/>
      <c r="J55" s="5">
        <f t="shared" si="29"/>
        <v>1.1091460329765383E-4</v>
      </c>
      <c r="K55" s="1"/>
      <c r="L55" s="1">
        <f t="shared" si="30"/>
        <v>-60</v>
      </c>
      <c r="M55" s="1"/>
      <c r="N55" s="5">
        <f t="shared" si="31"/>
        <v>-1</v>
      </c>
      <c r="O55" s="14"/>
      <c r="P55" s="1">
        <f>SUM(OSRRefP22_9x_0)</f>
        <v>1439.55</v>
      </c>
      <c r="Q55" s="1"/>
      <c r="R55" s="5">
        <f t="shared" si="32"/>
        <v>6.2299119905649637E-3</v>
      </c>
      <c r="S55" s="1"/>
      <c r="T55" s="1">
        <f>SUM(OSRRefT22_9x_0)</f>
        <v>1937.1</v>
      </c>
      <c r="U55" s="1"/>
      <c r="V55" s="5">
        <f t="shared" si="33"/>
        <v>2.055359355088905E-3</v>
      </c>
      <c r="W55" s="1"/>
      <c r="X55" s="1">
        <f t="shared" si="34"/>
        <v>-497.54999999999995</v>
      </c>
      <c r="Y55" s="1"/>
      <c r="Z55" s="5">
        <f t="shared" si="35"/>
        <v>-0.25685302772185226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>
        <v>60</v>
      </c>
      <c r="I56" s="2"/>
      <c r="J56" s="6">
        <f t="shared" si="29"/>
        <v>1.1091460329765383E-4</v>
      </c>
      <c r="K56" s="2"/>
      <c r="L56" s="7">
        <f t="shared" si="30"/>
        <v>-60</v>
      </c>
      <c r="M56" s="2"/>
      <c r="N56" s="6">
        <f t="shared" si="31"/>
        <v>-1</v>
      </c>
      <c r="O56" s="11"/>
      <c r="P56" s="7">
        <v>1439.55</v>
      </c>
      <c r="Q56" s="2"/>
      <c r="R56" s="6">
        <f t="shared" si="32"/>
        <v>6.2299119905649637E-3</v>
      </c>
      <c r="S56" s="2"/>
      <c r="T56" s="7">
        <v>1937.1</v>
      </c>
      <c r="U56" s="2"/>
      <c r="V56" s="6">
        <f t="shared" si="33"/>
        <v>2.055359355088905E-3</v>
      </c>
      <c r="W56" s="2"/>
      <c r="X56" s="7">
        <f t="shared" si="34"/>
        <v>-497.54999999999995</v>
      </c>
      <c r="Y56" s="2"/>
      <c r="Z56" s="6">
        <f t="shared" si="35"/>
        <v>-0.25685302772185226</v>
      </c>
    </row>
    <row r="57" spans="1:26" s="27" customFormat="1" outlineLevel="1" collapsed="1" x14ac:dyDescent="0.25">
      <c r="A57" s="29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11792.03</v>
      </c>
      <c r="E57" s="1"/>
      <c r="F57" s="5">
        <f t="shared" si="28"/>
        <v>6.3948240668634859E-2</v>
      </c>
      <c r="G57" s="1"/>
      <c r="H57" s="1">
        <f>SUM(OSRRefH22_10x_0)</f>
        <v>40866.22</v>
      </c>
      <c r="I57" s="1"/>
      <c r="J57" s="5">
        <f t="shared" si="29"/>
        <v>7.5544342992910782E-2</v>
      </c>
      <c r="K57" s="1"/>
      <c r="L57" s="1">
        <f t="shared" si="30"/>
        <v>-29074.190000000002</v>
      </c>
      <c r="M57" s="1"/>
      <c r="N57" s="5">
        <f t="shared" si="31"/>
        <v>-0.71144798809383403</v>
      </c>
      <c r="O57" s="14"/>
      <c r="P57" s="1">
        <f>SUM(OSRRefP22_10x_0)</f>
        <v>15181.84</v>
      </c>
      <c r="Q57" s="1"/>
      <c r="R57" s="5">
        <f t="shared" si="32"/>
        <v>6.5702147931533325E-2</v>
      </c>
      <c r="S57" s="1"/>
      <c r="T57" s="1">
        <f>SUM(OSRRefT22_10x_0)</f>
        <v>72203.010000000009</v>
      </c>
      <c r="U57" s="1"/>
      <c r="V57" s="5">
        <f t="shared" si="33"/>
        <v>7.6610981399554898E-2</v>
      </c>
      <c r="W57" s="1"/>
      <c r="X57" s="1">
        <f t="shared" si="34"/>
        <v>-57021.170000000013</v>
      </c>
      <c r="Y57" s="1"/>
      <c r="Z57" s="5">
        <f t="shared" si="35"/>
        <v>-0.78973397369444853</v>
      </c>
    </row>
    <row r="58" spans="1:26" s="24" customFormat="1" hidden="1" outlineLevel="2" x14ac:dyDescent="0.25">
      <c r="A58" s="28"/>
      <c r="B58" s="11" t="str">
        <f>CONCATENATE("          ", "6387", " - ", "COMMISSION DUE HOUSING")</f>
        <v xml:space="preserve">          6387 - COMMISSION DUE HOUSING</v>
      </c>
      <c r="C58" s="11"/>
      <c r="D58" s="7">
        <v>11792.03</v>
      </c>
      <c r="E58" s="2"/>
      <c r="F58" s="6">
        <f t="shared" si="28"/>
        <v>6.3948240668634859E-2</v>
      </c>
      <c r="G58" s="2"/>
      <c r="H58" s="7">
        <v>40866.22</v>
      </c>
      <c r="I58" s="2"/>
      <c r="J58" s="6">
        <f t="shared" si="29"/>
        <v>7.5544342992910782E-2</v>
      </c>
      <c r="K58" s="2"/>
      <c r="L58" s="7">
        <f t="shared" si="30"/>
        <v>-29074.190000000002</v>
      </c>
      <c r="M58" s="2"/>
      <c r="N58" s="6">
        <f t="shared" si="31"/>
        <v>-0.71144798809383403</v>
      </c>
      <c r="O58" s="11"/>
      <c r="P58" s="7">
        <v>15181.84</v>
      </c>
      <c r="Q58" s="2"/>
      <c r="R58" s="6">
        <f t="shared" si="32"/>
        <v>6.5702147931533325E-2</v>
      </c>
      <c r="S58" s="2"/>
      <c r="T58" s="7">
        <v>72203.010000000009</v>
      </c>
      <c r="U58" s="2"/>
      <c r="V58" s="6">
        <f t="shared" si="33"/>
        <v>7.6610981399554898E-2</v>
      </c>
      <c r="W58" s="2"/>
      <c r="X58" s="7">
        <f t="shared" si="34"/>
        <v>-57021.170000000013</v>
      </c>
      <c r="Y58" s="2"/>
      <c r="Z58" s="6">
        <f t="shared" si="35"/>
        <v>-0.78973397369444853</v>
      </c>
    </row>
    <row r="59" spans="1:26" s="27" customFormat="1" outlineLevel="1" collapsed="1" x14ac:dyDescent="0.25">
      <c r="A59" s="29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293.48</v>
      </c>
      <c r="E59" s="1"/>
      <c r="F59" s="5">
        <f t="shared" si="28"/>
        <v>1.5915435825240402E-3</v>
      </c>
      <c r="G59" s="1"/>
      <c r="H59" s="1">
        <f>SUM(OSRRefH22_11x_0)</f>
        <v>114.28999999999999</v>
      </c>
      <c r="I59" s="1"/>
      <c r="J59" s="5">
        <f t="shared" si="29"/>
        <v>2.1127383351481427E-4</v>
      </c>
      <c r="K59" s="1"/>
      <c r="L59" s="1">
        <f t="shared" si="30"/>
        <v>179.19000000000003</v>
      </c>
      <c r="M59" s="1"/>
      <c r="N59" s="5">
        <f t="shared" si="31"/>
        <v>1.5678537054860446</v>
      </c>
      <c r="O59" s="14"/>
      <c r="P59" s="1">
        <f>SUM(OSRRefP22_11x_0)</f>
        <v>1683.68</v>
      </c>
      <c r="Q59" s="1"/>
      <c r="R59" s="5">
        <f t="shared" si="32"/>
        <v>7.2864285507793546E-3</v>
      </c>
      <c r="S59" s="1"/>
      <c r="T59" s="1">
        <f>SUM(OSRRefT22_11x_0)</f>
        <v>143.5</v>
      </c>
      <c r="U59" s="1"/>
      <c r="V59" s="5">
        <f t="shared" si="33"/>
        <v>1.5226063055870004E-4</v>
      </c>
      <c r="W59" s="1"/>
      <c r="X59" s="1">
        <f t="shared" si="34"/>
        <v>1540.18</v>
      </c>
      <c r="Y59" s="1"/>
      <c r="Z59" s="5">
        <f t="shared" si="35"/>
        <v>10.732961672473868</v>
      </c>
    </row>
    <row r="60" spans="1:26" s="24" customFormat="1" hidden="1" outlineLevel="2" x14ac:dyDescent="0.25">
      <c r="A60" s="28"/>
      <c r="B60" s="11" t="str">
        <f>CONCATENATE("          ", "6373", " - ", "MAINTENANCE CONTRACTS")</f>
        <v xml:space="preserve">          6373 - MAINTENANCE CONTRACTS</v>
      </c>
      <c r="C60" s="11"/>
      <c r="D60" s="7">
        <v>88.48</v>
      </c>
      <c r="E60" s="2"/>
      <c r="F60" s="6">
        <f t="shared" si="28"/>
        <v>4.7982750504881792E-4</v>
      </c>
      <c r="G60" s="2"/>
      <c r="H60" s="7">
        <v>8.8000000000000007</v>
      </c>
      <c r="I60" s="2"/>
      <c r="J60" s="6">
        <f t="shared" si="29"/>
        <v>1.6267475150322562E-5</v>
      </c>
      <c r="K60" s="2"/>
      <c r="L60" s="7">
        <f t="shared" si="30"/>
        <v>79.680000000000007</v>
      </c>
      <c r="M60" s="2"/>
      <c r="N60" s="6">
        <f t="shared" si="31"/>
        <v>9.0545454545454547</v>
      </c>
      <c r="O60" s="11"/>
      <c r="P60" s="7">
        <v>1478.68</v>
      </c>
      <c r="Q60" s="2"/>
      <c r="R60" s="6">
        <f t="shared" si="32"/>
        <v>6.3992541156671192E-3</v>
      </c>
      <c r="S60" s="2"/>
      <c r="T60" s="7">
        <v>38.01</v>
      </c>
      <c r="U60" s="2"/>
      <c r="V60" s="6">
        <f t="shared" si="33"/>
        <v>4.0330498728475186E-5</v>
      </c>
      <c r="W60" s="2"/>
      <c r="X60" s="7">
        <f t="shared" si="34"/>
        <v>1440.67</v>
      </c>
      <c r="Y60" s="2"/>
      <c r="Z60" s="6">
        <f t="shared" si="35"/>
        <v>37.902394106814</v>
      </c>
    </row>
    <row r="61" spans="1:26" s="24" customFormat="1" hidden="1" outlineLevel="2" x14ac:dyDescent="0.25">
      <c r="A61" s="28"/>
      <c r="B61" s="11" t="str">
        <f>CONCATENATE("          ", "6375", " - ", "OUTSIDE REPAIRS &amp; MAINTENANCE")</f>
        <v xml:space="preserve">          6375 - OUTSIDE REPAIRS &amp; MAINTENANCE</v>
      </c>
      <c r="C61" s="11"/>
      <c r="D61" s="7">
        <v>205</v>
      </c>
      <c r="E61" s="2"/>
      <c r="F61" s="6">
        <f t="shared" si="28"/>
        <v>1.1117160774752222E-3</v>
      </c>
      <c r="G61" s="2"/>
      <c r="H61" s="7">
        <v>105.49</v>
      </c>
      <c r="I61" s="2"/>
      <c r="J61" s="6">
        <f t="shared" si="29"/>
        <v>1.9500635836449171E-4</v>
      </c>
      <c r="K61" s="2"/>
      <c r="L61" s="7">
        <f t="shared" si="30"/>
        <v>99.51</v>
      </c>
      <c r="M61" s="2"/>
      <c r="N61" s="6">
        <f t="shared" si="31"/>
        <v>0.9433121622902646</v>
      </c>
      <c r="O61" s="11"/>
      <c r="P61" s="7">
        <v>205</v>
      </c>
      <c r="Q61" s="2"/>
      <c r="R61" s="6">
        <f t="shared" si="32"/>
        <v>8.8717443511223488E-4</v>
      </c>
      <c r="S61" s="2"/>
      <c r="T61" s="7">
        <v>105.49</v>
      </c>
      <c r="U61" s="2"/>
      <c r="V61" s="6">
        <f t="shared" si="33"/>
        <v>1.1193013183022487E-4</v>
      </c>
      <c r="W61" s="2"/>
      <c r="X61" s="7">
        <f t="shared" si="34"/>
        <v>99.51</v>
      </c>
      <c r="Y61" s="2"/>
      <c r="Z61" s="6">
        <f t="shared" si="35"/>
        <v>0.9433121622902646</v>
      </c>
    </row>
    <row r="62" spans="1:26" s="27" customFormat="1" outlineLevel="1" collapsed="1" x14ac:dyDescent="0.25">
      <c r="A62" s="29"/>
      <c r="B62" s="14" t="str">
        <f>CONCATENATE("     ","Services                                          ")</f>
        <v xml:space="preserve">     Services                                          </v>
      </c>
      <c r="C62" s="14"/>
      <c r="D62" s="1">
        <f>SUM(OSRRefD22_12x_0)</f>
        <v>8805.49</v>
      </c>
      <c r="E62" s="1"/>
      <c r="F62" s="5">
        <f t="shared" ref="F62:F65" si="36">IF(D$12=0,0,D62/D$12)</f>
        <v>4.7752218551450218E-2</v>
      </c>
      <c r="G62" s="1"/>
      <c r="H62" s="1">
        <f>SUM(OSRRefH22_12x_0)</f>
        <v>8164.41</v>
      </c>
      <c r="I62" s="1"/>
      <c r="J62" s="5">
        <f t="shared" ref="J62:J65" si="37">IF(H$12=0,0,H62/H$12)</f>
        <v>1.5092538271823299E-2</v>
      </c>
      <c r="K62" s="1"/>
      <c r="L62" s="1">
        <f t="shared" ref="L62:L65" si="38">+D62-H62</f>
        <v>641.07999999999993</v>
      </c>
      <c r="M62" s="1"/>
      <c r="N62" s="5">
        <f t="shared" ref="N62:N65" si="39">IF(H62=0,0,L62/H62)</f>
        <v>7.8521289352200582E-2</v>
      </c>
      <c r="O62" s="14"/>
      <c r="P62" s="1">
        <f>SUM(OSRRefP22_12x_0)</f>
        <v>10707.11</v>
      </c>
      <c r="Q62" s="1"/>
      <c r="R62" s="5">
        <f t="shared" ref="R62:R65" si="40">IF(P$12=0,0,P62/P$12)</f>
        <v>4.6336947638705175E-2</v>
      </c>
      <c r="S62" s="1"/>
      <c r="T62" s="1">
        <f>SUM(OSRRefT22_12x_0)</f>
        <v>19887.080000000002</v>
      </c>
      <c r="U62" s="1"/>
      <c r="V62" s="5">
        <f t="shared" ref="V62:V65" si="41">IF(T$12=0,0,T62/T$12)</f>
        <v>2.1101180075061416E-2</v>
      </c>
      <c r="W62" s="1"/>
      <c r="X62" s="1">
        <f t="shared" ref="X62:X65" si="42">+P62-T62</f>
        <v>-9179.9700000000012</v>
      </c>
      <c r="Y62" s="1"/>
      <c r="Z62" s="5">
        <f t="shared" ref="Z62:Z65" si="43">IF(T62=0,0,X62/T62)</f>
        <v>-0.46160472025053456</v>
      </c>
    </row>
    <row r="63" spans="1:26" s="24" customFormat="1" hidden="1" outlineLevel="2" x14ac:dyDescent="0.25">
      <c r="A63" s="28"/>
      <c r="B63" s="11" t="str">
        <f>CONCATENATE("          ", "6282", " - ", "JANITORIAL/EXTERMINATOR EXPENS")</f>
        <v xml:space="preserve">          6282 - JANITORIAL/EXTERMINATOR EXPENS</v>
      </c>
      <c r="C63" s="11"/>
      <c r="D63" s="7"/>
      <c r="E63" s="2"/>
      <c r="F63" s="6">
        <f t="shared" si="36"/>
        <v>0</v>
      </c>
      <c r="G63" s="2"/>
      <c r="H63" s="7">
        <v>421.34</v>
      </c>
      <c r="I63" s="2"/>
      <c r="J63" s="6">
        <f t="shared" si="37"/>
        <v>7.7887931589055775E-4</v>
      </c>
      <c r="K63" s="2"/>
      <c r="L63" s="7">
        <f t="shared" si="38"/>
        <v>-421.34</v>
      </c>
      <c r="M63" s="2"/>
      <c r="N63" s="6">
        <f t="shared" si="39"/>
        <v>-1</v>
      </c>
      <c r="O63" s="11"/>
      <c r="P63" s="7">
        <v>842.68</v>
      </c>
      <c r="Q63" s="2"/>
      <c r="R63" s="6">
        <f t="shared" si="40"/>
        <v>3.6468495267335511E-3</v>
      </c>
      <c r="S63" s="2"/>
      <c r="T63" s="7">
        <v>1264.02</v>
      </c>
      <c r="U63" s="2"/>
      <c r="V63" s="6">
        <f t="shared" si="41"/>
        <v>1.341188029538732E-3</v>
      </c>
      <c r="W63" s="2"/>
      <c r="X63" s="7">
        <f t="shared" si="42"/>
        <v>-421.34000000000003</v>
      </c>
      <c r="Y63" s="2"/>
      <c r="Z63" s="6">
        <f t="shared" si="43"/>
        <v>-0.33333333333333337</v>
      </c>
    </row>
    <row r="64" spans="1:26" s="24" customFormat="1" hidden="1" outlineLevel="2" x14ac:dyDescent="0.25">
      <c r="A64" s="28"/>
      <c r="B64" s="11" t="str">
        <f>CONCATENATE("          ", "6285", " - ", "JANITORIAL SERVICES")</f>
        <v xml:space="preserve">          6285 - JANITORIAL SERVICES</v>
      </c>
      <c r="C64" s="11"/>
      <c r="D64" s="7">
        <v>7620.33</v>
      </c>
      <c r="E64" s="2"/>
      <c r="F64" s="6">
        <f t="shared" si="36"/>
        <v>4.132508964227688E-2</v>
      </c>
      <c r="G64" s="2"/>
      <c r="H64" s="7">
        <v>6383.67</v>
      </c>
      <c r="I64" s="2"/>
      <c r="J64" s="6">
        <f t="shared" si="37"/>
        <v>1.1800703760552231E-2</v>
      </c>
      <c r="K64" s="2"/>
      <c r="L64" s="7">
        <f t="shared" si="38"/>
        <v>1236.6599999999999</v>
      </c>
      <c r="M64" s="2"/>
      <c r="N64" s="6">
        <f t="shared" si="39"/>
        <v>0.19372241986192892</v>
      </c>
      <c r="O64" s="11"/>
      <c r="P64" s="7">
        <v>7620.33</v>
      </c>
      <c r="Q64" s="2"/>
      <c r="R64" s="6">
        <f t="shared" si="40"/>
        <v>3.2978351039603983E-2</v>
      </c>
      <c r="S64" s="2"/>
      <c r="T64" s="7">
        <v>14404.51</v>
      </c>
      <c r="U64" s="2"/>
      <c r="V64" s="6">
        <f t="shared" si="41"/>
        <v>1.5283900874488505E-2</v>
      </c>
      <c r="W64" s="2"/>
      <c r="X64" s="7">
        <f t="shared" si="42"/>
        <v>-6784.18</v>
      </c>
      <c r="Y64" s="2"/>
      <c r="Z64" s="6">
        <f t="shared" si="43"/>
        <v>-0.47097610401186851</v>
      </c>
    </row>
    <row r="65" spans="1:26" s="24" customFormat="1" hidden="1" outlineLevel="2" x14ac:dyDescent="0.25">
      <c r="A65" s="28"/>
      <c r="B65" s="11" t="str">
        <f>CONCATENATE("          ", "6286", " - ", "LAUNDRY EXPENSE")</f>
        <v xml:space="preserve">          6286 - LAUNDRY EXPENSE</v>
      </c>
      <c r="C65" s="11"/>
      <c r="D65" s="7">
        <v>1185.1600000000001</v>
      </c>
      <c r="E65" s="2"/>
      <c r="F65" s="6">
        <f t="shared" si="36"/>
        <v>6.4271289091733389E-3</v>
      </c>
      <c r="G65" s="2"/>
      <c r="H65" s="7">
        <v>1359.4</v>
      </c>
      <c r="I65" s="2"/>
      <c r="J65" s="6">
        <f t="shared" si="37"/>
        <v>2.5129551953805107E-3</v>
      </c>
      <c r="K65" s="2"/>
      <c r="L65" s="7">
        <f t="shared" si="38"/>
        <v>-174.24</v>
      </c>
      <c r="M65" s="2"/>
      <c r="N65" s="6">
        <f t="shared" si="39"/>
        <v>-0.12817419449757245</v>
      </c>
      <c r="O65" s="11"/>
      <c r="P65" s="7">
        <v>2244.1</v>
      </c>
      <c r="Q65" s="2"/>
      <c r="R65" s="6">
        <f t="shared" si="40"/>
        <v>9.7117470723676394E-3</v>
      </c>
      <c r="S65" s="2"/>
      <c r="T65" s="7">
        <v>4218.55</v>
      </c>
      <c r="U65" s="2"/>
      <c r="V65" s="6">
        <f t="shared" si="41"/>
        <v>4.4760911710341753E-3</v>
      </c>
      <c r="W65" s="2"/>
      <c r="X65" s="7">
        <f t="shared" si="42"/>
        <v>-1974.4500000000003</v>
      </c>
      <c r="Y65" s="2"/>
      <c r="Z65" s="6">
        <f t="shared" si="43"/>
        <v>-0.46803996633914502</v>
      </c>
    </row>
    <row r="66" spans="1:26" s="27" customFormat="1" outlineLevel="1" collapsed="1" x14ac:dyDescent="0.25">
      <c r="A66" s="29"/>
      <c r="B66" s="14" t="str">
        <f>CONCATENATE("     ","Supplies                                          ")</f>
        <v xml:space="preserve">     Supplies                                          </v>
      </c>
      <c r="C66" s="14"/>
      <c r="D66" s="1">
        <f>SUM(OSRRefD22_13x_0)</f>
        <v>7399.3399999999992</v>
      </c>
      <c r="E66" s="1"/>
      <c r="F66" s="5">
        <f t="shared" ref="F66:F74" si="44">IF(D$12=0,0,D66/D$12)</f>
        <v>4.0126659710758586E-2</v>
      </c>
      <c r="G66" s="1"/>
      <c r="H66" s="1">
        <f>SUM(OSRRefH22_13x_0)</f>
        <v>14830.4</v>
      </c>
      <c r="I66" s="1"/>
      <c r="J66" s="5">
        <f t="shared" ref="J66:J74" si="45">IF(H$12=0,0,H66/H$12)</f>
        <v>2.7415132212425423E-2</v>
      </c>
      <c r="K66" s="1"/>
      <c r="L66" s="1">
        <f t="shared" ref="L66:L74" si="46">+D66-H66</f>
        <v>-7431.06</v>
      </c>
      <c r="M66" s="1"/>
      <c r="N66" s="5">
        <f t="shared" ref="N66:N74" si="47">IF(H66=0,0,L66/H66)</f>
        <v>-0.50106942496493689</v>
      </c>
      <c r="O66" s="14"/>
      <c r="P66" s="1">
        <f>SUM(OSRRefP22_13x_0)</f>
        <v>22051.47</v>
      </c>
      <c r="Q66" s="1"/>
      <c r="R66" s="5">
        <f t="shared" ref="R66:R74" si="48">IF(P$12=0,0,P66/P$12)</f>
        <v>9.5431709466558018E-2</v>
      </c>
      <c r="S66" s="1"/>
      <c r="T66" s="1">
        <f>SUM(OSRRefT22_13x_0)</f>
        <v>30718.929999999997</v>
      </c>
      <c r="U66" s="1"/>
      <c r="V66" s="5">
        <f t="shared" ref="V66:V74" si="49">IF(T$12=0,0,T66/T$12)</f>
        <v>3.2594311162986535E-2</v>
      </c>
      <c r="W66" s="1"/>
      <c r="X66" s="1">
        <f t="shared" ref="X66:X74" si="50">+P66-T66</f>
        <v>-8667.4599999999955</v>
      </c>
      <c r="Y66" s="1"/>
      <c r="Z66" s="5">
        <f t="shared" ref="Z66:Z74" si="51">IF(T66=0,0,X66/T66)</f>
        <v>-0.28215370782771393</v>
      </c>
    </row>
    <row r="67" spans="1:26" s="24" customFormat="1" hidden="1" outlineLevel="2" x14ac:dyDescent="0.25">
      <c r="A67" s="28"/>
      <c r="B67" s="11" t="str">
        <f>CONCATENATE("          ", "6235", " - ", "COVID-19 EXPENSES")</f>
        <v xml:space="preserve">          6235 - COVID-19 EXPENSES</v>
      </c>
      <c r="C67" s="11"/>
      <c r="D67" s="7">
        <v>3651.67</v>
      </c>
      <c r="E67" s="2"/>
      <c r="F67" s="6">
        <f t="shared" si="44"/>
        <v>1.9803025603092415E-2</v>
      </c>
      <c r="G67" s="2"/>
      <c r="H67" s="7"/>
      <c r="I67" s="2"/>
      <c r="J67" s="6">
        <f t="shared" si="45"/>
        <v>0</v>
      </c>
      <c r="K67" s="2"/>
      <c r="L67" s="7">
        <f t="shared" si="46"/>
        <v>3651.67</v>
      </c>
      <c r="M67" s="2"/>
      <c r="N67" s="6">
        <f t="shared" si="47"/>
        <v>0</v>
      </c>
      <c r="O67" s="11"/>
      <c r="P67" s="7">
        <v>11276.82</v>
      </c>
      <c r="Q67" s="2"/>
      <c r="R67" s="6">
        <f t="shared" si="48"/>
        <v>4.880247030908464E-2</v>
      </c>
      <c r="S67" s="2"/>
      <c r="T67" s="7"/>
      <c r="U67" s="2"/>
      <c r="V67" s="6">
        <f t="shared" si="49"/>
        <v>0</v>
      </c>
      <c r="W67" s="2"/>
      <c r="X67" s="7">
        <f t="shared" si="50"/>
        <v>11276.82</v>
      </c>
      <c r="Y67" s="2"/>
      <c r="Z67" s="6">
        <f t="shared" si="51"/>
        <v>0</v>
      </c>
    </row>
    <row r="68" spans="1:26" s="24" customFormat="1" hidden="1" outlineLevel="2" x14ac:dyDescent="0.25">
      <c r="A68" s="28"/>
      <c r="B68" s="11" t="str">
        <f>CONCATENATE("          ", "6237", " - ", "JANITORIAL SUPPLIES")</f>
        <v xml:space="preserve">          6237 - JANITORIAL SUPPLIES</v>
      </c>
      <c r="C68" s="11"/>
      <c r="D68" s="7">
        <v>2125.81</v>
      </c>
      <c r="E68" s="2"/>
      <c r="F68" s="6">
        <f t="shared" si="44"/>
        <v>1.1528278803207816E-2</v>
      </c>
      <c r="G68" s="2"/>
      <c r="H68" s="7">
        <v>3300.04</v>
      </c>
      <c r="I68" s="2"/>
      <c r="J68" s="6">
        <f t="shared" si="45"/>
        <v>6.1003771244398262E-3</v>
      </c>
      <c r="K68" s="2"/>
      <c r="L68" s="7">
        <f t="shared" si="46"/>
        <v>-1174.23</v>
      </c>
      <c r="M68" s="2"/>
      <c r="N68" s="6">
        <f t="shared" si="47"/>
        <v>-0.35582295972170036</v>
      </c>
      <c r="O68" s="11"/>
      <c r="P68" s="7">
        <v>3542.72</v>
      </c>
      <c r="Q68" s="2"/>
      <c r="R68" s="6">
        <f t="shared" si="48"/>
        <v>1.5331759096394226E-2</v>
      </c>
      <c r="S68" s="2"/>
      <c r="T68" s="7">
        <v>10664.07</v>
      </c>
      <c r="U68" s="2"/>
      <c r="V68" s="6">
        <f t="shared" si="49"/>
        <v>1.1315108170885829E-2</v>
      </c>
      <c r="W68" s="2"/>
      <c r="X68" s="7">
        <f t="shared" si="50"/>
        <v>-7121.35</v>
      </c>
      <c r="Y68" s="2"/>
      <c r="Z68" s="6">
        <f t="shared" si="51"/>
        <v>-0.66778912741570529</v>
      </c>
    </row>
    <row r="69" spans="1:26" s="24" customFormat="1" hidden="1" outlineLevel="2" x14ac:dyDescent="0.25">
      <c r="A69" s="28"/>
      <c r="B69" s="11" t="str">
        <f>CONCATENATE("          ", "6239", " - ", "KITCHEN SUPPLIES")</f>
        <v xml:space="preserve">          6239 - KITCHEN SUPPLIES</v>
      </c>
      <c r="C69" s="11"/>
      <c r="D69" s="7">
        <v>553.01</v>
      </c>
      <c r="E69" s="2"/>
      <c r="F69" s="6">
        <f t="shared" si="44"/>
        <v>2.9989761366076713E-3</v>
      </c>
      <c r="G69" s="2"/>
      <c r="H69" s="7">
        <v>8940.1200000000008</v>
      </c>
      <c r="I69" s="2"/>
      <c r="J69" s="6">
        <f t="shared" si="45"/>
        <v>1.6526497720557018E-2</v>
      </c>
      <c r="K69" s="2"/>
      <c r="L69" s="7">
        <f t="shared" si="46"/>
        <v>-8387.11</v>
      </c>
      <c r="M69" s="2"/>
      <c r="N69" s="6">
        <f t="shared" si="47"/>
        <v>-0.93814288846234728</v>
      </c>
      <c r="O69" s="11"/>
      <c r="P69" s="7">
        <v>1896.25</v>
      </c>
      <c r="Q69" s="2"/>
      <c r="R69" s="6">
        <f t="shared" si="48"/>
        <v>8.2063635247881725E-3</v>
      </c>
      <c r="S69" s="2"/>
      <c r="T69" s="7">
        <v>10813.2</v>
      </c>
      <c r="U69" s="2"/>
      <c r="V69" s="6">
        <f t="shared" si="49"/>
        <v>1.1473342511200945E-2</v>
      </c>
      <c r="W69" s="2"/>
      <c r="X69" s="7">
        <f t="shared" si="50"/>
        <v>-8916.9500000000007</v>
      </c>
      <c r="Y69" s="2"/>
      <c r="Z69" s="6">
        <f t="shared" si="51"/>
        <v>-0.82463563052565381</v>
      </c>
    </row>
    <row r="70" spans="1:26" s="24" customFormat="1" hidden="1" outlineLevel="2" x14ac:dyDescent="0.25">
      <c r="A70" s="28"/>
      <c r="B70" s="11" t="str">
        <f>CONCATENATE("          ", "6241", " - ", "OFFICE EXPENSE")</f>
        <v xml:space="preserve">          6241 - OFFICE EXPENSE</v>
      </c>
      <c r="C70" s="11"/>
      <c r="D70" s="7">
        <v>765.15</v>
      </c>
      <c r="E70" s="2"/>
      <c r="F70" s="6">
        <f t="shared" si="44"/>
        <v>4.1494124716105673E-3</v>
      </c>
      <c r="G70" s="2"/>
      <c r="H70" s="7">
        <v>147.97999999999999</v>
      </c>
      <c r="I70" s="2"/>
      <c r="J70" s="6">
        <f t="shared" si="45"/>
        <v>2.7355238326644689E-4</v>
      </c>
      <c r="K70" s="2"/>
      <c r="L70" s="7">
        <f t="shared" si="46"/>
        <v>617.16999999999996</v>
      </c>
      <c r="M70" s="2"/>
      <c r="N70" s="6">
        <f t="shared" si="47"/>
        <v>4.170631166373834</v>
      </c>
      <c r="O70" s="11"/>
      <c r="P70" s="7">
        <v>870.38</v>
      </c>
      <c r="Q70" s="2"/>
      <c r="R70" s="6">
        <f t="shared" si="48"/>
        <v>3.7667262674779853E-3</v>
      </c>
      <c r="S70" s="2"/>
      <c r="T70" s="7">
        <v>980.57</v>
      </c>
      <c r="U70" s="2"/>
      <c r="V70" s="6">
        <f t="shared" si="49"/>
        <v>1.0404334948219129E-3</v>
      </c>
      <c r="W70" s="2"/>
      <c r="X70" s="7">
        <f t="shared" si="50"/>
        <v>-110.19000000000005</v>
      </c>
      <c r="Y70" s="2"/>
      <c r="Z70" s="6">
        <f t="shared" si="51"/>
        <v>-0.11237341546243516</v>
      </c>
    </row>
    <row r="71" spans="1:26" s="24" customFormat="1" hidden="1" outlineLevel="2" x14ac:dyDescent="0.25">
      <c r="A71" s="28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44"/>
        <v>0</v>
      </c>
      <c r="G71" s="2"/>
      <c r="H71" s="7">
        <v>2442.2600000000002</v>
      </c>
      <c r="I71" s="2"/>
      <c r="J71" s="6">
        <f t="shared" si="45"/>
        <v>4.5147049841621351E-3</v>
      </c>
      <c r="K71" s="2"/>
      <c r="L71" s="7">
        <f t="shared" si="46"/>
        <v>-2442.2600000000002</v>
      </c>
      <c r="M71" s="2"/>
      <c r="N71" s="6">
        <f t="shared" si="47"/>
        <v>-1</v>
      </c>
      <c r="O71" s="11"/>
      <c r="P71" s="7">
        <v>650.62</v>
      </c>
      <c r="Q71" s="2"/>
      <c r="R71" s="6">
        <f t="shared" si="48"/>
        <v>2.8156752730376694E-3</v>
      </c>
      <c r="S71" s="2"/>
      <c r="T71" s="7">
        <v>6398.37</v>
      </c>
      <c r="U71" s="2"/>
      <c r="V71" s="6">
        <f t="shared" si="49"/>
        <v>6.7889885069537959E-3</v>
      </c>
      <c r="W71" s="2"/>
      <c r="X71" s="7">
        <f t="shared" si="50"/>
        <v>-5747.75</v>
      </c>
      <c r="Y71" s="2"/>
      <c r="Z71" s="6">
        <f t="shared" si="51"/>
        <v>-0.89831472703204096</v>
      </c>
    </row>
    <row r="72" spans="1:26" s="24" customFormat="1" hidden="1" outlineLevel="2" x14ac:dyDescent="0.25">
      <c r="A72" s="28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44"/>
        <v>0</v>
      </c>
      <c r="G72" s="2"/>
      <c r="H72" s="7"/>
      <c r="I72" s="2"/>
      <c r="J72" s="6">
        <f t="shared" si="45"/>
        <v>0</v>
      </c>
      <c r="K72" s="2"/>
      <c r="L72" s="7">
        <f t="shared" si="46"/>
        <v>0</v>
      </c>
      <c r="M72" s="2"/>
      <c r="N72" s="6">
        <f t="shared" si="47"/>
        <v>0</v>
      </c>
      <c r="O72" s="11"/>
      <c r="P72" s="7"/>
      <c r="Q72" s="2"/>
      <c r="R72" s="6">
        <f t="shared" si="48"/>
        <v>0</v>
      </c>
      <c r="S72" s="2"/>
      <c r="T72" s="7">
        <v>441</v>
      </c>
      <c r="U72" s="2"/>
      <c r="V72" s="6">
        <f t="shared" si="49"/>
        <v>4.6792291342429774E-4</v>
      </c>
      <c r="W72" s="2"/>
      <c r="X72" s="7">
        <f t="shared" si="50"/>
        <v>-441</v>
      </c>
      <c r="Y72" s="2"/>
      <c r="Z72" s="6">
        <f t="shared" si="51"/>
        <v>-1</v>
      </c>
    </row>
    <row r="73" spans="1:26" s="24" customFormat="1" hidden="1" outlineLevel="2" x14ac:dyDescent="0.25">
      <c r="A73" s="28"/>
      <c r="B73" s="11" t="str">
        <f>CONCATENATE("          ", "6247", " - ", "STORE SUPPLIES")</f>
        <v xml:space="preserve">          6247 - STORE SUPPLIES</v>
      </c>
      <c r="C73" s="11"/>
      <c r="D73" s="7"/>
      <c r="E73" s="2"/>
      <c r="F73" s="6">
        <f t="shared" si="44"/>
        <v>0</v>
      </c>
      <c r="G73" s="2"/>
      <c r="H73" s="7"/>
      <c r="I73" s="2"/>
      <c r="J73" s="6">
        <f t="shared" si="45"/>
        <v>0</v>
      </c>
      <c r="K73" s="2"/>
      <c r="L73" s="7">
        <f t="shared" si="46"/>
        <v>0</v>
      </c>
      <c r="M73" s="2"/>
      <c r="N73" s="6">
        <f t="shared" si="47"/>
        <v>0</v>
      </c>
      <c r="O73" s="11"/>
      <c r="P73" s="7"/>
      <c r="Q73" s="2"/>
      <c r="R73" s="6">
        <f t="shared" si="48"/>
        <v>0</v>
      </c>
      <c r="S73" s="2"/>
      <c r="T73" s="7">
        <v>153.87</v>
      </c>
      <c r="U73" s="2"/>
      <c r="V73" s="6">
        <f t="shared" si="49"/>
        <v>1.6326371584715802E-4</v>
      </c>
      <c r="W73" s="2"/>
      <c r="X73" s="7">
        <f t="shared" si="50"/>
        <v>-153.87</v>
      </c>
      <c r="Y73" s="2"/>
      <c r="Z73" s="6">
        <f t="shared" si="51"/>
        <v>-1</v>
      </c>
    </row>
    <row r="74" spans="1:26" s="24" customFormat="1" hidden="1" outlineLevel="2" x14ac:dyDescent="0.25">
      <c r="A74" s="28"/>
      <c r="B74" s="11" t="str">
        <f>CONCATENATE("          ", "6248", " - ", "UNIFORMS")</f>
        <v xml:space="preserve">          6248 - UNIFORMS</v>
      </c>
      <c r="C74" s="11"/>
      <c r="D74" s="7">
        <v>303.7</v>
      </c>
      <c r="E74" s="2"/>
      <c r="F74" s="6">
        <f t="shared" si="44"/>
        <v>1.6469666962401219E-3</v>
      </c>
      <c r="G74" s="2"/>
      <c r="H74" s="7"/>
      <c r="I74" s="2"/>
      <c r="J74" s="6">
        <f t="shared" si="45"/>
        <v>0</v>
      </c>
      <c r="K74" s="2"/>
      <c r="L74" s="7">
        <f t="shared" si="46"/>
        <v>303.7</v>
      </c>
      <c r="M74" s="2"/>
      <c r="N74" s="6">
        <f t="shared" si="47"/>
        <v>0</v>
      </c>
      <c r="O74" s="11"/>
      <c r="P74" s="7">
        <v>3814.68</v>
      </c>
      <c r="Q74" s="2"/>
      <c r="R74" s="6">
        <f t="shared" si="48"/>
        <v>1.6508714995775317E-2</v>
      </c>
      <c r="S74" s="2"/>
      <c r="T74" s="7">
        <v>1267.8499999999999</v>
      </c>
      <c r="U74" s="2"/>
      <c r="V74" s="6">
        <f t="shared" si="49"/>
        <v>1.3452518498525982E-3</v>
      </c>
      <c r="W74" s="2"/>
      <c r="X74" s="7">
        <f t="shared" si="50"/>
        <v>2546.83</v>
      </c>
      <c r="Y74" s="2"/>
      <c r="Z74" s="6">
        <f t="shared" si="51"/>
        <v>2.0087786410064283</v>
      </c>
    </row>
    <row r="75" spans="1:26" s="27" customFormat="1" outlineLevel="1" collapsed="1" x14ac:dyDescent="0.25">
      <c r="A75" s="29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SUM(OSRRefD22_14x_0)</f>
        <v>410</v>
      </c>
      <c r="E75" s="1"/>
      <c r="F75" s="5">
        <f t="shared" ref="F75:F80" si="52">IF(D$12=0,0,D75/D$12)</f>
        <v>2.2234321549504444E-3</v>
      </c>
      <c r="G75" s="1"/>
      <c r="H75" s="1">
        <f>SUM(OSRRefH22_14x_0)</f>
        <v>425</v>
      </c>
      <c r="I75" s="1"/>
      <c r="J75" s="5">
        <f t="shared" ref="J75:J80" si="53">IF(H$12=0,0,H75/H$12)</f>
        <v>7.8564510669171467E-4</v>
      </c>
      <c r="K75" s="1"/>
      <c r="L75" s="1">
        <f t="shared" ref="L75:L80" si="54">+D75-H75</f>
        <v>-15</v>
      </c>
      <c r="M75" s="1"/>
      <c r="N75" s="5">
        <f t="shared" ref="N75:N80" si="55">IF(H75=0,0,L75/H75)</f>
        <v>-3.5294117647058823E-2</v>
      </c>
      <c r="O75" s="14"/>
      <c r="P75" s="1">
        <f>SUM(OSRRefP22_14x_0)</f>
        <v>928</v>
      </c>
      <c r="Q75" s="1"/>
      <c r="R75" s="5">
        <f t="shared" ref="R75:R80" si="56">IF(P$12=0,0,P75/P$12)</f>
        <v>4.0160871989470921E-3</v>
      </c>
      <c r="S75" s="1"/>
      <c r="T75" s="1">
        <f>SUM(OSRRefT22_14x_0)</f>
        <v>1030.45</v>
      </c>
      <c r="U75" s="1"/>
      <c r="V75" s="5">
        <f t="shared" ref="V75:V80" si="57">IF(T$12=0,0,T75/T$12)</f>
        <v>1.093358653374303E-3</v>
      </c>
      <c r="W75" s="1"/>
      <c r="X75" s="1">
        <f t="shared" ref="X75:X80" si="58">+P75-T75</f>
        <v>-102.45000000000005</v>
      </c>
      <c r="Y75" s="1"/>
      <c r="Z75" s="5">
        <f t="shared" ref="Z75:Z80" si="59">IF(T75=0,0,X75/T75)</f>
        <v>-9.9422582366927109E-2</v>
      </c>
    </row>
    <row r="76" spans="1:26" s="24" customFormat="1" hidden="1" outlineLevel="2" x14ac:dyDescent="0.25">
      <c r="A76" s="28"/>
      <c r="B76" s="11" t="str">
        <f>CONCATENATE("          ", "6309", " - ", "TELEPHONE")</f>
        <v xml:space="preserve">          6309 - TELEPHONE</v>
      </c>
      <c r="C76" s="11"/>
      <c r="D76" s="7">
        <v>410</v>
      </c>
      <c r="E76" s="2"/>
      <c r="F76" s="6">
        <f t="shared" si="52"/>
        <v>2.2234321549504444E-3</v>
      </c>
      <c r="G76" s="2"/>
      <c r="H76" s="7">
        <v>425</v>
      </c>
      <c r="I76" s="2"/>
      <c r="J76" s="6">
        <f t="shared" si="53"/>
        <v>7.8564510669171467E-4</v>
      </c>
      <c r="K76" s="2"/>
      <c r="L76" s="7">
        <f t="shared" si="54"/>
        <v>-15</v>
      </c>
      <c r="M76" s="2"/>
      <c r="N76" s="6">
        <f t="shared" si="55"/>
        <v>-3.5294117647058823E-2</v>
      </c>
      <c r="O76" s="11"/>
      <c r="P76" s="7">
        <v>928</v>
      </c>
      <c r="Q76" s="2"/>
      <c r="R76" s="6">
        <f t="shared" si="56"/>
        <v>4.0160871989470921E-3</v>
      </c>
      <c r="S76" s="2"/>
      <c r="T76" s="7">
        <v>1030.45</v>
      </c>
      <c r="U76" s="2"/>
      <c r="V76" s="6">
        <f t="shared" si="57"/>
        <v>1.093358653374303E-3</v>
      </c>
      <c r="W76" s="2"/>
      <c r="X76" s="7">
        <f t="shared" si="58"/>
        <v>-102.45000000000005</v>
      </c>
      <c r="Y76" s="2"/>
      <c r="Z76" s="6">
        <f t="shared" si="59"/>
        <v>-9.9422582366927109E-2</v>
      </c>
    </row>
    <row r="77" spans="1:26" s="27" customFormat="1" outlineLevel="1" collapsed="1" x14ac:dyDescent="0.25">
      <c r="A77" s="29"/>
      <c r="B77" s="14" t="str">
        <f>CONCATENATE("     ","Training                                          ")</f>
        <v xml:space="preserve">     Training                                          </v>
      </c>
      <c r="C77" s="14"/>
      <c r="D77" s="1">
        <f>SUM(OSRRefD22_15x_0)</f>
        <v>0</v>
      </c>
      <c r="E77" s="1"/>
      <c r="F77" s="5">
        <f t="shared" si="52"/>
        <v>0</v>
      </c>
      <c r="G77" s="1"/>
      <c r="H77" s="1">
        <f>SUM(OSRRefH22_15x_0)</f>
        <v>96</v>
      </c>
      <c r="I77" s="1"/>
      <c r="J77" s="5">
        <f t="shared" si="53"/>
        <v>1.7746336527624614E-4</v>
      </c>
      <c r="K77" s="1"/>
      <c r="L77" s="1">
        <f t="shared" si="54"/>
        <v>-96</v>
      </c>
      <c r="M77" s="1"/>
      <c r="N77" s="5">
        <f t="shared" si="55"/>
        <v>-1</v>
      </c>
      <c r="O77" s="14"/>
      <c r="P77" s="1">
        <f>SUM(OSRRefP22_15x_0)</f>
        <v>350</v>
      </c>
      <c r="Q77" s="1"/>
      <c r="R77" s="5">
        <f t="shared" si="56"/>
        <v>1.5146880599477179E-3</v>
      </c>
      <c r="S77" s="1"/>
      <c r="T77" s="1">
        <f>SUM(OSRRefT22_15x_0)</f>
        <v>590</v>
      </c>
      <c r="U77" s="1"/>
      <c r="V77" s="5">
        <f t="shared" si="57"/>
        <v>6.2601931727967271E-4</v>
      </c>
      <c r="W77" s="1"/>
      <c r="X77" s="1">
        <f t="shared" si="58"/>
        <v>-240</v>
      </c>
      <c r="Y77" s="1"/>
      <c r="Z77" s="5">
        <f t="shared" si="59"/>
        <v>-0.40677966101694918</v>
      </c>
    </row>
    <row r="78" spans="1:26" s="24" customFormat="1" hidden="1" outlineLevel="2" x14ac:dyDescent="0.25">
      <c r="A78" s="28"/>
      <c r="B78" s="11" t="str">
        <f>CONCATENATE("          ", "6376", " - ", "TRAINING")</f>
        <v xml:space="preserve">          6376 - TRAINING</v>
      </c>
      <c r="C78" s="11"/>
      <c r="D78" s="7"/>
      <c r="E78" s="2"/>
      <c r="F78" s="6">
        <f t="shared" si="52"/>
        <v>0</v>
      </c>
      <c r="G78" s="2"/>
      <c r="H78" s="7">
        <v>96</v>
      </c>
      <c r="I78" s="2"/>
      <c r="J78" s="6">
        <f t="shared" si="53"/>
        <v>1.7746336527624614E-4</v>
      </c>
      <c r="K78" s="2"/>
      <c r="L78" s="7">
        <f t="shared" si="54"/>
        <v>-96</v>
      </c>
      <c r="M78" s="2"/>
      <c r="N78" s="6">
        <f t="shared" si="55"/>
        <v>-1</v>
      </c>
      <c r="O78" s="11"/>
      <c r="P78" s="7">
        <v>350</v>
      </c>
      <c r="Q78" s="2"/>
      <c r="R78" s="6">
        <f t="shared" si="56"/>
        <v>1.5146880599477179E-3</v>
      </c>
      <c r="S78" s="2"/>
      <c r="T78" s="7">
        <v>590</v>
      </c>
      <c r="U78" s="2"/>
      <c r="V78" s="6">
        <f t="shared" si="57"/>
        <v>6.2601931727967271E-4</v>
      </c>
      <c r="W78" s="2"/>
      <c r="X78" s="7">
        <f t="shared" si="58"/>
        <v>-240</v>
      </c>
      <c r="Y78" s="2"/>
      <c r="Z78" s="6">
        <f t="shared" si="59"/>
        <v>-0.40677966101694918</v>
      </c>
    </row>
    <row r="79" spans="1:26" s="27" customFormat="1" outlineLevel="1" collapsed="1" x14ac:dyDescent="0.25">
      <c r="A79" s="29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SUM(OSRRefD22_16x_0)</f>
        <v>0</v>
      </c>
      <c r="E79" s="1"/>
      <c r="F79" s="5">
        <f t="shared" si="52"/>
        <v>0</v>
      </c>
      <c r="G79" s="1"/>
      <c r="H79" s="1">
        <f>SUM(OSRRefH22_16x_0)</f>
        <v>0</v>
      </c>
      <c r="I79" s="1"/>
      <c r="J79" s="5">
        <f t="shared" si="53"/>
        <v>0</v>
      </c>
      <c r="K79" s="1"/>
      <c r="L79" s="1">
        <f t="shared" si="54"/>
        <v>0</v>
      </c>
      <c r="M79" s="1"/>
      <c r="N79" s="5">
        <f t="shared" si="55"/>
        <v>0</v>
      </c>
      <c r="O79" s="14"/>
      <c r="P79" s="1">
        <f>SUM(OSRRefP22_16x_0)</f>
        <v>0</v>
      </c>
      <c r="Q79" s="1"/>
      <c r="R79" s="5">
        <f t="shared" si="56"/>
        <v>0</v>
      </c>
      <c r="S79" s="1"/>
      <c r="T79" s="1">
        <f>SUM(OSRRefT22_16x_0)</f>
        <v>59.14</v>
      </c>
      <c r="U79" s="1"/>
      <c r="V79" s="5">
        <f t="shared" si="57"/>
        <v>6.2750478684609902E-5</v>
      </c>
      <c r="W79" s="1"/>
      <c r="X79" s="1">
        <f t="shared" si="58"/>
        <v>-59.14</v>
      </c>
      <c r="Y79" s="1"/>
      <c r="Z79" s="5">
        <f t="shared" si="59"/>
        <v>-1</v>
      </c>
    </row>
    <row r="80" spans="1:26" s="24" customFormat="1" hidden="1" outlineLevel="2" x14ac:dyDescent="0.25">
      <c r="A80" s="28"/>
      <c r="B80" s="11" t="str">
        <f>CONCATENATE("          ", "6292", " - ", "TRAVEL/CONFERENCE")</f>
        <v xml:space="preserve">          6292 - TRAVEL/CONFERENCE</v>
      </c>
      <c r="C80" s="11"/>
      <c r="D80" s="7"/>
      <c r="E80" s="2"/>
      <c r="F80" s="6">
        <f t="shared" si="52"/>
        <v>0</v>
      </c>
      <c r="G80" s="2"/>
      <c r="H80" s="7"/>
      <c r="I80" s="2"/>
      <c r="J80" s="6">
        <f t="shared" si="53"/>
        <v>0</v>
      </c>
      <c r="K80" s="2"/>
      <c r="L80" s="7">
        <f t="shared" si="54"/>
        <v>0</v>
      </c>
      <c r="M80" s="2"/>
      <c r="N80" s="6">
        <f t="shared" si="55"/>
        <v>0</v>
      </c>
      <c r="O80" s="11"/>
      <c r="P80" s="7"/>
      <c r="Q80" s="2"/>
      <c r="R80" s="6">
        <f t="shared" si="56"/>
        <v>0</v>
      </c>
      <c r="S80" s="2"/>
      <c r="T80" s="7">
        <v>59.14</v>
      </c>
      <c r="U80" s="2"/>
      <c r="V80" s="6">
        <f t="shared" si="57"/>
        <v>6.2750478684609902E-5</v>
      </c>
      <c r="W80" s="2"/>
      <c r="X80" s="7">
        <f t="shared" si="58"/>
        <v>-59.14</v>
      </c>
      <c r="Y80" s="2"/>
      <c r="Z80" s="6">
        <f t="shared" si="59"/>
        <v>-1</v>
      </c>
    </row>
    <row r="81" spans="1:26" s="60" customFormat="1" x14ac:dyDescent="0.25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25">
      <c r="A82" s="10"/>
      <c r="B82" s="26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5" t="s">
        <v>3</v>
      </c>
      <c r="C84" s="25"/>
      <c r="D84" s="22">
        <f>+D21-D23+D82</f>
        <v>6713.8800000000047</v>
      </c>
      <c r="E84" s="13"/>
      <c r="F84" s="21">
        <f>IF(D$12=0,0,D84/D$12)</f>
        <v>3.6409406527996832E-2</v>
      </c>
      <c r="G84" s="13"/>
      <c r="H84" s="22">
        <f>+H21-H23+H82</f>
        <v>211526.30999999997</v>
      </c>
      <c r="I84" s="13"/>
      <c r="J84" s="21">
        <f>IF(H$12=0,0,H84/H$12)</f>
        <v>0.39102261267777572</v>
      </c>
      <c r="K84" s="15"/>
      <c r="L84" s="22">
        <f>+D84-H84</f>
        <v>-204812.42999999996</v>
      </c>
      <c r="M84" s="15"/>
      <c r="N84" s="21">
        <f>IF(H84=0,0,L84/H84)</f>
        <v>-0.96825983491131673</v>
      </c>
      <c r="O84" s="26"/>
      <c r="P84" s="22">
        <f>+P21-P23+P82</f>
        <v>-138705.66999999987</v>
      </c>
      <c r="Q84" s="13"/>
      <c r="R84" s="21">
        <f>IF(P$12=0,0,P84/P$12)</f>
        <v>-0.60027377770299484</v>
      </c>
      <c r="S84" s="13"/>
      <c r="T84" s="22">
        <f>+T21-T23+T82</f>
        <v>189630.94999999995</v>
      </c>
      <c r="U84" s="13"/>
      <c r="V84" s="21">
        <f>IF(T$12=0,0,T84/T$12)</f>
        <v>0.20120786076965377</v>
      </c>
      <c r="W84" s="15"/>
      <c r="X84" s="22">
        <f>+P84-T84</f>
        <v>-328336.61999999982</v>
      </c>
      <c r="Y84" s="15"/>
      <c r="Z84" s="21">
        <f>IF(T84=0,0,X84/T84)</f>
        <v>-1.7314505886301783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1"/>
      <c r="B86" s="10" t="s">
        <v>13</v>
      </c>
      <c r="C86" s="10"/>
      <c r="D86" s="4">
        <v>34927.219999999994</v>
      </c>
      <c r="E86" s="4"/>
      <c r="F86" s="12">
        <f>IF(D$12=0,0,D86/D$12)</f>
        <v>0.18941049763665427</v>
      </c>
      <c r="G86" s="4"/>
      <c r="H86" s="4">
        <v>51172.51</v>
      </c>
      <c r="I86" s="4"/>
      <c r="J86" s="12">
        <f>IF(H$12=0,0,H86/H$12)</f>
        <v>9.4596310773253742E-2</v>
      </c>
      <c r="K86" s="4"/>
      <c r="L86" s="4">
        <f>+D86-H86</f>
        <v>-16245.290000000008</v>
      </c>
      <c r="M86" s="4"/>
      <c r="N86" s="12">
        <f>IF(H86=0,0,L86/H86)</f>
        <v>-0.31746126973251865</v>
      </c>
      <c r="O86" s="10"/>
      <c r="P86" s="4">
        <v>42807</v>
      </c>
      <c r="Q86" s="4"/>
      <c r="R86" s="12">
        <f>IF(P$12=0,0,P86/P$12)</f>
        <v>0.18525500509194848</v>
      </c>
      <c r="S86" s="4"/>
      <c r="T86" s="4">
        <v>101233.01000000001</v>
      </c>
      <c r="U86" s="4"/>
      <c r="V86" s="12">
        <f>IF(T$12=0,0,T86/T$12)</f>
        <v>0.1074132539090954</v>
      </c>
      <c r="W86" s="4"/>
      <c r="X86" s="4">
        <f>+P86-T86</f>
        <v>-58426.010000000009</v>
      </c>
      <c r="Y86" s="4"/>
      <c r="Z86" s="12">
        <f>IF(T86=0,0,X86/T86)</f>
        <v>-0.57714385851018357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5" t="s">
        <v>4</v>
      </c>
      <c r="C88" s="25"/>
      <c r="D88" s="33">
        <f>+D84-D86</f>
        <v>-28213.339999999989</v>
      </c>
      <c r="E88" s="13"/>
      <c r="F88" s="32">
        <f>IF(D$12=0,0,D88/D$12)</f>
        <v>-0.15300109110865745</v>
      </c>
      <c r="G88" s="13"/>
      <c r="H88" s="33">
        <f>+H84-H86</f>
        <v>160353.79999999996</v>
      </c>
      <c r="I88" s="13"/>
      <c r="J88" s="32">
        <f>IF(H$12=0,0,H88/H$12)</f>
        <v>0.29642630190452196</v>
      </c>
      <c r="K88" s="15"/>
      <c r="L88" s="33">
        <f>D88-H88</f>
        <v>-188567.13999999996</v>
      </c>
      <c r="M88" s="15"/>
      <c r="N88" s="32">
        <f>IF(H88=0,0,L88/H88)</f>
        <v>-1.1759443181265428</v>
      </c>
      <c r="O88" s="26"/>
      <c r="P88" s="33">
        <f>+P84-P86</f>
        <v>-181512.66999999987</v>
      </c>
      <c r="Q88" s="13"/>
      <c r="R88" s="32">
        <f>IF(P$12=0,0,P88/P$12)</f>
        <v>-0.78552878279494331</v>
      </c>
      <c r="S88" s="13"/>
      <c r="T88" s="33">
        <f>+T84-T86</f>
        <v>88397.939999999944</v>
      </c>
      <c r="U88" s="13"/>
      <c r="V88" s="32">
        <f>IF(T$12=0,0,T88/T$12)</f>
        <v>9.3794606860558363E-2</v>
      </c>
      <c r="W88" s="15"/>
      <c r="X88" s="33">
        <f>P88-T88</f>
        <v>-269910.60999999981</v>
      </c>
      <c r="Y88" s="15"/>
      <c r="Z88" s="32">
        <f>IF(T88=0,0,X88/T88)</f>
        <v>-3.0533585963654808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5" t="s">
        <v>5</v>
      </c>
      <c r="C91" s="25"/>
      <c r="D91" s="34">
        <f>SUM(D88:D90)</f>
        <v>-28213.339999999989</v>
      </c>
      <c r="E91" s="13"/>
      <c r="F91" s="31">
        <f>IF(D$12=0,0,D91/D$12)</f>
        <v>-0.15300109110865745</v>
      </c>
      <c r="G91" s="13"/>
      <c r="H91" s="34">
        <f>SUM(H88:H90)</f>
        <v>160353.79999999996</v>
      </c>
      <c r="I91" s="13"/>
      <c r="J91" s="31">
        <f>IF(H$12=0,0,H91/H$12)</f>
        <v>0.29642630190452196</v>
      </c>
      <c r="K91" s="15"/>
      <c r="L91" s="34">
        <f>+D91-H91</f>
        <v>-188567.13999999996</v>
      </c>
      <c r="M91" s="15"/>
      <c r="N91" s="31">
        <f>IF(H91=0,0,L91/H91)</f>
        <v>-1.1759443181265428</v>
      </c>
      <c r="O91" s="26"/>
      <c r="P91" s="34">
        <f>SUM(P88:P90)</f>
        <v>-181512.66999999987</v>
      </c>
      <c r="Q91" s="13"/>
      <c r="R91" s="31">
        <f>IF(P$12=0,0,P91/P$12)</f>
        <v>-0.78552878279494331</v>
      </c>
      <c r="S91" s="13"/>
      <c r="T91" s="34">
        <f>SUM(T88:T90)</f>
        <v>88397.939999999944</v>
      </c>
      <c r="U91" s="13"/>
      <c r="V91" s="31">
        <f>IF(T$12=0,0,T91/T$12)</f>
        <v>9.3794606860558363E-2</v>
      </c>
      <c r="W91" s="15"/>
      <c r="X91" s="34">
        <f>+P91-T91</f>
        <v>-269910.60999999981</v>
      </c>
      <c r="Y91" s="15"/>
      <c r="Z91" s="31">
        <f>IF(T91=0,0,X91/T91)</f>
        <v>-3.0533585963654808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4">
        <v>44123.565822835648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9" t="s">
        <v>313</v>
      </c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A95" s="9"/>
      <c r="B95" s="58"/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  <row r="96" spans="1:26" x14ac:dyDescent="0.25">
      <c r="D96" s="18"/>
      <c r="E96" s="18"/>
      <c r="G96" s="18"/>
      <c r="H96" s="18"/>
      <c r="I96" s="18"/>
      <c r="J96" s="42"/>
      <c r="K96" s="18"/>
      <c r="L96" s="18"/>
      <c r="M96" s="18"/>
      <c r="P96" s="18"/>
      <c r="Q96" s="18"/>
      <c r="R96" s="42"/>
      <c r="S96" s="18"/>
      <c r="T96" s="18"/>
      <c r="U96" s="18"/>
      <c r="V96" s="42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12545.13</v>
      </c>
      <c r="E12" s="4"/>
      <c r="F12" s="12"/>
      <c r="G12" s="4"/>
      <c r="H12" s="4">
        <f>SUM(OSRRefH13x_0)</f>
        <v>340366.69</v>
      </c>
      <c r="I12" s="4"/>
      <c r="J12" s="12"/>
      <c r="K12" s="4"/>
      <c r="L12" s="4">
        <f t="shared" ref="L12:L15" si="0">+D12-H12</f>
        <v>-327821.56</v>
      </c>
      <c r="M12" s="4"/>
      <c r="N12" s="12">
        <f t="shared" ref="N12:N15" si="1">IF(H12=0,0,L12/H12)</f>
        <v>-0.96314230984236437</v>
      </c>
      <c r="O12" s="10"/>
      <c r="P12" s="4">
        <f>SUM(OSRRefP13x_0)</f>
        <v>12545.13</v>
      </c>
      <c r="Q12" s="4"/>
      <c r="R12" s="12"/>
      <c r="S12" s="4"/>
      <c r="T12" s="4">
        <f>SUM(OSRRefT13x_0)</f>
        <v>466093.84</v>
      </c>
      <c r="U12" s="4"/>
      <c r="V12" s="12"/>
      <c r="W12" s="4"/>
      <c r="X12" s="4">
        <f t="shared" ref="X12:X15" si="2">+P12-T12</f>
        <v>-453548.71</v>
      </c>
      <c r="Y12" s="4"/>
      <c r="Z12" s="12">
        <f t="shared" ref="Z12:Z15" si="3">IF(T12=0,0,X12/T12)</f>
        <v>-0.97308454022906632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--68.89</f>
        <v>68.89</v>
      </c>
      <c r="I13" s="2"/>
      <c r="J13" s="19"/>
      <c r="K13" s="2"/>
      <c r="L13" s="2">
        <f t="shared" si="0"/>
        <v>-68.89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--68.89</f>
        <v>68.89</v>
      </c>
      <c r="U13" s="2"/>
      <c r="V13" s="19"/>
      <c r="W13" s="2"/>
      <c r="X13" s="2">
        <f t="shared" si="2"/>
        <v>-68.89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--12545.13</f>
        <v>12545.13</v>
      </c>
      <c r="E14" s="2"/>
      <c r="F14" s="19"/>
      <c r="G14" s="2"/>
      <c r="H14" s="2">
        <f>--338873.67</f>
        <v>338873.67</v>
      </c>
      <c r="I14" s="2"/>
      <c r="J14" s="19"/>
      <c r="K14" s="2"/>
      <c r="L14" s="2">
        <f t="shared" si="0"/>
        <v>-326328.53999999998</v>
      </c>
      <c r="M14" s="2"/>
      <c r="N14" s="19">
        <f t="shared" si="1"/>
        <v>-0.9629799211015716</v>
      </c>
      <c r="O14" s="11"/>
      <c r="P14" s="2">
        <f>--12545.13</f>
        <v>12545.13</v>
      </c>
      <c r="Q14" s="2"/>
      <c r="R14" s="19"/>
      <c r="S14" s="2"/>
      <c r="T14" s="2">
        <f>--463940.08</f>
        <v>463940.08</v>
      </c>
      <c r="U14" s="2"/>
      <c r="V14" s="19"/>
      <c r="W14" s="2"/>
      <c r="X14" s="2">
        <f t="shared" si="2"/>
        <v>-451394.95</v>
      </c>
      <c r="Y14" s="2"/>
      <c r="Z14" s="19">
        <f t="shared" si="3"/>
        <v>-0.97295958995394405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19"/>
      <c r="G15" s="2"/>
      <c r="H15" s="2">
        <f>--1424.13</f>
        <v>1424.13</v>
      </c>
      <c r="I15" s="2"/>
      <c r="J15" s="19"/>
      <c r="K15" s="2"/>
      <c r="L15" s="2">
        <f t="shared" si="0"/>
        <v>-1424.13</v>
      </c>
      <c r="M15" s="2"/>
      <c r="N15" s="19">
        <f t="shared" si="1"/>
        <v>-1</v>
      </c>
      <c r="O15" s="11"/>
      <c r="P15" s="2">
        <f>0</f>
        <v>0</v>
      </c>
      <c r="Q15" s="2"/>
      <c r="R15" s="19"/>
      <c r="S15" s="2"/>
      <c r="T15" s="2">
        <f>--2084.87</f>
        <v>2084.87</v>
      </c>
      <c r="U15" s="2"/>
      <c r="V15" s="19"/>
      <c r="W15" s="2"/>
      <c r="X15" s="2">
        <f t="shared" si="2"/>
        <v>-2084.87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6" t="s">
        <v>8</v>
      </c>
      <c r="C17" s="10"/>
      <c r="D17" s="4">
        <f>SUM(OSRRefD16x_0)</f>
        <v>0</v>
      </c>
      <c r="E17" s="4"/>
      <c r="F17" s="12">
        <f t="shared" ref="F17:F19" si="4">IF(D$12=0,0,D17/D$12)</f>
        <v>0</v>
      </c>
      <c r="G17" s="4"/>
      <c r="H17" s="4">
        <f>SUM(OSRRefH16x_0)</f>
        <v>66037.45</v>
      </c>
      <c r="I17" s="4"/>
      <c r="J17" s="12">
        <f t="shared" ref="J17:J19" si="5">IF(H$12=0,0,H17/H$12)</f>
        <v>0.19401854511673863</v>
      </c>
      <c r="K17" s="4"/>
      <c r="L17" s="4">
        <f t="shared" ref="L17:L19" si="6">+D17-H17</f>
        <v>-66037.45</v>
      </c>
      <c r="M17" s="4"/>
      <c r="N17" s="12">
        <f t="shared" ref="N17:N19" si="7">IF(H17=0,0,L17/H17)</f>
        <v>-1</v>
      </c>
      <c r="O17" s="10"/>
      <c r="P17" s="4">
        <f>SUM(OSRRefP16x_0)</f>
        <v>0</v>
      </c>
      <c r="Q17" s="4"/>
      <c r="R17" s="12">
        <f t="shared" ref="R17:R19" si="8">IF(P$12=0,0,P17/P$12)</f>
        <v>0</v>
      </c>
      <c r="S17" s="4"/>
      <c r="T17" s="4">
        <f>SUM(OSRRefT16x_0)</f>
        <v>106663.46</v>
      </c>
      <c r="U17" s="4"/>
      <c r="V17" s="12">
        <f t="shared" ref="V17:V19" si="9">IF(T$12=0,0,T17/T$12)</f>
        <v>0.22884546167784581</v>
      </c>
      <c r="W17" s="4"/>
      <c r="X17" s="4">
        <f t="shared" ref="X17:X19" si="10">+P17-T17</f>
        <v>-106663.46</v>
      </c>
      <c r="Y17" s="4"/>
      <c r="Z17" s="12">
        <f t="shared" ref="Z17:Z19" si="11">IF(T17=0,0,X17/T17)</f>
        <v>-1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19">
        <f t="shared" si="4"/>
        <v>0</v>
      </c>
      <c r="G18" s="2"/>
      <c r="H18" s="2">
        <v>68697.45</v>
      </c>
      <c r="I18" s="2"/>
      <c r="J18" s="19">
        <f t="shared" si="5"/>
        <v>0.20183364594226302</v>
      </c>
      <c r="K18" s="2"/>
      <c r="L18" s="2">
        <f t="shared" si="6"/>
        <v>-68697.45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110460.46</v>
      </c>
      <c r="U18" s="2"/>
      <c r="V18" s="19">
        <f t="shared" si="9"/>
        <v>0.23699188987350703</v>
      </c>
      <c r="W18" s="2"/>
      <c r="X18" s="2">
        <f t="shared" si="10"/>
        <v>-110460.46</v>
      </c>
      <c r="Y18" s="2"/>
      <c r="Z18" s="19">
        <f t="shared" si="11"/>
        <v>-1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/>
      <c r="E19" s="2"/>
      <c r="F19" s="19">
        <f t="shared" si="4"/>
        <v>0</v>
      </c>
      <c r="G19" s="2"/>
      <c r="H19" s="2">
        <v>-2660</v>
      </c>
      <c r="I19" s="2"/>
      <c r="J19" s="19">
        <f t="shared" si="5"/>
        <v>-7.8151008255243782E-3</v>
      </c>
      <c r="K19" s="2"/>
      <c r="L19" s="2">
        <f t="shared" si="6"/>
        <v>2660</v>
      </c>
      <c r="M19" s="2"/>
      <c r="N19" s="19">
        <f t="shared" si="7"/>
        <v>-1</v>
      </c>
      <c r="O19" s="11"/>
      <c r="P19" s="2"/>
      <c r="Q19" s="2"/>
      <c r="R19" s="19">
        <f t="shared" si="8"/>
        <v>0</v>
      </c>
      <c r="S19" s="2"/>
      <c r="T19" s="2">
        <v>-3797</v>
      </c>
      <c r="U19" s="2"/>
      <c r="V19" s="19">
        <f t="shared" si="9"/>
        <v>-8.1464281956611997E-3</v>
      </c>
      <c r="W19" s="2"/>
      <c r="X19" s="2">
        <f t="shared" si="10"/>
        <v>3797</v>
      </c>
      <c r="Y19" s="2"/>
      <c r="Z19" s="19">
        <f t="shared" si="11"/>
        <v>-1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5" t="s">
        <v>6</v>
      </c>
      <c r="C21" s="25"/>
      <c r="D21" s="22">
        <f>D12-D17</f>
        <v>12545.13</v>
      </c>
      <c r="E21" s="13"/>
      <c r="F21" s="21">
        <f>IF(D$12=0,0,D21/D$12)</f>
        <v>1</v>
      </c>
      <c r="G21" s="13"/>
      <c r="H21" s="22">
        <f>H12-H17</f>
        <v>274329.24</v>
      </c>
      <c r="I21" s="13"/>
      <c r="J21" s="21">
        <f>IF(H$12=0,0,H21/H$12)</f>
        <v>0.80598145488326134</v>
      </c>
      <c r="K21" s="15"/>
      <c r="L21" s="22">
        <f>+D21-H21</f>
        <v>-261784.11</v>
      </c>
      <c r="M21" s="15"/>
      <c r="N21" s="21">
        <f>IF(H21=0,0,L21/H21)</f>
        <v>-0.95426980368552761</v>
      </c>
      <c r="O21" s="26"/>
      <c r="P21" s="22">
        <f>P12-P17</f>
        <v>12545.13</v>
      </c>
      <c r="Q21" s="13"/>
      <c r="R21" s="21">
        <f>IF(P$12=0,0,P21/P$12)</f>
        <v>1</v>
      </c>
      <c r="S21" s="13"/>
      <c r="T21" s="22">
        <f>T12-T17</f>
        <v>359430.38</v>
      </c>
      <c r="U21" s="13"/>
      <c r="V21" s="21">
        <f>IF(T$12=0,0,T21/T$12)</f>
        <v>0.77115453832215419</v>
      </c>
      <c r="W21" s="15"/>
      <c r="X21" s="22">
        <f>+P21-T21</f>
        <v>-346885.25</v>
      </c>
      <c r="Y21" s="15"/>
      <c r="Z21" s="21">
        <f>IF(T21=0,0,X21/T21)</f>
        <v>-0.96509719072717226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6" t="s">
        <v>9</v>
      </c>
      <c r="C23" s="10"/>
      <c r="D23" s="20">
        <f>SUM(OSRRefD22x_0)</f>
        <v>41024.689999999995</v>
      </c>
      <c r="E23" s="20"/>
      <c r="F23" s="36">
        <f t="shared" ref="F23:F33" si="12">IF(D$12=0,0,D23/D$12)</f>
        <v>3.2701685833466851</v>
      </c>
      <c r="G23" s="20"/>
      <c r="H23" s="20">
        <f>SUM(OSRRefH22x_0)</f>
        <v>143399.03999999998</v>
      </c>
      <c r="I23" s="20"/>
      <c r="J23" s="36">
        <f t="shared" ref="J23:J33" si="13">IF(H$12=0,0,H23/H$12)</f>
        <v>0.42130750221180568</v>
      </c>
      <c r="K23" s="4"/>
      <c r="L23" s="20">
        <f t="shared" ref="L23:L33" si="14">+D23-H23</f>
        <v>-102374.34999999998</v>
      </c>
      <c r="M23" s="4"/>
      <c r="N23" s="36">
        <f t="shared" ref="N23:N33" si="15">IF(H23=0,0,L23/H23)</f>
        <v>-0.71391238044550365</v>
      </c>
      <c r="O23" s="10"/>
      <c r="P23" s="20">
        <f>SUM(OSRRefP22x_0)</f>
        <v>119646.61</v>
      </c>
      <c r="Q23" s="20"/>
      <c r="R23" s="36">
        <f t="shared" ref="R23:R33" si="16">IF(P$12=0,0,P23/P$12)</f>
        <v>9.5372953488724317</v>
      </c>
      <c r="S23" s="20"/>
      <c r="T23" s="20">
        <f>SUM(OSRRefT22x_0)</f>
        <v>328222.58</v>
      </c>
      <c r="U23" s="20"/>
      <c r="V23" s="36">
        <f t="shared" ref="V23:V33" si="17">IF(T$12=0,0,T23/T$12)</f>
        <v>0.70419849359090436</v>
      </c>
      <c r="W23" s="4"/>
      <c r="X23" s="20">
        <f t="shared" ref="X23:X33" si="18">+P23-T23</f>
        <v>-208575.97000000003</v>
      </c>
      <c r="Y23" s="4"/>
      <c r="Z23" s="36">
        <f t="shared" ref="Z23:Z33" si="19">IF(T23=0,0,X23/T23)</f>
        <v>-0.63547111840995218</v>
      </c>
    </row>
    <row r="24" spans="1:26" s="27" customFormat="1" outlineLevel="1" collapsed="1" x14ac:dyDescent="0.25">
      <c r="A24" s="29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19309.27</v>
      </c>
      <c r="E24" s="1"/>
      <c r="F24" s="5">
        <f t="shared" si="12"/>
        <v>1.5391845281794609</v>
      </c>
      <c r="G24" s="1"/>
      <c r="H24" s="1">
        <f>SUM(OSRRefH22_0x_0)</f>
        <v>24445.69</v>
      </c>
      <c r="I24" s="1"/>
      <c r="J24" s="5">
        <f t="shared" si="13"/>
        <v>7.1821628608839477E-2</v>
      </c>
      <c r="K24" s="1"/>
      <c r="L24" s="1">
        <f t="shared" si="14"/>
        <v>-5136.4199999999983</v>
      </c>
      <c r="M24" s="1"/>
      <c r="N24" s="5">
        <f t="shared" si="15"/>
        <v>-0.21011556638409465</v>
      </c>
      <c r="O24" s="14"/>
      <c r="P24" s="1">
        <f>SUM(OSRRefP22_0x_0)</f>
        <v>57443.719999999994</v>
      </c>
      <c r="Q24" s="1"/>
      <c r="R24" s="5">
        <f t="shared" si="16"/>
        <v>4.5789657022286736</v>
      </c>
      <c r="S24" s="1"/>
      <c r="T24" s="1">
        <f>SUM(OSRRefT22_0x_0)</f>
        <v>75112.430000000008</v>
      </c>
      <c r="U24" s="1"/>
      <c r="V24" s="5">
        <f t="shared" si="17"/>
        <v>0.16115302017293343</v>
      </c>
      <c r="W24" s="1"/>
      <c r="X24" s="1">
        <f t="shared" si="18"/>
        <v>-17668.710000000014</v>
      </c>
      <c r="Y24" s="1"/>
      <c r="Z24" s="5">
        <f t="shared" si="19"/>
        <v>-0.23523017428673273</v>
      </c>
    </row>
    <row r="25" spans="1:26" s="24" customFormat="1" hidden="1" outlineLevel="2" x14ac:dyDescent="0.25">
      <c r="A25" s="28"/>
      <c r="B25" s="11" t="str">
        <f>CONCATENATE("          ", "6111", " - ", "F.I.C.A.")</f>
        <v xml:space="preserve">          6111 - F.I.C.A.</v>
      </c>
      <c r="C25" s="11"/>
      <c r="D25" s="7">
        <v>1667.58</v>
      </c>
      <c r="E25" s="2"/>
      <c r="F25" s="6">
        <f t="shared" si="12"/>
        <v>0.13292648222856202</v>
      </c>
      <c r="G25" s="2"/>
      <c r="H25" s="7">
        <v>4059.91</v>
      </c>
      <c r="I25" s="2"/>
      <c r="J25" s="6">
        <f t="shared" si="13"/>
        <v>1.1928047365622059E-2</v>
      </c>
      <c r="K25" s="2"/>
      <c r="L25" s="7">
        <f t="shared" si="14"/>
        <v>-2392.33</v>
      </c>
      <c r="M25" s="2"/>
      <c r="N25" s="6">
        <f t="shared" si="15"/>
        <v>-0.58925690470971037</v>
      </c>
      <c r="O25" s="11"/>
      <c r="P25" s="7">
        <v>4592.76</v>
      </c>
      <c r="Q25" s="2"/>
      <c r="R25" s="6">
        <f t="shared" si="16"/>
        <v>0.36609903604028021</v>
      </c>
      <c r="S25" s="2"/>
      <c r="T25" s="7">
        <v>9263.15</v>
      </c>
      <c r="U25" s="2"/>
      <c r="V25" s="6">
        <f t="shared" si="17"/>
        <v>1.98740021966392E-2</v>
      </c>
      <c r="W25" s="2"/>
      <c r="X25" s="7">
        <f t="shared" si="18"/>
        <v>-4670.3899999999994</v>
      </c>
      <c r="Y25" s="2"/>
      <c r="Z25" s="6">
        <f t="shared" si="19"/>
        <v>-0.50419025925306182</v>
      </c>
    </row>
    <row r="26" spans="1:26" s="24" customFormat="1" hidden="1" outlineLevel="2" x14ac:dyDescent="0.25">
      <c r="A26" s="28"/>
      <c r="B26" s="11" t="str">
        <f>CONCATENATE("          ", "6112", " - ", "COMPENSATION INSURANCE")</f>
        <v xml:space="preserve">          6112 - COMPENSATION INSURANCE</v>
      </c>
      <c r="C26" s="11"/>
      <c r="D26" s="7">
        <v>913.35</v>
      </c>
      <c r="E26" s="2"/>
      <c r="F26" s="6">
        <f t="shared" si="12"/>
        <v>7.280514430699403E-2</v>
      </c>
      <c r="G26" s="2"/>
      <c r="H26" s="7">
        <v>3153.66</v>
      </c>
      <c r="I26" s="2"/>
      <c r="J26" s="6">
        <f t="shared" si="13"/>
        <v>9.2654777704598533E-3</v>
      </c>
      <c r="K26" s="2"/>
      <c r="L26" s="7">
        <f t="shared" si="14"/>
        <v>-2240.31</v>
      </c>
      <c r="M26" s="2"/>
      <c r="N26" s="6">
        <f t="shared" si="15"/>
        <v>-0.71038412511177496</v>
      </c>
      <c r="O26" s="11"/>
      <c r="P26" s="7">
        <v>2446.46</v>
      </c>
      <c r="Q26" s="2"/>
      <c r="R26" s="6">
        <f t="shared" si="16"/>
        <v>0.19501272605385517</v>
      </c>
      <c r="S26" s="2"/>
      <c r="T26" s="7">
        <v>6270.68</v>
      </c>
      <c r="U26" s="2"/>
      <c r="V26" s="6">
        <f t="shared" si="17"/>
        <v>1.3453685635493488E-2</v>
      </c>
      <c r="W26" s="2"/>
      <c r="X26" s="7">
        <f t="shared" si="18"/>
        <v>-3824.2200000000003</v>
      </c>
      <c r="Y26" s="2"/>
      <c r="Z26" s="6">
        <f t="shared" si="19"/>
        <v>-0.60985730415202177</v>
      </c>
    </row>
    <row r="27" spans="1:26" s="24" customFormat="1" hidden="1" outlineLevel="2" x14ac:dyDescent="0.25">
      <c r="A27" s="28"/>
      <c r="B27" s="11" t="str">
        <f>CONCATENATE("          ", "6113", " - ", "GROUP INSURANCE")</f>
        <v xml:space="preserve">          6113 - GROUP INSURANCE</v>
      </c>
      <c r="C27" s="11"/>
      <c r="D27" s="7">
        <v>12616.93</v>
      </c>
      <c r="E27" s="2"/>
      <c r="F27" s="6">
        <f t="shared" si="12"/>
        <v>1.0057233364660232</v>
      </c>
      <c r="G27" s="2"/>
      <c r="H27" s="7">
        <v>14138.69</v>
      </c>
      <c r="I27" s="2"/>
      <c r="J27" s="6">
        <f t="shared" si="13"/>
        <v>4.1539581913847094E-2</v>
      </c>
      <c r="K27" s="2"/>
      <c r="L27" s="7">
        <f t="shared" si="14"/>
        <v>-1521.7600000000002</v>
      </c>
      <c r="M27" s="2"/>
      <c r="N27" s="6">
        <f t="shared" si="15"/>
        <v>-0.10763090498483241</v>
      </c>
      <c r="O27" s="11"/>
      <c r="P27" s="7">
        <v>37850.82</v>
      </c>
      <c r="Q27" s="2"/>
      <c r="R27" s="6">
        <f t="shared" si="16"/>
        <v>3.0171724007642808</v>
      </c>
      <c r="S27" s="2"/>
      <c r="T27" s="7">
        <v>39380.57</v>
      </c>
      <c r="U27" s="2"/>
      <c r="V27" s="6">
        <f t="shared" si="17"/>
        <v>8.449064677619425E-2</v>
      </c>
      <c r="W27" s="2"/>
      <c r="X27" s="7">
        <f t="shared" si="18"/>
        <v>-1529.75</v>
      </c>
      <c r="Y27" s="2"/>
      <c r="Z27" s="6">
        <f t="shared" si="19"/>
        <v>-3.8845298582524328E-2</v>
      </c>
    </row>
    <row r="28" spans="1:26" s="24" customFormat="1" hidden="1" outlineLevel="2" x14ac:dyDescent="0.25">
      <c r="A28" s="28"/>
      <c r="B28" s="11" t="str">
        <f>CONCATENATE("          ", "6114", " - ", "STATE UNEMPLOYMENT INSURANCE")</f>
        <v xml:space="preserve">          6114 - STATE UNEMPLOYMENT INSURANCE</v>
      </c>
      <c r="C28" s="11"/>
      <c r="D28" s="7">
        <v>55.36</v>
      </c>
      <c r="E28" s="2"/>
      <c r="F28" s="6">
        <f t="shared" si="12"/>
        <v>4.4128677821592922E-3</v>
      </c>
      <c r="G28" s="2"/>
      <c r="H28" s="7">
        <v>211.35</v>
      </c>
      <c r="I28" s="2"/>
      <c r="J28" s="6">
        <f t="shared" si="13"/>
        <v>6.2094795468969064E-4</v>
      </c>
      <c r="K28" s="2"/>
      <c r="L28" s="7">
        <f t="shared" si="14"/>
        <v>-155.99</v>
      </c>
      <c r="M28" s="2"/>
      <c r="N28" s="6">
        <f t="shared" si="15"/>
        <v>-0.73806482138632601</v>
      </c>
      <c r="O28" s="11"/>
      <c r="P28" s="7">
        <v>156.94999999999999</v>
      </c>
      <c r="Q28" s="2"/>
      <c r="R28" s="6">
        <f t="shared" si="16"/>
        <v>1.2510830896132603E-2</v>
      </c>
      <c r="S28" s="2"/>
      <c r="T28" s="7">
        <v>420.23</v>
      </c>
      <c r="U28" s="2"/>
      <c r="V28" s="6">
        <f t="shared" si="17"/>
        <v>9.0159955771996472E-4</v>
      </c>
      <c r="W28" s="2"/>
      <c r="X28" s="7">
        <f t="shared" si="18"/>
        <v>-263.28000000000003</v>
      </c>
      <c r="Y28" s="2"/>
      <c r="Z28" s="6">
        <f t="shared" si="19"/>
        <v>-0.62651405182876052</v>
      </c>
    </row>
    <row r="29" spans="1:26" s="24" customFormat="1" hidden="1" outlineLevel="2" x14ac:dyDescent="0.25">
      <c r="A29" s="28"/>
      <c r="B29" s="11" t="str">
        <f>CONCATENATE("          ", "6115", " - ", "P.E.R.S.")</f>
        <v xml:space="preserve">          6115 - P.E.R.S.</v>
      </c>
      <c r="C29" s="11"/>
      <c r="D29" s="7">
        <v>485.07</v>
      </c>
      <c r="E29" s="2"/>
      <c r="F29" s="6">
        <f t="shared" si="12"/>
        <v>3.8666000272615748E-2</v>
      </c>
      <c r="G29" s="2"/>
      <c r="H29" s="7">
        <v>959.64</v>
      </c>
      <c r="I29" s="2"/>
      <c r="J29" s="6">
        <f t="shared" si="13"/>
        <v>2.8194298331602309E-3</v>
      </c>
      <c r="K29" s="2"/>
      <c r="L29" s="7">
        <f t="shared" si="14"/>
        <v>-474.57</v>
      </c>
      <c r="M29" s="2"/>
      <c r="N29" s="6">
        <f t="shared" si="15"/>
        <v>-0.49452919844941851</v>
      </c>
      <c r="O29" s="11"/>
      <c r="P29" s="7">
        <v>1697.74</v>
      </c>
      <c r="Q29" s="2"/>
      <c r="R29" s="6">
        <f t="shared" si="16"/>
        <v>0.13533060239311989</v>
      </c>
      <c r="S29" s="2"/>
      <c r="T29" s="7">
        <v>3131.7</v>
      </c>
      <c r="U29" s="2"/>
      <c r="V29" s="6">
        <f t="shared" si="17"/>
        <v>6.7190332315913027E-3</v>
      </c>
      <c r="W29" s="2"/>
      <c r="X29" s="7">
        <f t="shared" si="18"/>
        <v>-1433.9599999999998</v>
      </c>
      <c r="Y29" s="2"/>
      <c r="Z29" s="6">
        <f t="shared" si="19"/>
        <v>-0.45788549350193181</v>
      </c>
    </row>
    <row r="30" spans="1:26" s="24" customFormat="1" hidden="1" outlineLevel="2" x14ac:dyDescent="0.25">
      <c r="A30" s="28"/>
      <c r="B30" s="11" t="str">
        <f>CONCATENATE("          ", "6117", " - ", "RETIREMENT STAFF HOURLY")</f>
        <v xml:space="preserve">          6117 - RETIREMENT STAFF HOURLY</v>
      </c>
      <c r="C30" s="11"/>
      <c r="D30" s="7">
        <v>558.34</v>
      </c>
      <c r="E30" s="2"/>
      <c r="F30" s="6">
        <f t="shared" si="12"/>
        <v>4.4506513682998905E-2</v>
      </c>
      <c r="G30" s="2"/>
      <c r="H30" s="7">
        <v>758.47</v>
      </c>
      <c r="I30" s="2"/>
      <c r="J30" s="6">
        <f t="shared" si="13"/>
        <v>2.2283907981712312E-3</v>
      </c>
      <c r="K30" s="2"/>
      <c r="L30" s="7">
        <f t="shared" si="14"/>
        <v>-200.13</v>
      </c>
      <c r="M30" s="2"/>
      <c r="N30" s="6">
        <f t="shared" si="15"/>
        <v>-0.2638601394913444</v>
      </c>
      <c r="O30" s="11"/>
      <c r="P30" s="7">
        <v>1784.02</v>
      </c>
      <c r="Q30" s="2"/>
      <c r="R30" s="6">
        <f t="shared" si="16"/>
        <v>0.14220817161719329</v>
      </c>
      <c r="S30" s="2"/>
      <c r="T30" s="7">
        <v>1310.75</v>
      </c>
      <c r="U30" s="2"/>
      <c r="V30" s="6">
        <f t="shared" si="17"/>
        <v>2.8122019377042184E-3</v>
      </c>
      <c r="W30" s="2"/>
      <c r="X30" s="7">
        <f t="shared" si="18"/>
        <v>473.27</v>
      </c>
      <c r="Y30" s="2"/>
      <c r="Z30" s="6">
        <f t="shared" si="19"/>
        <v>0.36106809078771696</v>
      </c>
    </row>
    <row r="31" spans="1:26" s="24" customFormat="1" hidden="1" outlineLevel="2" x14ac:dyDescent="0.25">
      <c r="A31" s="28"/>
      <c r="B31" s="11" t="str">
        <f>CONCATENATE("          ", "6118", " - ", "VACATION")</f>
        <v xml:space="preserve">          6118 - VACATION</v>
      </c>
      <c r="C31" s="11"/>
      <c r="D31" s="7">
        <v>1242.1199999999999</v>
      </c>
      <c r="E31" s="2"/>
      <c r="F31" s="6">
        <f t="shared" si="12"/>
        <v>9.9012126618058166E-2</v>
      </c>
      <c r="G31" s="2"/>
      <c r="H31" s="7">
        <v>1965.8</v>
      </c>
      <c r="I31" s="2"/>
      <c r="J31" s="6">
        <f t="shared" si="13"/>
        <v>5.7755357905322638E-3</v>
      </c>
      <c r="K31" s="2"/>
      <c r="L31" s="7">
        <f t="shared" si="14"/>
        <v>-723.68000000000006</v>
      </c>
      <c r="M31" s="2"/>
      <c r="N31" s="6">
        <f t="shared" si="15"/>
        <v>-0.36813511038762847</v>
      </c>
      <c r="O31" s="11"/>
      <c r="P31" s="7">
        <v>3662.61</v>
      </c>
      <c r="Q31" s="2"/>
      <c r="R31" s="6">
        <f t="shared" si="16"/>
        <v>0.29195472665488525</v>
      </c>
      <c r="S31" s="2"/>
      <c r="T31" s="7">
        <v>6777.75</v>
      </c>
      <c r="U31" s="2"/>
      <c r="V31" s="6">
        <f t="shared" si="17"/>
        <v>1.4541599605778955E-2</v>
      </c>
      <c r="W31" s="2"/>
      <c r="X31" s="7">
        <f t="shared" si="18"/>
        <v>-3115.14</v>
      </c>
      <c r="Y31" s="2"/>
      <c r="Z31" s="6">
        <f t="shared" si="19"/>
        <v>-0.45961270333075133</v>
      </c>
    </row>
    <row r="32" spans="1:26" s="24" customFormat="1" hidden="1" outlineLevel="2" x14ac:dyDescent="0.25">
      <c r="A32" s="28"/>
      <c r="B32" s="11" t="str">
        <f>CONCATENATE("          ", "6119", " - ", "SICK LEAVE")</f>
        <v xml:space="preserve">          6119 - SICK LEAVE</v>
      </c>
      <c r="C32" s="11"/>
      <c r="D32" s="7">
        <v>946.52</v>
      </c>
      <c r="E32" s="2"/>
      <c r="F32" s="6">
        <f t="shared" si="12"/>
        <v>7.5449198214765409E-2</v>
      </c>
      <c r="G32" s="2"/>
      <c r="H32" s="7">
        <v>-1915.29</v>
      </c>
      <c r="I32" s="2"/>
      <c r="J32" s="6">
        <f t="shared" si="13"/>
        <v>-5.627137015082175E-3</v>
      </c>
      <c r="K32" s="2"/>
      <c r="L32" s="7">
        <f t="shared" si="14"/>
        <v>2861.81</v>
      </c>
      <c r="M32" s="2"/>
      <c r="N32" s="6">
        <f t="shared" si="15"/>
        <v>-1.4941914801413885</v>
      </c>
      <c r="O32" s="11"/>
      <c r="P32" s="7">
        <v>2839.56</v>
      </c>
      <c r="Q32" s="2"/>
      <c r="R32" s="6">
        <f t="shared" si="16"/>
        <v>0.22634759464429624</v>
      </c>
      <c r="S32" s="2"/>
      <c r="T32" s="7">
        <v>5408.46</v>
      </c>
      <c r="U32" s="2"/>
      <c r="V32" s="6">
        <f t="shared" si="17"/>
        <v>1.160380064237708E-2</v>
      </c>
      <c r="W32" s="2"/>
      <c r="X32" s="7">
        <f t="shared" si="18"/>
        <v>-2568.9</v>
      </c>
      <c r="Y32" s="2"/>
      <c r="Z32" s="6">
        <f t="shared" si="19"/>
        <v>-0.47497808988140805</v>
      </c>
    </row>
    <row r="33" spans="1:26" s="24" customFormat="1" hidden="1" outlineLevel="2" x14ac:dyDescent="0.25">
      <c r="A33" s="28"/>
      <c r="B33" s="11" t="str">
        <f>CONCATENATE("          ", "6156", " - ", "EMPLOYEE MEALS")</f>
        <v xml:space="preserve">          6156 - EMPLOYEE MEALS</v>
      </c>
      <c r="C33" s="11"/>
      <c r="D33" s="7">
        <v>824</v>
      </c>
      <c r="E33" s="2"/>
      <c r="F33" s="6">
        <f t="shared" si="12"/>
        <v>6.5682858607284261E-2</v>
      </c>
      <c r="G33" s="2"/>
      <c r="H33" s="7">
        <v>1113.46</v>
      </c>
      <c r="I33" s="2"/>
      <c r="J33" s="6">
        <f t="shared" si="13"/>
        <v>3.2713541974392383E-3</v>
      </c>
      <c r="K33" s="2"/>
      <c r="L33" s="7">
        <f t="shared" si="14"/>
        <v>-289.46000000000004</v>
      </c>
      <c r="M33" s="2"/>
      <c r="N33" s="6">
        <f t="shared" si="15"/>
        <v>-0.25996443518402101</v>
      </c>
      <c r="O33" s="11"/>
      <c r="P33" s="7">
        <v>2412.8000000000002</v>
      </c>
      <c r="Q33" s="2"/>
      <c r="R33" s="6">
        <f t="shared" si="16"/>
        <v>0.19232961316463046</v>
      </c>
      <c r="S33" s="2"/>
      <c r="T33" s="7">
        <v>3149.14</v>
      </c>
      <c r="U33" s="2"/>
      <c r="V33" s="6">
        <f t="shared" si="17"/>
        <v>6.7564505894349512E-3</v>
      </c>
      <c r="W33" s="2"/>
      <c r="X33" s="7">
        <f t="shared" si="18"/>
        <v>-736.33999999999969</v>
      </c>
      <c r="Y33" s="2"/>
      <c r="Z33" s="6">
        <f t="shared" si="19"/>
        <v>-0.23382256743110807</v>
      </c>
    </row>
    <row r="34" spans="1:26" s="27" customFormat="1" outlineLevel="1" collapsed="1" x14ac:dyDescent="0.25">
      <c r="A34" s="29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21204.41</v>
      </c>
      <c r="E34" s="1"/>
      <c r="F34" s="5">
        <f t="shared" ref="F34:F40" si="20">IF(D$12=0,0,D34/D$12)</f>
        <v>1.690250320243792</v>
      </c>
      <c r="G34" s="1"/>
      <c r="H34" s="1">
        <f>SUM(OSRRefH22_1x_0)</f>
        <v>81698.539999999994</v>
      </c>
      <c r="I34" s="1"/>
      <c r="J34" s="5">
        <f t="shared" ref="J34:J40" si="21">IF(H$12=0,0,H34/H$12)</f>
        <v>0.24003095014967532</v>
      </c>
      <c r="K34" s="1"/>
      <c r="L34" s="1">
        <f t="shared" ref="L34:L40" si="22">+D34-H34</f>
        <v>-60494.12999999999</v>
      </c>
      <c r="M34" s="1"/>
      <c r="N34" s="5">
        <f t="shared" ref="N34:N40" si="23">IF(H34=0,0,L34/H34)</f>
        <v>-0.74045545979157024</v>
      </c>
      <c r="O34" s="14"/>
      <c r="P34" s="1">
        <f>SUM(OSRRefP22_1x_0)</f>
        <v>58777.919999999998</v>
      </c>
      <c r="Q34" s="1"/>
      <c r="R34" s="5">
        <f t="shared" ref="R34:R40" si="24">IF(P$12=0,0,P34/P$12)</f>
        <v>4.6853177288716816</v>
      </c>
      <c r="S34" s="1"/>
      <c r="T34" s="1">
        <f>SUM(OSRRefT22_1x_0)</f>
        <v>166414.78</v>
      </c>
      <c r="U34" s="1"/>
      <c r="V34" s="5">
        <f t="shared" ref="V34:V40" si="25">IF(T$12=0,0,T34/T$12)</f>
        <v>0.35704136317270357</v>
      </c>
      <c r="W34" s="1"/>
      <c r="X34" s="1">
        <f t="shared" ref="X34:X40" si="26">+P34-T34</f>
        <v>-107636.86</v>
      </c>
      <c r="Y34" s="1"/>
      <c r="Z34" s="5">
        <f t="shared" ref="Z34:Z40" si="27">IF(T34=0,0,X34/T34)</f>
        <v>-0.64679867978072625</v>
      </c>
    </row>
    <row r="35" spans="1:26" s="24" customFormat="1" hidden="1" outlineLevel="2" x14ac:dyDescent="0.25">
      <c r="A35" s="28"/>
      <c r="B35" s="11" t="str">
        <f>CONCATENATE("          ", "6002", " - ", "STAFF SALARIES")</f>
        <v xml:space="preserve">          6002 - STAFF SALARIES</v>
      </c>
      <c r="C35" s="11"/>
      <c r="D35" s="7">
        <v>4177.45</v>
      </c>
      <c r="E35" s="2"/>
      <c r="F35" s="6">
        <f t="shared" si="20"/>
        <v>0.33299375933131026</v>
      </c>
      <c r="G35" s="2"/>
      <c r="H35" s="7">
        <v>9388.86</v>
      </c>
      <c r="I35" s="2"/>
      <c r="J35" s="6">
        <f t="shared" si="21"/>
        <v>2.7584544186741659E-2</v>
      </c>
      <c r="K35" s="2"/>
      <c r="L35" s="7">
        <f t="shared" si="22"/>
        <v>-5211.4100000000008</v>
      </c>
      <c r="M35" s="2"/>
      <c r="N35" s="6">
        <f t="shared" si="23"/>
        <v>-0.55506312800489099</v>
      </c>
      <c r="O35" s="11"/>
      <c r="P35" s="7">
        <v>13411.49</v>
      </c>
      <c r="Q35" s="2"/>
      <c r="R35" s="6">
        <f t="shared" si="24"/>
        <v>1.0690594676978238</v>
      </c>
      <c r="S35" s="2"/>
      <c r="T35" s="7">
        <v>30014.140000000003</v>
      </c>
      <c r="U35" s="2"/>
      <c r="V35" s="6">
        <f t="shared" si="25"/>
        <v>6.4395058299847943E-2</v>
      </c>
      <c r="W35" s="2"/>
      <c r="X35" s="7">
        <f t="shared" si="26"/>
        <v>-16602.650000000001</v>
      </c>
      <c r="Y35" s="2"/>
      <c r="Z35" s="6">
        <f t="shared" si="27"/>
        <v>-0.55316094347530864</v>
      </c>
    </row>
    <row r="36" spans="1:26" s="24" customFormat="1" hidden="1" outlineLevel="2" x14ac:dyDescent="0.25">
      <c r="A36" s="28"/>
      <c r="B36" s="11" t="str">
        <f>CONCATENATE("          ", "6004", " - ", "STAFF HOURLY")</f>
        <v xml:space="preserve">          6004 - STAFF HOURLY</v>
      </c>
      <c r="C36" s="11"/>
      <c r="D36" s="7">
        <v>16376.96</v>
      </c>
      <c r="E36" s="2"/>
      <c r="F36" s="6">
        <f t="shared" si="20"/>
        <v>1.3054436263314928</v>
      </c>
      <c r="G36" s="2"/>
      <c r="H36" s="7">
        <v>22939.31</v>
      </c>
      <c r="I36" s="2"/>
      <c r="J36" s="6">
        <f t="shared" si="21"/>
        <v>6.7395872375172791E-2</v>
      </c>
      <c r="K36" s="2"/>
      <c r="L36" s="7">
        <f t="shared" si="22"/>
        <v>-6562.3500000000022</v>
      </c>
      <c r="M36" s="2"/>
      <c r="N36" s="6">
        <f t="shared" si="23"/>
        <v>-0.28607442856825255</v>
      </c>
      <c r="O36" s="11"/>
      <c r="P36" s="7">
        <v>42093.43</v>
      </c>
      <c r="Q36" s="2"/>
      <c r="R36" s="6">
        <f t="shared" si="24"/>
        <v>3.3553602075068176</v>
      </c>
      <c r="S36" s="2"/>
      <c r="T36" s="7">
        <v>50102.19</v>
      </c>
      <c r="U36" s="2"/>
      <c r="V36" s="6">
        <f t="shared" si="25"/>
        <v>0.10749378279704362</v>
      </c>
      <c r="W36" s="2"/>
      <c r="X36" s="7">
        <f t="shared" si="26"/>
        <v>-8008.760000000002</v>
      </c>
      <c r="Y36" s="2"/>
      <c r="Z36" s="6">
        <f t="shared" si="27"/>
        <v>-0.1598485016323638</v>
      </c>
    </row>
    <row r="37" spans="1:26" s="24" customFormat="1" hidden="1" outlineLevel="2" x14ac:dyDescent="0.25">
      <c r="A37" s="28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16696.05</v>
      </c>
      <c r="I37" s="2"/>
      <c r="J37" s="6">
        <f t="shared" si="21"/>
        <v>4.9053125615788076E-2</v>
      </c>
      <c r="K37" s="2"/>
      <c r="L37" s="7">
        <f t="shared" si="22"/>
        <v>-16696.05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22583.129999999997</v>
      </c>
      <c r="U37" s="2"/>
      <c r="V37" s="6">
        <f t="shared" si="25"/>
        <v>4.8451895438051694E-2</v>
      </c>
      <c r="W37" s="2"/>
      <c r="X37" s="7">
        <f t="shared" si="26"/>
        <v>-22583.129999999997</v>
      </c>
      <c r="Y37" s="2"/>
      <c r="Z37" s="6">
        <f t="shared" si="27"/>
        <v>-1</v>
      </c>
    </row>
    <row r="38" spans="1:26" s="24" customFormat="1" hidden="1" outlineLevel="2" x14ac:dyDescent="0.25">
      <c r="A38" s="28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3020.35</v>
      </c>
      <c r="I38" s="2"/>
      <c r="J38" s="6">
        <f t="shared" si="21"/>
        <v>8.873811946756599E-3</v>
      </c>
      <c r="K38" s="2"/>
      <c r="L38" s="7">
        <f t="shared" si="22"/>
        <v>-3020.35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4307.16</v>
      </c>
      <c r="U38" s="2"/>
      <c r="V38" s="6">
        <f t="shared" si="25"/>
        <v>9.2409717322159846E-3</v>
      </c>
      <c r="W38" s="2"/>
      <c r="X38" s="7">
        <f t="shared" si="26"/>
        <v>-4307.16</v>
      </c>
      <c r="Y38" s="2"/>
      <c r="Z38" s="6">
        <f t="shared" si="27"/>
        <v>-1</v>
      </c>
    </row>
    <row r="39" spans="1:26" s="24" customFormat="1" hidden="1" outlineLevel="2" x14ac:dyDescent="0.25">
      <c r="A39" s="28"/>
      <c r="B39" s="11" t="str">
        <f>CONCATENATE("          ", "6007", " - ", "STUDENT HOURLY")</f>
        <v xml:space="preserve">          6007 - STUDENT HOURLY</v>
      </c>
      <c r="C39" s="11"/>
      <c r="D39" s="7">
        <v>650</v>
      </c>
      <c r="E39" s="2"/>
      <c r="F39" s="6">
        <f t="shared" si="20"/>
        <v>5.1812934580988804E-2</v>
      </c>
      <c r="G39" s="2"/>
      <c r="H39" s="7">
        <v>19615.969999999998</v>
      </c>
      <c r="I39" s="2"/>
      <c r="J39" s="6">
        <f t="shared" si="21"/>
        <v>5.7631873436263685E-2</v>
      </c>
      <c r="K39" s="2"/>
      <c r="L39" s="7">
        <f t="shared" si="22"/>
        <v>-18965.969999999998</v>
      </c>
      <c r="M39" s="2"/>
      <c r="N39" s="6">
        <f t="shared" si="23"/>
        <v>-0.96686373398817393</v>
      </c>
      <c r="O39" s="11"/>
      <c r="P39" s="7">
        <v>3273</v>
      </c>
      <c r="Q39" s="2"/>
      <c r="R39" s="6">
        <f t="shared" si="24"/>
        <v>0.26089805366704055</v>
      </c>
      <c r="S39" s="2"/>
      <c r="T39" s="7">
        <v>44601.66</v>
      </c>
      <c r="U39" s="2"/>
      <c r="V39" s="6">
        <f t="shared" si="25"/>
        <v>9.5692446825729346E-2</v>
      </c>
      <c r="W39" s="2"/>
      <c r="X39" s="7">
        <f t="shared" si="26"/>
        <v>-41328.660000000003</v>
      </c>
      <c r="Y39" s="2"/>
      <c r="Z39" s="6">
        <f t="shared" si="27"/>
        <v>-0.92661708106828311</v>
      </c>
    </row>
    <row r="40" spans="1:26" s="24" customFormat="1" hidden="1" outlineLevel="2" x14ac:dyDescent="0.25">
      <c r="A40" s="28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10038</v>
      </c>
      <c r="I40" s="2"/>
      <c r="J40" s="6">
        <f t="shared" si="21"/>
        <v>2.949172258895252E-2</v>
      </c>
      <c r="K40" s="2"/>
      <c r="L40" s="7">
        <f t="shared" si="22"/>
        <v>-10038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14806.5</v>
      </c>
      <c r="U40" s="2"/>
      <c r="V40" s="6">
        <f t="shared" si="25"/>
        <v>3.1767208079815E-2</v>
      </c>
      <c r="W40" s="2"/>
      <c r="X40" s="7">
        <f t="shared" si="26"/>
        <v>-14806.5</v>
      </c>
      <c r="Y40" s="2"/>
      <c r="Z40" s="6">
        <f t="shared" si="27"/>
        <v>-1</v>
      </c>
    </row>
    <row r="41" spans="1:26" s="27" customFormat="1" outlineLevel="1" collapsed="1" x14ac:dyDescent="0.25">
      <c r="A41" s="29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6" si="28">IF(D$12=0,0,D41/D$12)</f>
        <v>0</v>
      </c>
      <c r="G41" s="1"/>
      <c r="H41" s="1">
        <f>SUM(OSRRefH22_2x_0)</f>
        <v>0</v>
      </c>
      <c r="I41" s="1"/>
      <c r="J41" s="5">
        <f t="shared" ref="J41:J66" si="29">IF(H$12=0,0,H41/H$12)</f>
        <v>0</v>
      </c>
      <c r="K41" s="1"/>
      <c r="L41" s="1">
        <f t="shared" ref="L41:L66" si="30">+D41-H41</f>
        <v>0</v>
      </c>
      <c r="M41" s="1"/>
      <c r="N41" s="5">
        <f t="shared" ref="N41:N66" si="31">IF(H41=0,0,L41/H41)</f>
        <v>0</v>
      </c>
      <c r="O41" s="14"/>
      <c r="P41" s="1">
        <f>SUM(OSRRefP22_2x_0)</f>
        <v>0</v>
      </c>
      <c r="Q41" s="1"/>
      <c r="R41" s="5">
        <f t="shared" ref="R41:R66" si="32">IF(P$12=0,0,P41/P$12)</f>
        <v>0</v>
      </c>
      <c r="S41" s="1"/>
      <c r="T41" s="1">
        <f>SUM(OSRRefT22_2x_0)</f>
        <v>2651.81</v>
      </c>
      <c r="U41" s="1"/>
      <c r="V41" s="5">
        <f t="shared" ref="V41:V66" si="33">IF(T$12=0,0,T41/T$12)</f>
        <v>5.6894336985873917E-3</v>
      </c>
      <c r="W41" s="1"/>
      <c r="X41" s="1">
        <f t="shared" ref="X41:X66" si="34">+P41-T41</f>
        <v>-2651.81</v>
      </c>
      <c r="Y41" s="1"/>
      <c r="Z41" s="5">
        <f t="shared" ref="Z41:Z66" si="35">IF(T41=0,0,X41/T41)</f>
        <v>-1</v>
      </c>
    </row>
    <row r="42" spans="1:26" s="24" customFormat="1" hidden="1" outlineLevel="2" x14ac:dyDescent="0.25">
      <c r="A42" s="28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/>
      <c r="I42" s="2"/>
      <c r="J42" s="6">
        <f t="shared" si="29"/>
        <v>0</v>
      </c>
      <c r="K42" s="2"/>
      <c r="L42" s="7">
        <f t="shared" si="30"/>
        <v>0</v>
      </c>
      <c r="M42" s="2"/>
      <c r="N42" s="6">
        <f t="shared" si="31"/>
        <v>0</v>
      </c>
      <c r="O42" s="11"/>
      <c r="P42" s="7"/>
      <c r="Q42" s="2"/>
      <c r="R42" s="6">
        <f t="shared" si="32"/>
        <v>0</v>
      </c>
      <c r="S42" s="2"/>
      <c r="T42" s="7">
        <v>2651.81</v>
      </c>
      <c r="U42" s="2"/>
      <c r="V42" s="6">
        <f t="shared" si="33"/>
        <v>5.6894336985873917E-3</v>
      </c>
      <c r="W42" s="2"/>
      <c r="X42" s="7">
        <f t="shared" si="34"/>
        <v>-2651.81</v>
      </c>
      <c r="Y42" s="2"/>
      <c r="Z42" s="6">
        <f t="shared" si="35"/>
        <v>-1</v>
      </c>
    </row>
    <row r="43" spans="1:26" s="27" customFormat="1" outlineLevel="1" collapsed="1" x14ac:dyDescent="0.25">
      <c r="A43" s="29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29.74</v>
      </c>
      <c r="E43" s="1"/>
      <c r="F43" s="5">
        <f t="shared" si="28"/>
        <v>2.3706410375978568E-3</v>
      </c>
      <c r="G43" s="1"/>
      <c r="H43" s="1">
        <f>SUM(OSRRefH22_3x_0)</f>
        <v>13.33</v>
      </c>
      <c r="I43" s="1"/>
      <c r="J43" s="5">
        <f t="shared" si="29"/>
        <v>3.9163644362496226E-5</v>
      </c>
      <c r="K43" s="1"/>
      <c r="L43" s="1">
        <f t="shared" si="30"/>
        <v>16.409999999999997</v>
      </c>
      <c r="M43" s="1"/>
      <c r="N43" s="5">
        <f t="shared" si="31"/>
        <v>1.23105776444111</v>
      </c>
      <c r="O43" s="14"/>
      <c r="P43" s="1">
        <f>SUM(OSRRefP22_3x_0)</f>
        <v>29.74</v>
      </c>
      <c r="Q43" s="1"/>
      <c r="R43" s="5">
        <f t="shared" si="32"/>
        <v>2.3706410375978568E-3</v>
      </c>
      <c r="S43" s="1"/>
      <c r="T43" s="1">
        <f>SUM(OSRRefT22_3x_0)</f>
        <v>13.33</v>
      </c>
      <c r="U43" s="1"/>
      <c r="V43" s="5">
        <f t="shared" si="33"/>
        <v>2.8599391058246981E-5</v>
      </c>
      <c r="W43" s="1"/>
      <c r="X43" s="1">
        <f t="shared" si="34"/>
        <v>16.409999999999997</v>
      </c>
      <c r="Y43" s="1"/>
      <c r="Z43" s="5">
        <f t="shared" si="35"/>
        <v>1.23105776444111</v>
      </c>
    </row>
    <row r="44" spans="1:26" s="24" customFormat="1" hidden="1" outlineLevel="2" x14ac:dyDescent="0.25">
      <c r="A44" s="28"/>
      <c r="B44" s="11" t="str">
        <f>CONCATENATE("          ", "6272", " - ", "CASH (OVER/SHORT)")</f>
        <v xml:space="preserve">          6272 - CASH (OVER/SHORT)</v>
      </c>
      <c r="C44" s="11"/>
      <c r="D44" s="7">
        <v>29.74</v>
      </c>
      <c r="E44" s="2"/>
      <c r="F44" s="6">
        <f t="shared" si="28"/>
        <v>2.3706410375978568E-3</v>
      </c>
      <c r="G44" s="2"/>
      <c r="H44" s="7">
        <v>13.33</v>
      </c>
      <c r="I44" s="2"/>
      <c r="J44" s="6">
        <f t="shared" si="29"/>
        <v>3.9163644362496226E-5</v>
      </c>
      <c r="K44" s="2"/>
      <c r="L44" s="7">
        <f t="shared" si="30"/>
        <v>16.409999999999997</v>
      </c>
      <c r="M44" s="2"/>
      <c r="N44" s="6">
        <f t="shared" si="31"/>
        <v>1.23105776444111</v>
      </c>
      <c r="O44" s="11"/>
      <c r="P44" s="7">
        <v>29.74</v>
      </c>
      <c r="Q44" s="2"/>
      <c r="R44" s="6">
        <f t="shared" si="32"/>
        <v>2.3706410375978568E-3</v>
      </c>
      <c r="S44" s="2"/>
      <c r="T44" s="7">
        <v>13.33</v>
      </c>
      <c r="U44" s="2"/>
      <c r="V44" s="6">
        <f t="shared" si="33"/>
        <v>2.8599391058246981E-5</v>
      </c>
      <c r="W44" s="2"/>
      <c r="X44" s="7">
        <f t="shared" si="34"/>
        <v>16.409999999999997</v>
      </c>
      <c r="Y44" s="2"/>
      <c r="Z44" s="6">
        <f t="shared" si="35"/>
        <v>1.23105776444111</v>
      </c>
    </row>
    <row r="45" spans="1:26" s="27" customFormat="1" outlineLevel="1" collapsed="1" x14ac:dyDescent="0.25">
      <c r="A45" s="29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7.46</v>
      </c>
      <c r="I45" s="1"/>
      <c r="J45" s="5">
        <f t="shared" si="29"/>
        <v>2.1917538405417991E-5</v>
      </c>
      <c r="K45" s="1"/>
      <c r="L45" s="1">
        <f t="shared" si="30"/>
        <v>-7.46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13.8</v>
      </c>
      <c r="U45" s="1"/>
      <c r="V45" s="5">
        <f t="shared" si="33"/>
        <v>2.9607771688207678E-5</v>
      </c>
      <c r="W45" s="1"/>
      <c r="X45" s="1">
        <f t="shared" si="34"/>
        <v>-13.8</v>
      </c>
      <c r="Y45" s="1"/>
      <c r="Z45" s="5">
        <f t="shared" si="35"/>
        <v>-1</v>
      </c>
    </row>
    <row r="46" spans="1:26" s="24" customFormat="1" hidden="1" outlineLevel="2" x14ac:dyDescent="0.25">
      <c r="A46" s="28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7.46</v>
      </c>
      <c r="I46" s="2"/>
      <c r="J46" s="6">
        <f t="shared" si="29"/>
        <v>2.1917538405417991E-5</v>
      </c>
      <c r="K46" s="2"/>
      <c r="L46" s="7">
        <f t="shared" si="30"/>
        <v>-7.46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13.8</v>
      </c>
      <c r="U46" s="2"/>
      <c r="V46" s="6">
        <f t="shared" si="33"/>
        <v>2.9607771688207678E-5</v>
      </c>
      <c r="W46" s="2"/>
      <c r="X46" s="7">
        <f t="shared" si="34"/>
        <v>-13.8</v>
      </c>
      <c r="Y46" s="2"/>
      <c r="Z46" s="6">
        <f t="shared" si="35"/>
        <v>-1</v>
      </c>
    </row>
    <row r="47" spans="1:26" s="27" customFormat="1" outlineLevel="1" collapsed="1" x14ac:dyDescent="0.25">
      <c r="A47" s="29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213.02</v>
      </c>
      <c r="E47" s="1"/>
      <c r="F47" s="5">
        <f t="shared" si="28"/>
        <v>1.6980294345295747E-2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213.02</v>
      </c>
      <c r="M47" s="1"/>
      <c r="N47" s="5">
        <f t="shared" si="31"/>
        <v>0</v>
      </c>
      <c r="O47" s="14"/>
      <c r="P47" s="1">
        <f>SUM(OSRRefP22_5x_0)</f>
        <v>639.05999999999995</v>
      </c>
      <c r="Q47" s="1"/>
      <c r="R47" s="5">
        <f t="shared" si="32"/>
        <v>5.094088303588723E-2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639.05999999999995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213.02</v>
      </c>
      <c r="E48" s="2"/>
      <c r="F48" s="6">
        <f t="shared" si="28"/>
        <v>1.6980294345295747E-2</v>
      </c>
      <c r="G48" s="2"/>
      <c r="H48" s="7"/>
      <c r="I48" s="2"/>
      <c r="J48" s="6">
        <f t="shared" si="29"/>
        <v>0</v>
      </c>
      <c r="K48" s="2"/>
      <c r="L48" s="7">
        <f t="shared" si="30"/>
        <v>213.02</v>
      </c>
      <c r="M48" s="2"/>
      <c r="N48" s="6">
        <f t="shared" si="31"/>
        <v>0</v>
      </c>
      <c r="O48" s="11"/>
      <c r="P48" s="7">
        <v>639.05999999999995</v>
      </c>
      <c r="Q48" s="2"/>
      <c r="R48" s="6">
        <f t="shared" si="32"/>
        <v>5.094088303588723E-2</v>
      </c>
      <c r="S48" s="2"/>
      <c r="T48" s="7"/>
      <c r="U48" s="2"/>
      <c r="V48" s="6">
        <f t="shared" si="33"/>
        <v>0</v>
      </c>
      <c r="W48" s="2"/>
      <c r="X48" s="7">
        <f t="shared" si="34"/>
        <v>639.05999999999995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3205.87</v>
      </c>
      <c r="I49" s="1"/>
      <c r="J49" s="5">
        <f t="shared" si="29"/>
        <v>9.4188711592194871E-3</v>
      </c>
      <c r="K49" s="1"/>
      <c r="L49" s="1">
        <f t="shared" si="30"/>
        <v>-3205.87</v>
      </c>
      <c r="M49" s="1"/>
      <c r="N49" s="5">
        <f t="shared" si="31"/>
        <v>-1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5032.93</v>
      </c>
      <c r="U49" s="1"/>
      <c r="V49" s="5">
        <f t="shared" si="33"/>
        <v>1.0798104519038483E-2</v>
      </c>
      <c r="W49" s="1"/>
      <c r="X49" s="1">
        <f t="shared" si="34"/>
        <v>-5032.93</v>
      </c>
      <c r="Y49" s="1"/>
      <c r="Z49" s="5">
        <f t="shared" si="35"/>
        <v>-1</v>
      </c>
    </row>
    <row r="50" spans="1:26" s="24" customFormat="1" hidden="1" outlineLevel="2" x14ac:dyDescent="0.25">
      <c r="A50" s="28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28"/>
        <v>0</v>
      </c>
      <c r="G50" s="2"/>
      <c r="H50" s="7">
        <v>3205.87</v>
      </c>
      <c r="I50" s="2"/>
      <c r="J50" s="6">
        <f t="shared" si="29"/>
        <v>9.4188711592194871E-3</v>
      </c>
      <c r="K50" s="2"/>
      <c r="L50" s="7">
        <f t="shared" si="30"/>
        <v>-3205.87</v>
      </c>
      <c r="M50" s="2"/>
      <c r="N50" s="6">
        <f t="shared" si="31"/>
        <v>-1</v>
      </c>
      <c r="O50" s="11"/>
      <c r="P50" s="7"/>
      <c r="Q50" s="2"/>
      <c r="R50" s="6">
        <f t="shared" si="32"/>
        <v>0</v>
      </c>
      <c r="S50" s="2"/>
      <c r="T50" s="7">
        <v>5032.93</v>
      </c>
      <c r="U50" s="2"/>
      <c r="V50" s="6">
        <f t="shared" si="33"/>
        <v>1.0798104519038483E-2</v>
      </c>
      <c r="W50" s="2"/>
      <c r="X50" s="7">
        <f t="shared" si="34"/>
        <v>-5032.93</v>
      </c>
      <c r="Y50" s="2"/>
      <c r="Z50" s="6">
        <f t="shared" si="35"/>
        <v>-1</v>
      </c>
    </row>
    <row r="51" spans="1:26" s="27" customFormat="1" outlineLevel="1" collapsed="1" x14ac:dyDescent="0.25">
      <c r="A51" s="29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21.34</v>
      </c>
      <c r="I51" s="1"/>
      <c r="J51" s="5">
        <f t="shared" si="29"/>
        <v>6.269708707394369E-5</v>
      </c>
      <c r="K51" s="1"/>
      <c r="L51" s="1">
        <f t="shared" si="30"/>
        <v>-21.34</v>
      </c>
      <c r="M51" s="1"/>
      <c r="N51" s="5">
        <f t="shared" si="31"/>
        <v>-1</v>
      </c>
      <c r="O51" s="14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21.34</v>
      </c>
      <c r="U51" s="1"/>
      <c r="V51" s="5">
        <f t="shared" si="33"/>
        <v>4.5784771581619696E-5</v>
      </c>
      <c r="W51" s="1"/>
      <c r="X51" s="1">
        <f t="shared" si="34"/>
        <v>-21.34</v>
      </c>
      <c r="Y51" s="1"/>
      <c r="Z51" s="5">
        <f t="shared" si="35"/>
        <v>-1</v>
      </c>
    </row>
    <row r="52" spans="1:26" s="24" customFormat="1" hidden="1" outlineLevel="2" x14ac:dyDescent="0.25">
      <c r="A52" s="28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>
        <v>21.34</v>
      </c>
      <c r="I52" s="2"/>
      <c r="J52" s="6">
        <f t="shared" si="29"/>
        <v>6.269708707394369E-5</v>
      </c>
      <c r="K52" s="2"/>
      <c r="L52" s="7">
        <f t="shared" si="30"/>
        <v>-21.34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21.34</v>
      </c>
      <c r="U52" s="2"/>
      <c r="V52" s="6">
        <f t="shared" si="33"/>
        <v>4.5784771581619696E-5</v>
      </c>
      <c r="W52" s="2"/>
      <c r="X52" s="7">
        <f t="shared" si="34"/>
        <v>-21.34</v>
      </c>
      <c r="Y52" s="2"/>
      <c r="Z52" s="6">
        <f t="shared" si="35"/>
        <v>-1</v>
      </c>
    </row>
    <row r="53" spans="1:26" s="27" customFormat="1" outlineLevel="1" collapsed="1" x14ac:dyDescent="0.25">
      <c r="A53" s="29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0</v>
      </c>
      <c r="E53" s="1"/>
      <c r="F53" s="5">
        <f t="shared" si="28"/>
        <v>0</v>
      </c>
      <c r="G53" s="1"/>
      <c r="H53" s="1">
        <f>SUM(OSRRefH22_8x_0)</f>
        <v>-732.6</v>
      </c>
      <c r="I53" s="1"/>
      <c r="J53" s="5">
        <f t="shared" si="29"/>
        <v>-2.1523845356312631E-3</v>
      </c>
      <c r="K53" s="1"/>
      <c r="L53" s="1">
        <f t="shared" si="30"/>
        <v>732.6</v>
      </c>
      <c r="M53" s="1"/>
      <c r="N53" s="5">
        <f t="shared" si="31"/>
        <v>-1</v>
      </c>
      <c r="O53" s="14"/>
      <c r="P53" s="1">
        <f>SUM(OSRRefP22_8x_0)</f>
        <v>20</v>
      </c>
      <c r="Q53" s="1"/>
      <c r="R53" s="5">
        <f t="shared" si="32"/>
        <v>1.5942441409535016E-3</v>
      </c>
      <c r="S53" s="1"/>
      <c r="T53" s="1">
        <f>SUM(OSRRefT22_8x_0)</f>
        <v>0.01</v>
      </c>
      <c r="U53" s="1"/>
      <c r="V53" s="5">
        <f t="shared" si="33"/>
        <v>2.1454907020440347E-8</v>
      </c>
      <c r="W53" s="1"/>
      <c r="X53" s="1">
        <f t="shared" si="34"/>
        <v>19.989999999999998</v>
      </c>
      <c r="Y53" s="1"/>
      <c r="Z53" s="5">
        <f t="shared" si="35"/>
        <v>1998.9999999999998</v>
      </c>
    </row>
    <row r="54" spans="1:26" s="24" customFormat="1" hidden="1" outlineLevel="2" x14ac:dyDescent="0.25">
      <c r="A54" s="28"/>
      <c r="B54" s="11" t="str">
        <f>CONCATENATE("          ", "6351", " - ", "EQUIPMENT RENTAL")</f>
        <v xml:space="preserve">          6351 - EQUIPMENT RENTAL</v>
      </c>
      <c r="C54" s="11"/>
      <c r="D54" s="7"/>
      <c r="E54" s="2"/>
      <c r="F54" s="6">
        <f t="shared" si="28"/>
        <v>0</v>
      </c>
      <c r="G54" s="2"/>
      <c r="H54" s="7">
        <v>-732.6</v>
      </c>
      <c r="I54" s="2"/>
      <c r="J54" s="6">
        <f t="shared" si="29"/>
        <v>-2.1523845356312631E-3</v>
      </c>
      <c r="K54" s="2"/>
      <c r="L54" s="7">
        <f t="shared" si="30"/>
        <v>732.6</v>
      </c>
      <c r="M54" s="2"/>
      <c r="N54" s="6">
        <f t="shared" si="31"/>
        <v>-1</v>
      </c>
      <c r="O54" s="11"/>
      <c r="P54" s="7">
        <v>20</v>
      </c>
      <c r="Q54" s="2"/>
      <c r="R54" s="6">
        <f t="shared" si="32"/>
        <v>1.5942441409535016E-3</v>
      </c>
      <c r="S54" s="2"/>
      <c r="T54" s="7">
        <v>0.01</v>
      </c>
      <c r="U54" s="2"/>
      <c r="V54" s="6">
        <f t="shared" si="33"/>
        <v>2.1454907020440347E-8</v>
      </c>
      <c r="W54" s="2"/>
      <c r="X54" s="7">
        <f t="shared" si="34"/>
        <v>19.989999999999998</v>
      </c>
      <c r="Y54" s="2"/>
      <c r="Z54" s="6">
        <f t="shared" si="35"/>
        <v>1998.9999999999998</v>
      </c>
    </row>
    <row r="55" spans="1:26" s="27" customFormat="1" outlineLevel="1" collapsed="1" x14ac:dyDescent="0.25">
      <c r="A55" s="29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SUM(OSRRefP22_9x_0)</f>
        <v>1439.55</v>
      </c>
      <c r="Q55" s="1"/>
      <c r="R55" s="5">
        <f t="shared" si="32"/>
        <v>0.11474970765548066</v>
      </c>
      <c r="S55" s="1"/>
      <c r="T55" s="1">
        <f>SUM(OSRRefT22_9x_0)</f>
        <v>1517.11</v>
      </c>
      <c r="U55" s="1"/>
      <c r="V55" s="5">
        <f t="shared" si="33"/>
        <v>3.2549453989780251E-3</v>
      </c>
      <c r="W55" s="1"/>
      <c r="X55" s="1">
        <f t="shared" si="34"/>
        <v>-77.559999999999945</v>
      </c>
      <c r="Y55" s="1"/>
      <c r="Z55" s="5">
        <f t="shared" si="35"/>
        <v>-5.1123517740967996E-2</v>
      </c>
    </row>
    <row r="56" spans="1:26" s="24" customFormat="1" hidden="1" outlineLevel="2" x14ac:dyDescent="0.25">
      <c r="A56" s="28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/>
      <c r="I56" s="2"/>
      <c r="J56" s="6">
        <f t="shared" si="29"/>
        <v>0</v>
      </c>
      <c r="K56" s="2"/>
      <c r="L56" s="7">
        <f t="shared" si="30"/>
        <v>0</v>
      </c>
      <c r="M56" s="2"/>
      <c r="N56" s="6">
        <f t="shared" si="31"/>
        <v>0</v>
      </c>
      <c r="O56" s="11"/>
      <c r="P56" s="7">
        <v>1439.55</v>
      </c>
      <c r="Q56" s="2"/>
      <c r="R56" s="6">
        <f t="shared" si="32"/>
        <v>0.11474970765548066</v>
      </c>
      <c r="S56" s="2"/>
      <c r="T56" s="7">
        <v>1517.11</v>
      </c>
      <c r="U56" s="2"/>
      <c r="V56" s="6">
        <f t="shared" si="33"/>
        <v>3.2549453989780251E-3</v>
      </c>
      <c r="W56" s="2"/>
      <c r="X56" s="7">
        <f t="shared" si="34"/>
        <v>-77.559999999999945</v>
      </c>
      <c r="Y56" s="2"/>
      <c r="Z56" s="6">
        <f t="shared" si="35"/>
        <v>-5.1123517740967996E-2</v>
      </c>
    </row>
    <row r="57" spans="1:26" s="27" customFormat="1" outlineLevel="1" collapsed="1" x14ac:dyDescent="0.25">
      <c r="A57" s="29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5.9</v>
      </c>
      <c r="E57" s="1"/>
      <c r="F57" s="5">
        <f t="shared" si="28"/>
        <v>4.7030202158128301E-4</v>
      </c>
      <c r="G57" s="1"/>
      <c r="H57" s="1">
        <f>SUM(OSRRefH22_10x_0)</f>
        <v>5.9</v>
      </c>
      <c r="I57" s="1"/>
      <c r="J57" s="5">
        <f t="shared" si="29"/>
        <v>1.7334246191952567E-5</v>
      </c>
      <c r="K57" s="1"/>
      <c r="L57" s="1">
        <f t="shared" si="30"/>
        <v>0</v>
      </c>
      <c r="M57" s="1"/>
      <c r="N57" s="5">
        <f t="shared" si="31"/>
        <v>0</v>
      </c>
      <c r="O57" s="14"/>
      <c r="P57" s="1">
        <f>SUM(OSRRefP22_10x_0)</f>
        <v>17.7</v>
      </c>
      <c r="Q57" s="1"/>
      <c r="R57" s="5">
        <f t="shared" si="32"/>
        <v>1.4109060647438489E-3</v>
      </c>
      <c r="S57" s="1"/>
      <c r="T57" s="1">
        <f>SUM(OSRRefT22_10x_0)</f>
        <v>17.7</v>
      </c>
      <c r="U57" s="1"/>
      <c r="V57" s="5">
        <f t="shared" si="33"/>
        <v>3.7975185426179411E-5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8"/>
      <c r="B58" s="11" t="str">
        <f>CONCATENATE("          ", "6314", " - ", "LIABILITY INSURANCE")</f>
        <v xml:space="preserve">          6314 - LIABILITY INSURANCE</v>
      </c>
      <c r="C58" s="11"/>
      <c r="D58" s="7">
        <v>5.9</v>
      </c>
      <c r="E58" s="2"/>
      <c r="F58" s="6">
        <f t="shared" si="28"/>
        <v>4.7030202158128301E-4</v>
      </c>
      <c r="G58" s="2"/>
      <c r="H58" s="7">
        <v>5.9</v>
      </c>
      <c r="I58" s="2"/>
      <c r="J58" s="6">
        <f t="shared" si="29"/>
        <v>1.7334246191952567E-5</v>
      </c>
      <c r="K58" s="2"/>
      <c r="L58" s="7">
        <f t="shared" si="30"/>
        <v>0</v>
      </c>
      <c r="M58" s="2"/>
      <c r="N58" s="6">
        <f t="shared" si="31"/>
        <v>0</v>
      </c>
      <c r="O58" s="11"/>
      <c r="P58" s="7">
        <v>17.7</v>
      </c>
      <c r="Q58" s="2"/>
      <c r="R58" s="6">
        <f t="shared" si="32"/>
        <v>1.4109060647438489E-3</v>
      </c>
      <c r="S58" s="2"/>
      <c r="T58" s="7">
        <v>17.7</v>
      </c>
      <c r="U58" s="2"/>
      <c r="V58" s="6">
        <f t="shared" si="33"/>
        <v>3.7975185426179411E-5</v>
      </c>
      <c r="W58" s="2"/>
      <c r="X58" s="7">
        <f t="shared" si="34"/>
        <v>0</v>
      </c>
      <c r="Y58" s="2"/>
      <c r="Z58" s="6">
        <f t="shared" si="35"/>
        <v>0</v>
      </c>
    </row>
    <row r="59" spans="1:26" s="27" customFormat="1" outlineLevel="1" collapsed="1" x14ac:dyDescent="0.25">
      <c r="A59" s="29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0</v>
      </c>
      <c r="E59" s="1"/>
      <c r="F59" s="5">
        <f t="shared" si="28"/>
        <v>0</v>
      </c>
      <c r="G59" s="1"/>
      <c r="H59" s="1">
        <f>SUM(OSRRefH22_11x_0)</f>
        <v>25211.929999999997</v>
      </c>
      <c r="I59" s="1"/>
      <c r="J59" s="5">
        <f t="shared" si="29"/>
        <v>7.4072847727843158E-2</v>
      </c>
      <c r="K59" s="1"/>
      <c r="L59" s="1">
        <f t="shared" si="30"/>
        <v>-25211.929999999997</v>
      </c>
      <c r="M59" s="1"/>
      <c r="N59" s="5">
        <f t="shared" si="31"/>
        <v>-1</v>
      </c>
      <c r="O59" s="14"/>
      <c r="P59" s="1">
        <f>SUM(OSRRefP22_11x_0)</f>
        <v>0</v>
      </c>
      <c r="Q59" s="1"/>
      <c r="R59" s="5">
        <f t="shared" si="32"/>
        <v>0</v>
      </c>
      <c r="S59" s="1"/>
      <c r="T59" s="1">
        <f>SUM(OSRRefT22_11x_0)</f>
        <v>35153.129999999997</v>
      </c>
      <c r="U59" s="1"/>
      <c r="V59" s="5">
        <f t="shared" si="33"/>
        <v>7.5420713562745212E-2</v>
      </c>
      <c r="W59" s="1"/>
      <c r="X59" s="1">
        <f t="shared" si="34"/>
        <v>-35153.129999999997</v>
      </c>
      <c r="Y59" s="1"/>
      <c r="Z59" s="5">
        <f t="shared" si="35"/>
        <v>-1</v>
      </c>
    </row>
    <row r="60" spans="1:26" s="24" customFormat="1" hidden="1" outlineLevel="2" x14ac:dyDescent="0.25">
      <c r="A60" s="28"/>
      <c r="B60" s="11" t="str">
        <f>CONCATENATE("          ", "6387", " - ", "COMMISSION DUE HOUSING")</f>
        <v xml:space="preserve">          6387 - COMMISSION DUE HOUSING</v>
      </c>
      <c r="C60" s="11"/>
      <c r="D60" s="7"/>
      <c r="E60" s="2"/>
      <c r="F60" s="6">
        <f t="shared" si="28"/>
        <v>0</v>
      </c>
      <c r="G60" s="2"/>
      <c r="H60" s="7">
        <v>25211.929999999997</v>
      </c>
      <c r="I60" s="2"/>
      <c r="J60" s="6">
        <f t="shared" si="29"/>
        <v>7.4072847727843158E-2</v>
      </c>
      <c r="K60" s="2"/>
      <c r="L60" s="7">
        <f t="shared" si="30"/>
        <v>-25211.929999999997</v>
      </c>
      <c r="M60" s="2"/>
      <c r="N60" s="6">
        <f t="shared" si="31"/>
        <v>-1</v>
      </c>
      <c r="O60" s="11"/>
      <c r="P60" s="7"/>
      <c r="Q60" s="2"/>
      <c r="R60" s="6">
        <f t="shared" si="32"/>
        <v>0</v>
      </c>
      <c r="S60" s="2"/>
      <c r="T60" s="7">
        <v>35153.129999999997</v>
      </c>
      <c r="U60" s="2"/>
      <c r="V60" s="6">
        <f t="shared" si="33"/>
        <v>7.5420713562745212E-2</v>
      </c>
      <c r="W60" s="2"/>
      <c r="X60" s="7">
        <f t="shared" si="34"/>
        <v>-35153.129999999997</v>
      </c>
      <c r="Y60" s="2"/>
      <c r="Z60" s="6">
        <f t="shared" si="35"/>
        <v>-1</v>
      </c>
    </row>
    <row r="61" spans="1:26" s="27" customFormat="1" outlineLevel="1" collapsed="1" x14ac:dyDescent="0.25">
      <c r="A61" s="29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72.349999999999994</v>
      </c>
      <c r="E61" s="1"/>
      <c r="F61" s="5">
        <f t="shared" si="28"/>
        <v>5.7671781798992912E-3</v>
      </c>
      <c r="G61" s="1"/>
      <c r="H61" s="1">
        <f>SUM(OSRRefH22_12x_0)</f>
        <v>0</v>
      </c>
      <c r="I61" s="1"/>
      <c r="J61" s="5">
        <f t="shared" si="29"/>
        <v>0</v>
      </c>
      <c r="K61" s="1"/>
      <c r="L61" s="1">
        <f t="shared" si="30"/>
        <v>72.349999999999994</v>
      </c>
      <c r="M61" s="1"/>
      <c r="N61" s="5">
        <f t="shared" si="31"/>
        <v>0</v>
      </c>
      <c r="O61" s="14"/>
      <c r="P61" s="1">
        <f>SUM(OSRRefP22_12x_0)</f>
        <v>72.349999999999994</v>
      </c>
      <c r="Q61" s="1"/>
      <c r="R61" s="5">
        <f t="shared" si="32"/>
        <v>5.7671781798992912E-3</v>
      </c>
      <c r="S61" s="1"/>
      <c r="T61" s="1">
        <f>SUM(OSRRefT22_12x_0)</f>
        <v>0</v>
      </c>
      <c r="U61" s="1"/>
      <c r="V61" s="5">
        <f t="shared" si="33"/>
        <v>0</v>
      </c>
      <c r="W61" s="1"/>
      <c r="X61" s="1">
        <f t="shared" si="34"/>
        <v>72.349999999999994</v>
      </c>
      <c r="Y61" s="1"/>
      <c r="Z61" s="5">
        <f t="shared" si="35"/>
        <v>0</v>
      </c>
    </row>
    <row r="62" spans="1:26" s="24" customFormat="1" hidden="1" outlineLevel="2" x14ac:dyDescent="0.25">
      <c r="A62" s="28"/>
      <c r="B62" s="11" t="str">
        <f>CONCATENATE("          ", "6373", " - ", "MAINTENANCE CONTRACTS")</f>
        <v xml:space="preserve">          6373 - MAINTENANCE CONTRACTS</v>
      </c>
      <c r="C62" s="11"/>
      <c r="D62" s="7">
        <v>72.349999999999994</v>
      </c>
      <c r="E62" s="2"/>
      <c r="F62" s="6">
        <f t="shared" si="28"/>
        <v>5.7671781798992912E-3</v>
      </c>
      <c r="G62" s="2"/>
      <c r="H62" s="7"/>
      <c r="I62" s="2"/>
      <c r="J62" s="6">
        <f t="shared" si="29"/>
        <v>0</v>
      </c>
      <c r="K62" s="2"/>
      <c r="L62" s="7">
        <f t="shared" si="30"/>
        <v>72.349999999999994</v>
      </c>
      <c r="M62" s="2"/>
      <c r="N62" s="6">
        <f t="shared" si="31"/>
        <v>0</v>
      </c>
      <c r="O62" s="11"/>
      <c r="P62" s="7">
        <v>72.349999999999994</v>
      </c>
      <c r="Q62" s="2"/>
      <c r="R62" s="6">
        <f t="shared" si="32"/>
        <v>5.7671781798992912E-3</v>
      </c>
      <c r="S62" s="2"/>
      <c r="T62" s="7"/>
      <c r="U62" s="2"/>
      <c r="V62" s="6">
        <f t="shared" si="33"/>
        <v>0</v>
      </c>
      <c r="W62" s="2"/>
      <c r="X62" s="7">
        <f t="shared" si="34"/>
        <v>72.349999999999994</v>
      </c>
      <c r="Y62" s="2"/>
      <c r="Z62" s="6">
        <f t="shared" si="35"/>
        <v>0</v>
      </c>
    </row>
    <row r="63" spans="1:26" s="27" customFormat="1" outlineLevel="1" collapsed="1" x14ac:dyDescent="0.25">
      <c r="A63" s="29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0</v>
      </c>
      <c r="E63" s="1"/>
      <c r="F63" s="5">
        <f t="shared" si="28"/>
        <v>0</v>
      </c>
      <c r="G63" s="1"/>
      <c r="H63" s="1">
        <f>SUM(OSRRefH22_13x_0)</f>
        <v>6202.71</v>
      </c>
      <c r="I63" s="1"/>
      <c r="J63" s="5">
        <f t="shared" si="29"/>
        <v>1.8223610541912901E-2</v>
      </c>
      <c r="K63" s="1"/>
      <c r="L63" s="1">
        <f t="shared" si="30"/>
        <v>-6202.71</v>
      </c>
      <c r="M63" s="1"/>
      <c r="N63" s="5">
        <f t="shared" si="31"/>
        <v>-1</v>
      </c>
      <c r="O63" s="14"/>
      <c r="P63" s="1">
        <f>SUM(OSRRefP22_13x_0)</f>
        <v>741.41</v>
      </c>
      <c r="Q63" s="1"/>
      <c r="R63" s="5">
        <f t="shared" si="32"/>
        <v>5.9099427427216779E-2</v>
      </c>
      <c r="S63" s="1"/>
      <c r="T63" s="1">
        <f>SUM(OSRRefT22_13x_0)</f>
        <v>19410.919999999998</v>
      </c>
      <c r="U63" s="1"/>
      <c r="V63" s="5">
        <f t="shared" si="33"/>
        <v>4.1645948378120586E-2</v>
      </c>
      <c r="W63" s="1"/>
      <c r="X63" s="1">
        <f t="shared" si="34"/>
        <v>-18669.509999999998</v>
      </c>
      <c r="Y63" s="1"/>
      <c r="Z63" s="5">
        <f t="shared" si="35"/>
        <v>-0.96180448943172192</v>
      </c>
    </row>
    <row r="64" spans="1:26" s="24" customFormat="1" hidden="1" outlineLevel="2" x14ac:dyDescent="0.25">
      <c r="A64" s="28"/>
      <c r="B64" s="11" t="str">
        <f>CONCATENATE("          ", "6282", " - ", "JANITORIAL/EXTERMINATOR EXPENS")</f>
        <v xml:space="preserve">          6282 - JANITORIAL/EXTERMINATOR EXPENS</v>
      </c>
      <c r="C64" s="11"/>
      <c r="D64" s="7"/>
      <c r="E64" s="2"/>
      <c r="F64" s="6">
        <f t="shared" si="28"/>
        <v>0</v>
      </c>
      <c r="G64" s="2"/>
      <c r="H64" s="7">
        <v>669.64</v>
      </c>
      <c r="I64" s="2"/>
      <c r="J64" s="6">
        <f t="shared" si="29"/>
        <v>1.9674075627083248E-3</v>
      </c>
      <c r="K64" s="2"/>
      <c r="L64" s="7">
        <f t="shared" si="30"/>
        <v>-669.64</v>
      </c>
      <c r="M64" s="2"/>
      <c r="N64" s="6">
        <f t="shared" si="31"/>
        <v>-1</v>
      </c>
      <c r="O64" s="11"/>
      <c r="P64" s="7">
        <v>741.41</v>
      </c>
      <c r="Q64" s="2"/>
      <c r="R64" s="6">
        <f t="shared" si="32"/>
        <v>5.9099427427216779E-2</v>
      </c>
      <c r="S64" s="2"/>
      <c r="T64" s="7">
        <v>2158.92</v>
      </c>
      <c r="U64" s="2"/>
      <c r="V64" s="6">
        <f t="shared" si="33"/>
        <v>4.6319427864569074E-3</v>
      </c>
      <c r="W64" s="2"/>
      <c r="X64" s="7">
        <f t="shared" si="34"/>
        <v>-1417.5100000000002</v>
      </c>
      <c r="Y64" s="2"/>
      <c r="Z64" s="6">
        <f t="shared" si="35"/>
        <v>-0.6565829210901748</v>
      </c>
    </row>
    <row r="65" spans="1:26" s="24" customFormat="1" hidden="1" outlineLevel="2" x14ac:dyDescent="0.25">
      <c r="A65" s="28"/>
      <c r="B65" s="11" t="str">
        <f>CONCATENATE("          ", "6285", " - ", "JANITORIAL SERVICES")</f>
        <v xml:space="preserve">          6285 - JANITORIAL SERVICES</v>
      </c>
      <c r="C65" s="11"/>
      <c r="D65" s="7"/>
      <c r="E65" s="2"/>
      <c r="F65" s="6">
        <f t="shared" si="28"/>
        <v>0</v>
      </c>
      <c r="G65" s="2"/>
      <c r="H65" s="7">
        <v>3799.27</v>
      </c>
      <c r="I65" s="2"/>
      <c r="J65" s="6">
        <f t="shared" si="29"/>
        <v>1.1162285005033835E-2</v>
      </c>
      <c r="K65" s="2"/>
      <c r="L65" s="7">
        <f t="shared" si="30"/>
        <v>-3799.27</v>
      </c>
      <c r="M65" s="2"/>
      <c r="N65" s="6">
        <f t="shared" si="31"/>
        <v>-1</v>
      </c>
      <c r="O65" s="11"/>
      <c r="P65" s="7"/>
      <c r="Q65" s="2"/>
      <c r="R65" s="6">
        <f t="shared" si="32"/>
        <v>0</v>
      </c>
      <c r="S65" s="2"/>
      <c r="T65" s="7">
        <v>12463.31</v>
      </c>
      <c r="U65" s="2"/>
      <c r="V65" s="6">
        <f t="shared" si="33"/>
        <v>2.6739915721692434E-2</v>
      </c>
      <c r="W65" s="2"/>
      <c r="X65" s="7">
        <f t="shared" si="34"/>
        <v>-12463.31</v>
      </c>
      <c r="Y65" s="2"/>
      <c r="Z65" s="6">
        <f t="shared" si="35"/>
        <v>-1</v>
      </c>
    </row>
    <row r="66" spans="1:26" s="24" customFormat="1" hidden="1" outlineLevel="2" x14ac:dyDescent="0.25">
      <c r="A66" s="28"/>
      <c r="B66" s="11" t="str">
        <f>CONCATENATE("          ", "6286", " - ", "LAUNDRY EXPENSE")</f>
        <v xml:space="preserve">          6286 - LAUNDRY EXPENSE</v>
      </c>
      <c r="C66" s="11"/>
      <c r="D66" s="7"/>
      <c r="E66" s="2"/>
      <c r="F66" s="6">
        <f t="shared" si="28"/>
        <v>0</v>
      </c>
      <c r="G66" s="2"/>
      <c r="H66" s="7">
        <v>1733.8</v>
      </c>
      <c r="I66" s="2"/>
      <c r="J66" s="6">
        <f t="shared" si="29"/>
        <v>5.0939179741707388E-3</v>
      </c>
      <c r="K66" s="2"/>
      <c r="L66" s="7">
        <f t="shared" si="30"/>
        <v>-1733.8</v>
      </c>
      <c r="M66" s="2"/>
      <c r="N66" s="6">
        <f t="shared" si="31"/>
        <v>-1</v>
      </c>
      <c r="O66" s="11"/>
      <c r="P66" s="7"/>
      <c r="Q66" s="2"/>
      <c r="R66" s="6">
        <f t="shared" si="32"/>
        <v>0</v>
      </c>
      <c r="S66" s="2"/>
      <c r="T66" s="7">
        <v>4788.6899999999996</v>
      </c>
      <c r="U66" s="2"/>
      <c r="V66" s="6">
        <f t="shared" si="33"/>
        <v>1.0274089869971248E-2</v>
      </c>
      <c r="W66" s="2"/>
      <c r="X66" s="7">
        <f t="shared" si="34"/>
        <v>-4788.6899999999996</v>
      </c>
      <c r="Y66" s="2"/>
      <c r="Z66" s="6">
        <f t="shared" si="35"/>
        <v>-1</v>
      </c>
    </row>
    <row r="67" spans="1:26" s="27" customFormat="1" outlineLevel="1" collapsed="1" x14ac:dyDescent="0.25">
      <c r="A67" s="29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0</v>
      </c>
      <c r="E67" s="1"/>
      <c r="F67" s="5">
        <f t="shared" ref="F67:F73" si="36">IF(D$12=0,0,D67/D$12)</f>
        <v>0</v>
      </c>
      <c r="G67" s="1"/>
      <c r="H67" s="1">
        <f>SUM(OSRRefH22_14x_0)</f>
        <v>3035.87</v>
      </c>
      <c r="I67" s="1"/>
      <c r="J67" s="5">
        <f t="shared" ref="J67:J73" si="37">IF(H$12=0,0,H67/H$12)</f>
        <v>8.9194098282649216E-3</v>
      </c>
      <c r="K67" s="1"/>
      <c r="L67" s="1">
        <f t="shared" ref="L67:L73" si="38">+D67-H67</f>
        <v>-3035.87</v>
      </c>
      <c r="M67" s="1"/>
      <c r="N67" s="5">
        <f t="shared" ref="N67:N73" si="39">IF(H67=0,0,L67/H67)</f>
        <v>-1</v>
      </c>
      <c r="O67" s="14"/>
      <c r="P67" s="1">
        <f>SUM(OSRRefP22_14x_0)</f>
        <v>57.16</v>
      </c>
      <c r="Q67" s="1"/>
      <c r="R67" s="5">
        <f t="shared" ref="R67:R73" si="40">IF(P$12=0,0,P67/P$12)</f>
        <v>4.5563497548451069E-3</v>
      </c>
      <c r="S67" s="1"/>
      <c r="T67" s="1">
        <f>SUM(OSRRefT22_14x_0)</f>
        <v>21231.1</v>
      </c>
      <c r="U67" s="1"/>
      <c r="V67" s="5">
        <f t="shared" ref="V67:V73" si="41">IF(T$12=0,0,T67/T$12)</f>
        <v>4.5551127644167098E-2</v>
      </c>
      <c r="W67" s="1"/>
      <c r="X67" s="1">
        <f t="shared" ref="X67:X73" si="42">+P67-T67</f>
        <v>-21173.94</v>
      </c>
      <c r="Y67" s="1"/>
      <c r="Z67" s="5">
        <f t="shared" ref="Z67:Z73" si="43">IF(T67=0,0,X67/T67)</f>
        <v>-0.99730772310431393</v>
      </c>
    </row>
    <row r="68" spans="1:26" s="24" customFormat="1" hidden="1" outlineLevel="2" x14ac:dyDescent="0.25">
      <c r="A68" s="28"/>
      <c r="B68" s="11" t="str">
        <f>CONCATENATE("          ", "6237", " - ", "JANITORIAL SUPPLIES")</f>
        <v xml:space="preserve">          6237 - JANITORIAL SUPPLIES</v>
      </c>
      <c r="C68" s="11"/>
      <c r="D68" s="7"/>
      <c r="E68" s="2"/>
      <c r="F68" s="6">
        <f t="shared" si="36"/>
        <v>0</v>
      </c>
      <c r="G68" s="2"/>
      <c r="H68" s="7">
        <v>1417.51</v>
      </c>
      <c r="I68" s="2"/>
      <c r="J68" s="6">
        <f t="shared" si="37"/>
        <v>4.1646554778906244E-3</v>
      </c>
      <c r="K68" s="2"/>
      <c r="L68" s="7">
        <f t="shared" si="38"/>
        <v>-1417.51</v>
      </c>
      <c r="M68" s="2"/>
      <c r="N68" s="6">
        <f t="shared" si="39"/>
        <v>-1</v>
      </c>
      <c r="O68" s="11"/>
      <c r="P68" s="7"/>
      <c r="Q68" s="2"/>
      <c r="R68" s="6">
        <f t="shared" si="40"/>
        <v>0</v>
      </c>
      <c r="S68" s="2"/>
      <c r="T68" s="7">
        <v>4149.21</v>
      </c>
      <c r="U68" s="2"/>
      <c r="V68" s="6">
        <f t="shared" si="41"/>
        <v>8.9020914758281295E-3</v>
      </c>
      <c r="W68" s="2"/>
      <c r="X68" s="7">
        <f t="shared" si="42"/>
        <v>-4149.21</v>
      </c>
      <c r="Y68" s="2"/>
      <c r="Z68" s="6">
        <f t="shared" si="43"/>
        <v>-1</v>
      </c>
    </row>
    <row r="69" spans="1:26" s="24" customFormat="1" hidden="1" outlineLevel="2" x14ac:dyDescent="0.25">
      <c r="A69" s="28"/>
      <c r="B69" s="11" t="str">
        <f>CONCATENATE("          ", "6239", " - ", "KITCHEN SUPPLIES")</f>
        <v xml:space="preserve">          6239 - KITCHEN SUPPLIES</v>
      </c>
      <c r="C69" s="11"/>
      <c r="D69" s="7"/>
      <c r="E69" s="2"/>
      <c r="F69" s="6">
        <f t="shared" si="36"/>
        <v>0</v>
      </c>
      <c r="G69" s="2"/>
      <c r="H69" s="7">
        <v>96.08</v>
      </c>
      <c r="I69" s="2"/>
      <c r="J69" s="6">
        <f t="shared" si="37"/>
        <v>2.8228379222420386E-4</v>
      </c>
      <c r="K69" s="2"/>
      <c r="L69" s="7">
        <f t="shared" si="38"/>
        <v>-96.08</v>
      </c>
      <c r="M69" s="2"/>
      <c r="N69" s="6">
        <f t="shared" si="39"/>
        <v>-1</v>
      </c>
      <c r="O69" s="11"/>
      <c r="P69" s="7"/>
      <c r="Q69" s="2"/>
      <c r="R69" s="6">
        <f t="shared" si="40"/>
        <v>0</v>
      </c>
      <c r="S69" s="2"/>
      <c r="T69" s="7">
        <v>1835.8</v>
      </c>
      <c r="U69" s="2"/>
      <c r="V69" s="6">
        <f t="shared" si="41"/>
        <v>3.9386918308124391E-3</v>
      </c>
      <c r="W69" s="2"/>
      <c r="X69" s="7">
        <f t="shared" si="42"/>
        <v>-1835.8</v>
      </c>
      <c r="Y69" s="2"/>
      <c r="Z69" s="6">
        <f t="shared" si="43"/>
        <v>-1</v>
      </c>
    </row>
    <row r="70" spans="1:26" s="24" customFormat="1" hidden="1" outlineLevel="2" x14ac:dyDescent="0.25">
      <c r="A70" s="28"/>
      <c r="B70" s="11" t="str">
        <f>CONCATENATE("          ", "6241", " - ", "OFFICE EXPENSE")</f>
        <v xml:space="preserve">          6241 - OFFICE EXPENSE</v>
      </c>
      <c r="C70" s="11"/>
      <c r="D70" s="7"/>
      <c r="E70" s="2"/>
      <c r="F70" s="6">
        <f t="shared" si="36"/>
        <v>0</v>
      </c>
      <c r="G70" s="2"/>
      <c r="H70" s="7">
        <v>136.13</v>
      </c>
      <c r="I70" s="2"/>
      <c r="J70" s="6">
        <f t="shared" si="37"/>
        <v>3.999510057814412E-4</v>
      </c>
      <c r="K70" s="2"/>
      <c r="L70" s="7">
        <f t="shared" si="38"/>
        <v>-136.13</v>
      </c>
      <c r="M70" s="2"/>
      <c r="N70" s="6">
        <f t="shared" si="39"/>
        <v>-1</v>
      </c>
      <c r="O70" s="11"/>
      <c r="P70" s="7">
        <v>57.16</v>
      </c>
      <c r="Q70" s="2"/>
      <c r="R70" s="6">
        <f t="shared" si="40"/>
        <v>4.5563497548451069E-3</v>
      </c>
      <c r="S70" s="2"/>
      <c r="T70" s="7">
        <v>19358.41</v>
      </c>
      <c r="U70" s="2"/>
      <c r="V70" s="6">
        <f t="shared" si="41"/>
        <v>4.1533288661356263E-2</v>
      </c>
      <c r="W70" s="2"/>
      <c r="X70" s="7">
        <f t="shared" si="42"/>
        <v>-19301.25</v>
      </c>
      <c r="Y70" s="2"/>
      <c r="Z70" s="6">
        <f t="shared" si="43"/>
        <v>-0.99704727815972494</v>
      </c>
    </row>
    <row r="71" spans="1:26" s="24" customFormat="1" hidden="1" outlineLevel="2" x14ac:dyDescent="0.25">
      <c r="A71" s="28"/>
      <c r="B71" s="11" t="str">
        <f>CONCATENATE("          ", "6243", " - ", "PAPER SUPPLIES")</f>
        <v xml:space="preserve">          6243 - PAPER SUPPLIES</v>
      </c>
      <c r="C71" s="11"/>
      <c r="D71" s="7"/>
      <c r="E71" s="2"/>
      <c r="F71" s="6">
        <f t="shared" si="36"/>
        <v>0</v>
      </c>
      <c r="G71" s="2"/>
      <c r="H71" s="7">
        <v>1386.15</v>
      </c>
      <c r="I71" s="2"/>
      <c r="J71" s="6">
        <f t="shared" si="37"/>
        <v>4.0725195523686527E-3</v>
      </c>
      <c r="K71" s="2"/>
      <c r="L71" s="7">
        <f t="shared" si="38"/>
        <v>-1386.15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3506.3</v>
      </c>
      <c r="U71" s="2"/>
      <c r="V71" s="6">
        <f t="shared" si="41"/>
        <v>7.5227340485769989E-3</v>
      </c>
      <c r="W71" s="2"/>
      <c r="X71" s="7">
        <f t="shared" si="42"/>
        <v>-3506.3</v>
      </c>
      <c r="Y71" s="2"/>
      <c r="Z71" s="6">
        <f t="shared" si="43"/>
        <v>-1</v>
      </c>
    </row>
    <row r="72" spans="1:26" s="24" customFormat="1" hidden="1" outlineLevel="2" x14ac:dyDescent="0.25">
      <c r="A72" s="28"/>
      <c r="B72" s="11" t="str">
        <f>CONCATENATE("          ", "6245", " - ", "PRINTING")</f>
        <v xml:space="preserve">          6245 - PRINTING</v>
      </c>
      <c r="C72" s="11"/>
      <c r="D72" s="7"/>
      <c r="E72" s="2"/>
      <c r="F72" s="6">
        <f t="shared" si="36"/>
        <v>0</v>
      </c>
      <c r="G72" s="2"/>
      <c r="H72" s="7"/>
      <c r="I72" s="2"/>
      <c r="J72" s="6">
        <f t="shared" si="37"/>
        <v>0</v>
      </c>
      <c r="K72" s="2"/>
      <c r="L72" s="7">
        <f t="shared" si="38"/>
        <v>0</v>
      </c>
      <c r="M72" s="2"/>
      <c r="N72" s="6">
        <f t="shared" si="39"/>
        <v>0</v>
      </c>
      <c r="O72" s="11"/>
      <c r="P72" s="7"/>
      <c r="Q72" s="2"/>
      <c r="R72" s="6">
        <f t="shared" si="40"/>
        <v>0</v>
      </c>
      <c r="S72" s="2"/>
      <c r="T72" s="7">
        <v>441</v>
      </c>
      <c r="U72" s="2"/>
      <c r="V72" s="6">
        <f t="shared" si="41"/>
        <v>9.4616139960141928E-4</v>
      </c>
      <c r="W72" s="2"/>
      <c r="X72" s="7">
        <f t="shared" si="42"/>
        <v>-441</v>
      </c>
      <c r="Y72" s="2"/>
      <c r="Z72" s="6">
        <f t="shared" si="43"/>
        <v>-1</v>
      </c>
    </row>
    <row r="73" spans="1:26" s="24" customFormat="1" hidden="1" outlineLevel="2" x14ac:dyDescent="0.25">
      <c r="A73" s="28"/>
      <c r="B73" s="11" t="str">
        <f>CONCATENATE("          ", "6248", " - ", "UNIFORMS")</f>
        <v xml:space="preserve">          6248 - UNIFORMS</v>
      </c>
      <c r="C73" s="11"/>
      <c r="D73" s="7"/>
      <c r="E73" s="2"/>
      <c r="F73" s="6">
        <f t="shared" si="36"/>
        <v>0</v>
      </c>
      <c r="G73" s="2"/>
      <c r="H73" s="7"/>
      <c r="I73" s="2"/>
      <c r="J73" s="6">
        <f t="shared" si="37"/>
        <v>0</v>
      </c>
      <c r="K73" s="2"/>
      <c r="L73" s="7">
        <f t="shared" si="38"/>
        <v>0</v>
      </c>
      <c r="M73" s="2"/>
      <c r="N73" s="6">
        <f t="shared" si="39"/>
        <v>0</v>
      </c>
      <c r="O73" s="11"/>
      <c r="P73" s="7"/>
      <c r="Q73" s="2"/>
      <c r="R73" s="6">
        <f t="shared" si="40"/>
        <v>0</v>
      </c>
      <c r="S73" s="2"/>
      <c r="T73" s="7">
        <v>-8059.62</v>
      </c>
      <c r="U73" s="2"/>
      <c r="V73" s="6">
        <f t="shared" si="41"/>
        <v>-1.7291839772008141E-2</v>
      </c>
      <c r="W73" s="2"/>
      <c r="X73" s="7">
        <f t="shared" si="42"/>
        <v>8059.62</v>
      </c>
      <c r="Y73" s="2"/>
      <c r="Z73" s="6">
        <f t="shared" si="43"/>
        <v>-1</v>
      </c>
    </row>
    <row r="74" spans="1:26" s="27" customFormat="1" outlineLevel="1" collapsed="1" x14ac:dyDescent="0.25">
      <c r="A74" s="29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190</v>
      </c>
      <c r="E74" s="1"/>
      <c r="F74" s="5">
        <f t="shared" ref="F74:F79" si="44">IF(D$12=0,0,D74/D$12)</f>
        <v>1.5145319339058265E-2</v>
      </c>
      <c r="G74" s="1"/>
      <c r="H74" s="1">
        <f>SUM(OSRRefH22_15x_0)</f>
        <v>283</v>
      </c>
      <c r="I74" s="1"/>
      <c r="J74" s="5">
        <f t="shared" ref="J74:J79" si="45">IF(H$12=0,0,H74/H$12)</f>
        <v>8.3145621564789435E-4</v>
      </c>
      <c r="K74" s="1"/>
      <c r="L74" s="1">
        <f t="shared" ref="L74:L79" si="46">+D74-H74</f>
        <v>-93</v>
      </c>
      <c r="M74" s="1"/>
      <c r="N74" s="5">
        <f t="shared" ref="N74:N79" si="47">IF(H74=0,0,L74/H74)</f>
        <v>-0.32862190812720848</v>
      </c>
      <c r="O74" s="14"/>
      <c r="P74" s="1">
        <f>SUM(OSRRefP22_15x_0)</f>
        <v>408</v>
      </c>
      <c r="Q74" s="1"/>
      <c r="R74" s="5">
        <f t="shared" ref="R74:R79" si="48">IF(P$12=0,0,P74/P$12)</f>
        <v>3.2522580475451431E-2</v>
      </c>
      <c r="S74" s="1"/>
      <c r="T74" s="1">
        <f>SUM(OSRRefT22_15x_0)</f>
        <v>444.9</v>
      </c>
      <c r="U74" s="1"/>
      <c r="V74" s="5">
        <f t="shared" ref="V74:V79" si="49">IF(T$12=0,0,T74/T$12)</f>
        <v>9.5452881333939091E-4</v>
      </c>
      <c r="W74" s="1"/>
      <c r="X74" s="1">
        <f t="shared" ref="X74:X79" si="50">+P74-T74</f>
        <v>-36.899999999999977</v>
      </c>
      <c r="Y74" s="1"/>
      <c r="Z74" s="5">
        <f t="shared" ref="Z74:Z79" si="51">IF(T74=0,0,X74/T74)</f>
        <v>-8.2939986513823283E-2</v>
      </c>
    </row>
    <row r="75" spans="1:26" s="24" customFormat="1" hidden="1" outlineLevel="2" x14ac:dyDescent="0.25">
      <c r="A75" s="28"/>
      <c r="B75" s="11" t="str">
        <f>CONCATENATE("          ", "6309", " - ", "TELEPHONE")</f>
        <v xml:space="preserve">          6309 - TELEPHONE</v>
      </c>
      <c r="C75" s="11"/>
      <c r="D75" s="7">
        <v>190</v>
      </c>
      <c r="E75" s="2"/>
      <c r="F75" s="6">
        <f t="shared" si="44"/>
        <v>1.5145319339058265E-2</v>
      </c>
      <c r="G75" s="2"/>
      <c r="H75" s="7">
        <v>283</v>
      </c>
      <c r="I75" s="2"/>
      <c r="J75" s="6">
        <f t="shared" si="45"/>
        <v>8.3145621564789435E-4</v>
      </c>
      <c r="K75" s="2"/>
      <c r="L75" s="7">
        <f t="shared" si="46"/>
        <v>-93</v>
      </c>
      <c r="M75" s="2"/>
      <c r="N75" s="6">
        <f t="shared" si="47"/>
        <v>-0.32862190812720848</v>
      </c>
      <c r="O75" s="11"/>
      <c r="P75" s="7">
        <v>408</v>
      </c>
      <c r="Q75" s="2"/>
      <c r="R75" s="6">
        <f t="shared" si="48"/>
        <v>3.2522580475451431E-2</v>
      </c>
      <c r="S75" s="2"/>
      <c r="T75" s="7">
        <v>444.9</v>
      </c>
      <c r="U75" s="2"/>
      <c r="V75" s="6">
        <f t="shared" si="49"/>
        <v>9.5452881333939091E-4</v>
      </c>
      <c r="W75" s="2"/>
      <c r="X75" s="7">
        <f t="shared" si="50"/>
        <v>-36.899999999999977</v>
      </c>
      <c r="Y75" s="2"/>
      <c r="Z75" s="6">
        <f t="shared" si="51"/>
        <v>-8.2939986513823283E-2</v>
      </c>
    </row>
    <row r="76" spans="1:26" s="27" customFormat="1" outlineLevel="1" collapsed="1" x14ac:dyDescent="0.25">
      <c r="A76" s="29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SUM(OSRRefD22_16x_0)</f>
        <v>0</v>
      </c>
      <c r="E76" s="1"/>
      <c r="F76" s="5">
        <f t="shared" si="44"/>
        <v>0</v>
      </c>
      <c r="G76" s="1"/>
      <c r="H76" s="1">
        <f>SUM(OSRRefH22_16x_0)</f>
        <v>0</v>
      </c>
      <c r="I76" s="1"/>
      <c r="J76" s="5">
        <f t="shared" si="45"/>
        <v>0</v>
      </c>
      <c r="K76" s="1"/>
      <c r="L76" s="1">
        <f t="shared" si="46"/>
        <v>0</v>
      </c>
      <c r="M76" s="1"/>
      <c r="N76" s="5">
        <f t="shared" si="47"/>
        <v>0</v>
      </c>
      <c r="O76" s="14"/>
      <c r="P76" s="1">
        <f>SUM(OSRRefP22_16x_0)</f>
        <v>0</v>
      </c>
      <c r="Q76" s="1"/>
      <c r="R76" s="5">
        <f t="shared" si="48"/>
        <v>0</v>
      </c>
      <c r="S76" s="1"/>
      <c r="T76" s="1">
        <f>SUM(OSRRefT22_16x_0)</f>
        <v>1107.78</v>
      </c>
      <c r="U76" s="1"/>
      <c r="V76" s="5">
        <f t="shared" si="49"/>
        <v>2.3767316899103406E-3</v>
      </c>
      <c r="W76" s="1"/>
      <c r="X76" s="1">
        <f t="shared" si="50"/>
        <v>-1107.78</v>
      </c>
      <c r="Y76" s="1"/>
      <c r="Z76" s="5">
        <f t="shared" si="51"/>
        <v>-1</v>
      </c>
    </row>
    <row r="77" spans="1:26" s="24" customFormat="1" hidden="1" outlineLevel="2" x14ac:dyDescent="0.25">
      <c r="A77" s="28"/>
      <c r="B77" s="11" t="str">
        <f>CONCATENATE("          ", "6376", " - ", "TRAINING")</f>
        <v xml:space="preserve">          6376 - TRAINING</v>
      </c>
      <c r="C77" s="11"/>
      <c r="D77" s="7"/>
      <c r="E77" s="2"/>
      <c r="F77" s="6">
        <f t="shared" si="44"/>
        <v>0</v>
      </c>
      <c r="G77" s="2"/>
      <c r="H77" s="7"/>
      <c r="I77" s="2"/>
      <c r="J77" s="6">
        <f t="shared" si="45"/>
        <v>0</v>
      </c>
      <c r="K77" s="2"/>
      <c r="L77" s="7">
        <f t="shared" si="46"/>
        <v>0</v>
      </c>
      <c r="M77" s="2"/>
      <c r="N77" s="6">
        <f t="shared" si="47"/>
        <v>0</v>
      </c>
      <c r="O77" s="11"/>
      <c r="P77" s="7"/>
      <c r="Q77" s="2"/>
      <c r="R77" s="6">
        <f t="shared" si="48"/>
        <v>0</v>
      </c>
      <c r="S77" s="2"/>
      <c r="T77" s="7">
        <v>1107.78</v>
      </c>
      <c r="U77" s="2"/>
      <c r="V77" s="6">
        <f t="shared" si="49"/>
        <v>2.3767316899103406E-3</v>
      </c>
      <c r="W77" s="2"/>
      <c r="X77" s="7">
        <f t="shared" si="50"/>
        <v>-1107.78</v>
      </c>
      <c r="Y77" s="2"/>
      <c r="Z77" s="6">
        <f t="shared" si="51"/>
        <v>-1</v>
      </c>
    </row>
    <row r="78" spans="1:26" s="27" customFormat="1" outlineLevel="1" collapsed="1" x14ac:dyDescent="0.25">
      <c r="A78" s="29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SUM(OSRRefD22_17x_0)</f>
        <v>0</v>
      </c>
      <c r="E78" s="1"/>
      <c r="F78" s="5">
        <f t="shared" si="44"/>
        <v>0</v>
      </c>
      <c r="G78" s="1"/>
      <c r="H78" s="1">
        <f>SUM(OSRRefH22_17x_0)</f>
        <v>0</v>
      </c>
      <c r="I78" s="1"/>
      <c r="J78" s="5">
        <f t="shared" si="45"/>
        <v>0</v>
      </c>
      <c r="K78" s="1"/>
      <c r="L78" s="1">
        <f t="shared" si="46"/>
        <v>0</v>
      </c>
      <c r="M78" s="1"/>
      <c r="N78" s="5">
        <f t="shared" si="47"/>
        <v>0</v>
      </c>
      <c r="O78" s="14"/>
      <c r="P78" s="1">
        <f>SUM(OSRRefP22_17x_0)</f>
        <v>0</v>
      </c>
      <c r="Q78" s="1"/>
      <c r="R78" s="5">
        <f t="shared" si="48"/>
        <v>0</v>
      </c>
      <c r="S78" s="1"/>
      <c r="T78" s="1">
        <f>SUM(OSRRefT22_17x_0)</f>
        <v>79.510000000000005</v>
      </c>
      <c r="U78" s="1"/>
      <c r="V78" s="5">
        <f t="shared" si="49"/>
        <v>1.7058796571952121E-4</v>
      </c>
      <c r="W78" s="1"/>
      <c r="X78" s="1">
        <f t="shared" si="50"/>
        <v>-79.510000000000005</v>
      </c>
      <c r="Y78" s="1"/>
      <c r="Z78" s="5">
        <f t="shared" si="51"/>
        <v>-1</v>
      </c>
    </row>
    <row r="79" spans="1:26" s="24" customFormat="1" hidden="1" outlineLevel="2" x14ac:dyDescent="0.25">
      <c r="A79" s="28"/>
      <c r="B79" s="11" t="str">
        <f>CONCATENATE("          ", "6292", " - ", "TRAVEL/CONFERENCE")</f>
        <v xml:space="preserve">          6292 - TRAVEL/CONFERENCE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/>
      <c r="Q79" s="2"/>
      <c r="R79" s="6">
        <f t="shared" si="48"/>
        <v>0</v>
      </c>
      <c r="S79" s="2"/>
      <c r="T79" s="7">
        <v>79.510000000000005</v>
      </c>
      <c r="U79" s="2"/>
      <c r="V79" s="6">
        <f t="shared" si="49"/>
        <v>1.7058796571952121E-4</v>
      </c>
      <c r="W79" s="2"/>
      <c r="X79" s="7">
        <f t="shared" si="50"/>
        <v>-79.510000000000005</v>
      </c>
      <c r="Y79" s="2"/>
      <c r="Z79" s="6">
        <f t="shared" si="51"/>
        <v>-1</v>
      </c>
    </row>
    <row r="80" spans="1:26" s="60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6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5" t="s">
        <v>3</v>
      </c>
      <c r="C83" s="25"/>
      <c r="D83" s="22">
        <f>+D21-D23+D81</f>
        <v>-28479.559999999998</v>
      </c>
      <c r="E83" s="13"/>
      <c r="F83" s="21">
        <f>IF(D$12=0,0,D83/D$12)</f>
        <v>-2.2701685833466851</v>
      </c>
      <c r="G83" s="13"/>
      <c r="H83" s="22">
        <f>+H21-H23+H81</f>
        <v>130930.20000000001</v>
      </c>
      <c r="I83" s="13"/>
      <c r="J83" s="21">
        <f>IF(H$12=0,0,H83/H$12)</f>
        <v>0.38467395267145565</v>
      </c>
      <c r="K83" s="15"/>
      <c r="L83" s="22">
        <f>+D83-H83</f>
        <v>-159409.76</v>
      </c>
      <c r="M83" s="15"/>
      <c r="N83" s="21">
        <f>IF(H83=0,0,L83/H83)</f>
        <v>-1.2175171198088752</v>
      </c>
      <c r="O83" s="26"/>
      <c r="P83" s="22">
        <f>+P21-P23+P81</f>
        <v>-107101.48</v>
      </c>
      <c r="Q83" s="13"/>
      <c r="R83" s="21">
        <f>IF(P$12=0,0,P83/P$12)</f>
        <v>-8.5372953488724317</v>
      </c>
      <c r="S83" s="13"/>
      <c r="T83" s="22">
        <f>+T21-T23+T81</f>
        <v>31207.799999999988</v>
      </c>
      <c r="U83" s="13"/>
      <c r="V83" s="21">
        <f>IF(T$12=0,0,T83/T$12)</f>
        <v>6.6956044731249803E-2</v>
      </c>
      <c r="W83" s="15"/>
      <c r="X83" s="22">
        <f>+P83-T83</f>
        <v>-138309.27999999997</v>
      </c>
      <c r="Y83" s="15"/>
      <c r="Z83" s="21">
        <f>IF(T83=0,0,X83/T83)</f>
        <v>-4.4318817731464577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2324.04</v>
      </c>
      <c r="E85" s="4"/>
      <c r="F85" s="12">
        <f>IF(D$12=0,0,D85/D$12)</f>
        <v>0.18525435766707879</v>
      </c>
      <c r="G85" s="4"/>
      <c r="H85" s="4">
        <v>34388.800000000003</v>
      </c>
      <c r="I85" s="4"/>
      <c r="J85" s="12">
        <f>IF(H$12=0,0,H85/H$12)</f>
        <v>0.10103456363488449</v>
      </c>
      <c r="K85" s="4"/>
      <c r="L85" s="4">
        <f>+D85-H85</f>
        <v>-32064.760000000002</v>
      </c>
      <c r="M85" s="4"/>
      <c r="N85" s="12">
        <f>IF(H85=0,0,L85/H85)</f>
        <v>-0.93241869445866099</v>
      </c>
      <c r="O85" s="10"/>
      <c r="P85" s="4">
        <v>2324.04</v>
      </c>
      <c r="Q85" s="4"/>
      <c r="R85" s="12">
        <f>IF(P$12=0,0,P85/P$12)</f>
        <v>0.18525435766707879</v>
      </c>
      <c r="S85" s="4"/>
      <c r="T85" s="4">
        <v>50064.65</v>
      </c>
      <c r="U85" s="4"/>
      <c r="V85" s="12">
        <f>IF(T$12=0,0,T85/T$12)</f>
        <v>0.10741324107608888</v>
      </c>
      <c r="W85" s="4"/>
      <c r="X85" s="4">
        <f>+P85-T85</f>
        <v>-47740.61</v>
      </c>
      <c r="Y85" s="4"/>
      <c r="Z85" s="12">
        <f>IF(T85=0,0,X85/T85)</f>
        <v>-0.95357922206586887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5" t="s">
        <v>4</v>
      </c>
      <c r="C87" s="25"/>
      <c r="D87" s="33">
        <f>+D83-D85</f>
        <v>-30803.599999999999</v>
      </c>
      <c r="E87" s="13"/>
      <c r="F87" s="32">
        <f>IF(D$12=0,0,D87/D$12)</f>
        <v>-2.4554229410137638</v>
      </c>
      <c r="G87" s="13"/>
      <c r="H87" s="33">
        <f>+H83-H85</f>
        <v>96541.400000000009</v>
      </c>
      <c r="I87" s="13"/>
      <c r="J87" s="32">
        <f>IF(H$12=0,0,H87/H$12)</f>
        <v>0.28363938903657115</v>
      </c>
      <c r="K87" s="15"/>
      <c r="L87" s="33">
        <f>D87-H87</f>
        <v>-127345</v>
      </c>
      <c r="M87" s="15"/>
      <c r="N87" s="32">
        <f>IF(H87=0,0,L87/H87)</f>
        <v>-1.3190714035636524</v>
      </c>
      <c r="O87" s="26"/>
      <c r="P87" s="33">
        <f>+P83-P85</f>
        <v>-109425.51999999999</v>
      </c>
      <c r="Q87" s="13"/>
      <c r="R87" s="32">
        <f>IF(P$12=0,0,P87/P$12)</f>
        <v>-8.7225497065395103</v>
      </c>
      <c r="S87" s="13"/>
      <c r="T87" s="33">
        <f>+T83-T85</f>
        <v>-18856.850000000013</v>
      </c>
      <c r="U87" s="13"/>
      <c r="V87" s="32">
        <f>IF(T$12=0,0,T87/T$12)</f>
        <v>-4.0457196344839082E-2</v>
      </c>
      <c r="W87" s="15"/>
      <c r="X87" s="33">
        <f>P87-T87</f>
        <v>-90568.669999999984</v>
      </c>
      <c r="Y87" s="15"/>
      <c r="Z87" s="32">
        <f>IF(T87=0,0,X87/T87)</f>
        <v>4.802958606554113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5" t="s">
        <v>5</v>
      </c>
      <c r="C90" s="25"/>
      <c r="D90" s="34">
        <f>SUM(D87:D89)</f>
        <v>-30803.599999999999</v>
      </c>
      <c r="E90" s="13"/>
      <c r="F90" s="31">
        <f>IF(D$12=0,0,D90/D$12)</f>
        <v>-2.4554229410137638</v>
      </c>
      <c r="G90" s="13"/>
      <c r="H90" s="34">
        <f>SUM(H87:H89)</f>
        <v>96541.400000000009</v>
      </c>
      <c r="I90" s="13"/>
      <c r="J90" s="31">
        <f>IF(H$12=0,0,H90/H$12)</f>
        <v>0.28363938903657115</v>
      </c>
      <c r="K90" s="15"/>
      <c r="L90" s="34">
        <f>+D90-H90</f>
        <v>-127345</v>
      </c>
      <c r="M90" s="15"/>
      <c r="N90" s="31">
        <f>IF(H90=0,0,L90/H90)</f>
        <v>-1.3190714035636524</v>
      </c>
      <c r="O90" s="26"/>
      <c r="P90" s="34">
        <f>SUM(P87:P89)</f>
        <v>-109425.51999999999</v>
      </c>
      <c r="Q90" s="13"/>
      <c r="R90" s="31">
        <f>IF(P$12=0,0,P90/P$12)</f>
        <v>-8.7225497065395103</v>
      </c>
      <c r="S90" s="13"/>
      <c r="T90" s="34">
        <f>SUM(T87:T89)</f>
        <v>-18856.850000000013</v>
      </c>
      <c r="U90" s="13"/>
      <c r="V90" s="31">
        <f>IF(T$12=0,0,T90/T$12)</f>
        <v>-4.0457196344839082E-2</v>
      </c>
      <c r="W90" s="15"/>
      <c r="X90" s="34">
        <f>+P90-T90</f>
        <v>-90568.669999999984</v>
      </c>
      <c r="Y90" s="15"/>
      <c r="Z90" s="31">
        <f>IF(T90=0,0,X90/T90)</f>
        <v>4.802958606554113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2"/>
      <c r="K91" s="18"/>
      <c r="L91" s="18"/>
      <c r="M91" s="18"/>
      <c r="P91" s="18"/>
      <c r="Q91" s="18"/>
      <c r="R91" s="42"/>
      <c r="S91" s="18"/>
      <c r="T91" s="18"/>
      <c r="U91" s="18"/>
      <c r="V91" s="42"/>
      <c r="W91" s="18"/>
      <c r="X91" s="18"/>
    </row>
    <row r="92" spans="1:26" x14ac:dyDescent="0.25">
      <c r="A92" s="9"/>
      <c r="B92" s="54">
        <v>44123.565857094909</v>
      </c>
      <c r="D92" s="18"/>
      <c r="E92" s="18"/>
      <c r="G92" s="18"/>
      <c r="H92" s="18"/>
      <c r="I92" s="18"/>
      <c r="J92" s="42"/>
      <c r="K92" s="18"/>
      <c r="L92" s="18"/>
      <c r="M92" s="18"/>
      <c r="P92" s="18"/>
      <c r="Q92" s="18"/>
      <c r="R92" s="42"/>
      <c r="S92" s="18"/>
      <c r="T92" s="18"/>
      <c r="U92" s="18"/>
      <c r="V92" s="42"/>
      <c r="W92" s="18"/>
      <c r="X92" s="18"/>
    </row>
    <row r="93" spans="1:26" x14ac:dyDescent="0.25">
      <c r="A93" s="9"/>
      <c r="B93" s="59" t="s">
        <v>313</v>
      </c>
      <c r="D93" s="18"/>
      <c r="E93" s="18"/>
      <c r="G93" s="18"/>
      <c r="H93" s="18"/>
      <c r="I93" s="18"/>
      <c r="J93" s="42"/>
      <c r="K93" s="18"/>
      <c r="L93" s="18"/>
      <c r="M93" s="18"/>
      <c r="P93" s="18"/>
      <c r="Q93" s="18"/>
      <c r="R93" s="42"/>
      <c r="S93" s="18"/>
      <c r="T93" s="18"/>
      <c r="U93" s="18"/>
      <c r="V93" s="42"/>
      <c r="W93" s="18"/>
      <c r="X93" s="18"/>
    </row>
    <row r="94" spans="1:26" x14ac:dyDescent="0.25">
      <c r="A94" s="9"/>
      <c r="B94" s="58"/>
      <c r="D94" s="18"/>
      <c r="E94" s="18"/>
      <c r="G94" s="18"/>
      <c r="H94" s="18"/>
      <c r="I94" s="18"/>
      <c r="J94" s="42"/>
      <c r="K94" s="18"/>
      <c r="L94" s="18"/>
      <c r="M94" s="18"/>
      <c r="P94" s="18"/>
      <c r="Q94" s="18"/>
      <c r="R94" s="42"/>
      <c r="S94" s="18"/>
      <c r="T94" s="18"/>
      <c r="U94" s="18"/>
      <c r="V94" s="42"/>
      <c r="W94" s="18"/>
      <c r="X94" s="18"/>
    </row>
    <row r="95" spans="1:26" x14ac:dyDescent="0.25">
      <c r="D95" s="18"/>
      <c r="E95" s="18"/>
      <c r="G95" s="18"/>
      <c r="H95" s="18"/>
      <c r="I95" s="18"/>
      <c r="J95" s="42"/>
      <c r="K95" s="18"/>
      <c r="L95" s="18"/>
      <c r="M95" s="18"/>
      <c r="P95" s="18"/>
      <c r="Q95" s="18"/>
      <c r="R95" s="42"/>
      <c r="S95" s="18"/>
      <c r="T95" s="18"/>
      <c r="U95" s="18"/>
      <c r="V95" s="42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">
        <v>296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30210</v>
      </c>
      <c r="E12" s="4"/>
      <c r="F12" s="12"/>
      <c r="G12" s="4"/>
      <c r="H12" s="4">
        <f>SUM(OSRRefH13x_0)</f>
        <v>28226</v>
      </c>
      <c r="I12" s="4"/>
      <c r="J12" s="12"/>
      <c r="K12" s="4"/>
      <c r="L12" s="4">
        <f t="shared" ref="L12:L13" si="0">+D12-H12</f>
        <v>1984</v>
      </c>
      <c r="M12" s="4"/>
      <c r="N12" s="12">
        <f t="shared" ref="N12:N13" si="1">IF(H12=0,0,L12/H12)</f>
        <v>7.028980372706016E-2</v>
      </c>
      <c r="O12" s="10"/>
      <c r="P12" s="4">
        <f>SUM(OSRRefP13x_0)</f>
        <v>118042</v>
      </c>
      <c r="Q12" s="4"/>
      <c r="R12" s="12"/>
      <c r="S12" s="4"/>
      <c r="T12" s="4">
        <f>SUM(OSRRefT13x_0)</f>
        <v>96112</v>
      </c>
      <c r="U12" s="4"/>
      <c r="V12" s="12"/>
      <c r="W12" s="4"/>
      <c r="X12" s="4">
        <f t="shared" ref="X12:X13" si="2">+P12-T12</f>
        <v>21930</v>
      </c>
      <c r="Y12" s="4"/>
      <c r="Z12" s="12">
        <f t="shared" ref="Z12:Z13" si="3">IF(T12=0,0,X12/T12)</f>
        <v>0.2281713001498252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--30210</f>
        <v>30210</v>
      </c>
      <c r="E13" s="2"/>
      <c r="F13" s="19"/>
      <c r="G13" s="2"/>
      <c r="H13" s="2">
        <f>--28226</f>
        <v>28226</v>
      </c>
      <c r="I13" s="2"/>
      <c r="J13" s="19"/>
      <c r="K13" s="2"/>
      <c r="L13" s="2">
        <f t="shared" si="0"/>
        <v>1984</v>
      </c>
      <c r="M13" s="2"/>
      <c r="N13" s="19">
        <f t="shared" si="1"/>
        <v>7.028980372706016E-2</v>
      </c>
      <c r="O13" s="11"/>
      <c r="P13" s="2">
        <f>--118042</f>
        <v>118042</v>
      </c>
      <c r="Q13" s="2"/>
      <c r="R13" s="19"/>
      <c r="S13" s="2"/>
      <c r="T13" s="2">
        <f>--96112</f>
        <v>96112</v>
      </c>
      <c r="U13" s="2"/>
      <c r="V13" s="19"/>
      <c r="W13" s="2"/>
      <c r="X13" s="2">
        <f t="shared" si="2"/>
        <v>21930</v>
      </c>
      <c r="Y13" s="2"/>
      <c r="Z13" s="19">
        <f t="shared" si="3"/>
        <v>0.2281713001498252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2">
        <f>D12-D15</f>
        <v>30210</v>
      </c>
      <c r="E17" s="13"/>
      <c r="F17" s="21">
        <f>IF(D$12=0,0,D17/D$12)</f>
        <v>1</v>
      </c>
      <c r="G17" s="13"/>
      <c r="H17" s="22">
        <f>H12-H15</f>
        <v>28226</v>
      </c>
      <c r="I17" s="13"/>
      <c r="J17" s="21">
        <f>IF(H$12=0,0,H17/H$12)</f>
        <v>1</v>
      </c>
      <c r="K17" s="15"/>
      <c r="L17" s="22">
        <f>+D17-H17</f>
        <v>1984</v>
      </c>
      <c r="M17" s="15"/>
      <c r="N17" s="21">
        <f>IF(H17=0,0,L17/H17)</f>
        <v>7.028980372706016E-2</v>
      </c>
      <c r="O17" s="26"/>
      <c r="P17" s="22">
        <f>P12-P15</f>
        <v>118042</v>
      </c>
      <c r="Q17" s="13"/>
      <c r="R17" s="21">
        <f>IF(P$12=0,0,P17/P$12)</f>
        <v>1</v>
      </c>
      <c r="S17" s="13"/>
      <c r="T17" s="22">
        <f>T12-T15</f>
        <v>96112</v>
      </c>
      <c r="U17" s="13"/>
      <c r="V17" s="21">
        <f>IF(T$12=0,0,T17/T$12)</f>
        <v>1</v>
      </c>
      <c r="W17" s="15"/>
      <c r="X17" s="22">
        <f>+P17-T17</f>
        <v>21930</v>
      </c>
      <c r="Y17" s="15"/>
      <c r="Z17" s="21">
        <f>IF(T17=0,0,X17/T17)</f>
        <v>0.2281713001498252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25727.17</v>
      </c>
      <c r="E19" s="20"/>
      <c r="F19" s="36">
        <f t="shared" ref="F19:F29" si="4">IF(D$12=0,0,D19/D$12)</f>
        <v>0.85161105594174114</v>
      </c>
      <c r="G19" s="20"/>
      <c r="H19" s="20">
        <f>SUM(OSRRefH22x_0)</f>
        <v>30098.410000000003</v>
      </c>
      <c r="I19" s="20"/>
      <c r="J19" s="36">
        <f t="shared" ref="J19:J29" si="5">IF(H$12=0,0,H19/H$12)</f>
        <v>1.066336356550698</v>
      </c>
      <c r="K19" s="4"/>
      <c r="L19" s="20">
        <f t="shared" ref="L19:L29" si="6">+D19-H19</f>
        <v>-4371.2400000000052</v>
      </c>
      <c r="M19" s="4"/>
      <c r="N19" s="36">
        <f t="shared" ref="N19:N29" si="7">IF(H19=0,0,L19/H19)</f>
        <v>-0.14523159196781507</v>
      </c>
      <c r="O19" s="10"/>
      <c r="P19" s="20">
        <f>SUM(OSRRefP22x_0)</f>
        <v>103962.99</v>
      </c>
      <c r="Q19" s="20"/>
      <c r="R19" s="36">
        <f t="shared" ref="R19:R29" si="8">IF(P$12=0,0,P19/P$12)</f>
        <v>0.88072880839023404</v>
      </c>
      <c r="S19" s="20"/>
      <c r="T19" s="20">
        <f>SUM(OSRRefT22x_0)</f>
        <v>94698.610000000015</v>
      </c>
      <c r="U19" s="20"/>
      <c r="V19" s="36">
        <f t="shared" ref="V19:V29" si="9">IF(T$12=0,0,T19/T$12)</f>
        <v>0.98529434409855188</v>
      </c>
      <c r="W19" s="4"/>
      <c r="X19" s="20">
        <f t="shared" ref="X19:X29" si="10">+P19-T19</f>
        <v>9264.3799999999901</v>
      </c>
      <c r="Y19" s="4"/>
      <c r="Z19" s="36">
        <f t="shared" ref="Z19:Z29" si="11">IF(T19=0,0,X19/T19)</f>
        <v>9.7830158225131164E-2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3893.62</v>
      </c>
      <c r="E20" s="1"/>
      <c r="F20" s="5">
        <f t="shared" si="4"/>
        <v>0.12888513737173121</v>
      </c>
      <c r="G20" s="1"/>
      <c r="H20" s="1">
        <f>SUM(OSRRefH22_0x_0)</f>
        <v>4870.5900000000011</v>
      </c>
      <c r="I20" s="1"/>
      <c r="J20" s="5">
        <f t="shared" si="5"/>
        <v>0.17255686246722884</v>
      </c>
      <c r="K20" s="1"/>
      <c r="L20" s="1">
        <f t="shared" si="6"/>
        <v>-976.97000000000116</v>
      </c>
      <c r="M20" s="1"/>
      <c r="N20" s="5">
        <f t="shared" si="7"/>
        <v>-0.20058555534339803</v>
      </c>
      <c r="O20" s="14"/>
      <c r="P20" s="1">
        <f>SUM(OSRRefP22_0x_0)</f>
        <v>12176.65</v>
      </c>
      <c r="Q20" s="1"/>
      <c r="R20" s="5">
        <f t="shared" si="8"/>
        <v>0.10315523288321106</v>
      </c>
      <c r="S20" s="1"/>
      <c r="T20" s="1">
        <f>SUM(OSRRefT22_0x_0)</f>
        <v>13496.070000000002</v>
      </c>
      <c r="U20" s="1"/>
      <c r="V20" s="5">
        <f t="shared" si="9"/>
        <v>0.14042023888796407</v>
      </c>
      <c r="W20" s="1"/>
      <c r="X20" s="1">
        <f t="shared" si="10"/>
        <v>-1319.4200000000019</v>
      </c>
      <c r="Y20" s="1"/>
      <c r="Z20" s="5">
        <f t="shared" si="11"/>
        <v>-9.7763274790365035E-2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977.97</v>
      </c>
      <c r="E21" s="2"/>
      <c r="F21" s="6">
        <f t="shared" si="4"/>
        <v>3.2372393247269114E-2</v>
      </c>
      <c r="G21" s="2"/>
      <c r="H21" s="7">
        <v>1067.03</v>
      </c>
      <c r="I21" s="2"/>
      <c r="J21" s="6">
        <f t="shared" si="5"/>
        <v>3.7803089350244456E-2</v>
      </c>
      <c r="K21" s="2"/>
      <c r="L21" s="7">
        <f t="shared" si="6"/>
        <v>-89.059999999999945</v>
      </c>
      <c r="M21" s="2"/>
      <c r="N21" s="6">
        <f t="shared" si="7"/>
        <v>-8.3465319625502521E-2</v>
      </c>
      <c r="O21" s="11"/>
      <c r="P21" s="7">
        <v>3146.26</v>
      </c>
      <c r="Q21" s="2"/>
      <c r="R21" s="6">
        <f t="shared" si="8"/>
        <v>2.6653733416919404E-2</v>
      </c>
      <c r="S21" s="2"/>
      <c r="T21" s="7">
        <v>3424.24</v>
      </c>
      <c r="U21" s="2"/>
      <c r="V21" s="6">
        <f t="shared" si="9"/>
        <v>3.5627601132012653E-2</v>
      </c>
      <c r="W21" s="2"/>
      <c r="X21" s="7">
        <f t="shared" si="10"/>
        <v>-277.97999999999956</v>
      </c>
      <c r="Y21" s="2"/>
      <c r="Z21" s="6">
        <f t="shared" si="11"/>
        <v>-8.118005747260694E-2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82.4</v>
      </c>
      <c r="E22" s="2"/>
      <c r="F22" s="6">
        <f t="shared" si="4"/>
        <v>2.7275736511089047E-3</v>
      </c>
      <c r="G22" s="2"/>
      <c r="H22" s="7">
        <v>60.71</v>
      </c>
      <c r="I22" s="2"/>
      <c r="J22" s="6">
        <f t="shared" si="5"/>
        <v>2.1508538227166443E-3</v>
      </c>
      <c r="K22" s="2"/>
      <c r="L22" s="7">
        <f t="shared" si="6"/>
        <v>21.690000000000005</v>
      </c>
      <c r="M22" s="2"/>
      <c r="N22" s="6">
        <f t="shared" si="7"/>
        <v>0.35727227804315609</v>
      </c>
      <c r="O22" s="11"/>
      <c r="P22" s="7">
        <v>244.49</v>
      </c>
      <c r="Q22" s="2"/>
      <c r="R22" s="6">
        <f t="shared" si="8"/>
        <v>2.0712119415123432E-3</v>
      </c>
      <c r="S22" s="2"/>
      <c r="T22" s="7">
        <v>170.49</v>
      </c>
      <c r="U22" s="2"/>
      <c r="V22" s="6">
        <f t="shared" si="9"/>
        <v>1.7738679873480941E-3</v>
      </c>
      <c r="W22" s="2"/>
      <c r="X22" s="7">
        <f t="shared" si="10"/>
        <v>74</v>
      </c>
      <c r="Y22" s="2"/>
      <c r="Z22" s="6">
        <f t="shared" si="11"/>
        <v>0.4340430523784386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1250.75</v>
      </c>
      <c r="E23" s="2"/>
      <c r="F23" s="6">
        <f t="shared" si="4"/>
        <v>4.1401853690830853E-2</v>
      </c>
      <c r="G23" s="2"/>
      <c r="H23" s="7">
        <v>1243.31</v>
      </c>
      <c r="I23" s="2"/>
      <c r="J23" s="6">
        <f t="shared" si="5"/>
        <v>4.4048395096719338E-2</v>
      </c>
      <c r="K23" s="2"/>
      <c r="L23" s="7">
        <f t="shared" si="6"/>
        <v>7.4400000000000546</v>
      </c>
      <c r="M23" s="2"/>
      <c r="N23" s="6">
        <f t="shared" si="7"/>
        <v>5.9840265098809265E-3</v>
      </c>
      <c r="O23" s="11"/>
      <c r="P23" s="7">
        <v>3711.65</v>
      </c>
      <c r="Q23" s="2"/>
      <c r="R23" s="6">
        <f t="shared" si="8"/>
        <v>3.1443469273648363E-2</v>
      </c>
      <c r="S23" s="2"/>
      <c r="T23" s="7">
        <v>3729.93</v>
      </c>
      <c r="U23" s="2"/>
      <c r="V23" s="6">
        <f t="shared" si="9"/>
        <v>3.8808161311802897E-2</v>
      </c>
      <c r="W23" s="2"/>
      <c r="X23" s="7">
        <f t="shared" si="10"/>
        <v>-18.279999999999745</v>
      </c>
      <c r="Y23" s="2"/>
      <c r="Z23" s="6">
        <f t="shared" si="11"/>
        <v>-4.9008962634686836E-3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37.770000000000003</v>
      </c>
      <c r="E24" s="2"/>
      <c r="F24" s="6">
        <f t="shared" si="4"/>
        <v>1.2502482621648463E-3</v>
      </c>
      <c r="G24" s="2"/>
      <c r="H24" s="7">
        <v>46.4</v>
      </c>
      <c r="I24" s="2"/>
      <c r="J24" s="6">
        <f t="shared" si="5"/>
        <v>1.6438744420038261E-3</v>
      </c>
      <c r="K24" s="2"/>
      <c r="L24" s="7">
        <f t="shared" si="6"/>
        <v>-8.6299999999999955</v>
      </c>
      <c r="M24" s="2"/>
      <c r="N24" s="6">
        <f t="shared" si="7"/>
        <v>-0.18599137931034473</v>
      </c>
      <c r="O24" s="11"/>
      <c r="P24" s="7">
        <v>111.17</v>
      </c>
      <c r="Q24" s="2"/>
      <c r="R24" s="6">
        <f t="shared" si="8"/>
        <v>9.4178343301536745E-4</v>
      </c>
      <c r="S24" s="2"/>
      <c r="T24" s="7">
        <v>130.35</v>
      </c>
      <c r="U24" s="2"/>
      <c r="V24" s="6">
        <f t="shared" si="9"/>
        <v>1.3562302313967038E-3</v>
      </c>
      <c r="W24" s="2"/>
      <c r="X24" s="7">
        <f t="shared" si="10"/>
        <v>-19.179999999999993</v>
      </c>
      <c r="Y24" s="2"/>
      <c r="Z24" s="6">
        <f t="shared" si="11"/>
        <v>-0.14714230916762558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2.1196623634558095E-2</v>
      </c>
      <c r="G25" s="2"/>
      <c r="H25" s="7">
        <v>639.47</v>
      </c>
      <c r="I25" s="2"/>
      <c r="J25" s="6">
        <f t="shared" si="5"/>
        <v>2.2655353220435062E-2</v>
      </c>
      <c r="K25" s="2"/>
      <c r="L25" s="7">
        <f t="shared" si="6"/>
        <v>0.87999999999999545</v>
      </c>
      <c r="M25" s="2"/>
      <c r="N25" s="6">
        <f t="shared" si="7"/>
        <v>1.3761396156191776E-3</v>
      </c>
      <c r="O25" s="11"/>
      <c r="P25" s="7">
        <v>2220.14</v>
      </c>
      <c r="Q25" s="2"/>
      <c r="R25" s="6">
        <f t="shared" si="8"/>
        <v>1.8808051371545721E-2</v>
      </c>
      <c r="S25" s="2"/>
      <c r="T25" s="7">
        <v>1857.51</v>
      </c>
      <c r="U25" s="2"/>
      <c r="V25" s="6">
        <f t="shared" si="9"/>
        <v>1.9326514899284167E-2</v>
      </c>
      <c r="W25" s="2"/>
      <c r="X25" s="7">
        <f t="shared" si="10"/>
        <v>362.62999999999988</v>
      </c>
      <c r="Y25" s="2"/>
      <c r="Z25" s="6">
        <f t="shared" si="11"/>
        <v>0.1952237134658763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85.1</v>
      </c>
      <c r="E26" s="2"/>
      <c r="F26" s="6">
        <f t="shared" si="4"/>
        <v>2.8169480304534918E-3</v>
      </c>
      <c r="G26" s="2"/>
      <c r="H26" s="7"/>
      <c r="I26" s="2"/>
      <c r="J26" s="6">
        <f t="shared" si="5"/>
        <v>0</v>
      </c>
      <c r="K26" s="2"/>
      <c r="L26" s="7">
        <f t="shared" si="6"/>
        <v>85.1</v>
      </c>
      <c r="M26" s="2"/>
      <c r="N26" s="6">
        <f t="shared" si="7"/>
        <v>0</v>
      </c>
      <c r="O26" s="11"/>
      <c r="P26" s="7">
        <v>285.10000000000002</v>
      </c>
      <c r="Q26" s="2"/>
      <c r="R26" s="6">
        <f t="shared" si="8"/>
        <v>2.4152420324969081E-3</v>
      </c>
      <c r="S26" s="2"/>
      <c r="T26" s="7"/>
      <c r="U26" s="2"/>
      <c r="V26" s="6">
        <f t="shared" si="9"/>
        <v>0</v>
      </c>
      <c r="W26" s="2"/>
      <c r="X26" s="7">
        <f t="shared" si="10"/>
        <v>285.10000000000002</v>
      </c>
      <c r="Y26" s="2"/>
      <c r="Z26" s="6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520.02</v>
      </c>
      <c r="E27" s="2"/>
      <c r="F27" s="6">
        <f t="shared" si="4"/>
        <v>1.7213505461767625E-2</v>
      </c>
      <c r="G27" s="2"/>
      <c r="H27" s="7">
        <v>1076.3</v>
      </c>
      <c r="I27" s="2"/>
      <c r="J27" s="6">
        <f t="shared" si="5"/>
        <v>3.8131509955360306E-2</v>
      </c>
      <c r="K27" s="2"/>
      <c r="L27" s="7">
        <f t="shared" si="6"/>
        <v>-556.28</v>
      </c>
      <c r="M27" s="2"/>
      <c r="N27" s="6">
        <f t="shared" si="7"/>
        <v>-0.51684474588869278</v>
      </c>
      <c r="O27" s="11"/>
      <c r="P27" s="7">
        <v>1560.06</v>
      </c>
      <c r="Q27" s="2"/>
      <c r="R27" s="6">
        <f t="shared" si="8"/>
        <v>1.3216143406584096E-2</v>
      </c>
      <c r="S27" s="2"/>
      <c r="T27" s="7">
        <v>2470.08</v>
      </c>
      <c r="U27" s="2"/>
      <c r="V27" s="6">
        <f t="shared" si="9"/>
        <v>2.5700016647244882E-2</v>
      </c>
      <c r="W27" s="2"/>
      <c r="X27" s="7">
        <f t="shared" si="10"/>
        <v>-910.02</v>
      </c>
      <c r="Y27" s="2"/>
      <c r="Z27" s="6">
        <f t="shared" si="11"/>
        <v>-0.36841721725612125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299.26</v>
      </c>
      <c r="E28" s="2"/>
      <c r="F28" s="6">
        <f t="shared" si="4"/>
        <v>9.9059913935782857E-3</v>
      </c>
      <c r="G28" s="2"/>
      <c r="H28" s="7">
        <v>562.48</v>
      </c>
      <c r="I28" s="2"/>
      <c r="J28" s="6">
        <f t="shared" si="5"/>
        <v>1.9927726209877417E-2</v>
      </c>
      <c r="K28" s="2"/>
      <c r="L28" s="7">
        <f t="shared" si="6"/>
        <v>-263.22000000000003</v>
      </c>
      <c r="M28" s="2"/>
      <c r="N28" s="6">
        <f t="shared" si="7"/>
        <v>-0.46796330536196845</v>
      </c>
      <c r="O28" s="11"/>
      <c r="P28" s="7">
        <v>897.78</v>
      </c>
      <c r="Q28" s="2"/>
      <c r="R28" s="6">
        <f t="shared" si="8"/>
        <v>7.6055980074888601E-3</v>
      </c>
      <c r="S28" s="2"/>
      <c r="T28" s="7">
        <v>1255.7</v>
      </c>
      <c r="U28" s="2"/>
      <c r="V28" s="6">
        <f t="shared" si="9"/>
        <v>1.3064965873147994E-2</v>
      </c>
      <c r="W28" s="2"/>
      <c r="X28" s="7">
        <f t="shared" si="10"/>
        <v>-357.92000000000007</v>
      </c>
      <c r="Y28" s="2"/>
      <c r="Z28" s="6">
        <f t="shared" si="11"/>
        <v>-0.28503623476945134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174.89</v>
      </c>
      <c r="I29" s="2"/>
      <c r="J29" s="6">
        <f t="shared" si="5"/>
        <v>6.1960603698717493E-3</v>
      </c>
      <c r="K29" s="2"/>
      <c r="L29" s="7">
        <f t="shared" si="6"/>
        <v>-174.89</v>
      </c>
      <c r="M29" s="2"/>
      <c r="N29" s="6">
        <f t="shared" si="7"/>
        <v>-1</v>
      </c>
      <c r="O29" s="11"/>
      <c r="P29" s="7"/>
      <c r="Q29" s="2"/>
      <c r="R29" s="6">
        <f t="shared" si="8"/>
        <v>0</v>
      </c>
      <c r="S29" s="2"/>
      <c r="T29" s="7">
        <v>457.77</v>
      </c>
      <c r="U29" s="2"/>
      <c r="V29" s="6">
        <f t="shared" si="9"/>
        <v>4.7628808057266518E-3</v>
      </c>
      <c r="W29" s="2"/>
      <c r="X29" s="7">
        <f t="shared" si="10"/>
        <v>-457.77</v>
      </c>
      <c r="Y29" s="2"/>
      <c r="Z29" s="6">
        <f t="shared" si="11"/>
        <v>-1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13598.04</v>
      </c>
      <c r="E30" s="1"/>
      <c r="F30" s="5">
        <f t="shared" ref="F30:F35" si="12">IF(D$12=0,0,D30/D$12)</f>
        <v>0.45011717974180737</v>
      </c>
      <c r="G30" s="1"/>
      <c r="H30" s="1">
        <f>SUM(OSRRefH22_1x_0)</f>
        <v>17084.79</v>
      </c>
      <c r="I30" s="1"/>
      <c r="J30" s="5">
        <f t="shared" ref="J30:J35" si="13">IF(H$12=0,0,H30/H$12)</f>
        <v>0.60528555232764125</v>
      </c>
      <c r="K30" s="1"/>
      <c r="L30" s="1">
        <f t="shared" ref="L30:L35" si="14">+D30-H30</f>
        <v>-3486.75</v>
      </c>
      <c r="M30" s="1"/>
      <c r="N30" s="5">
        <f t="shared" ref="N30:N35" si="15">IF(H30=0,0,L30/H30)</f>
        <v>-0.20408503704171954</v>
      </c>
      <c r="O30" s="14"/>
      <c r="P30" s="1">
        <f>SUM(OSRRefP22_1x_0)</f>
        <v>46046.859999999993</v>
      </c>
      <c r="Q30" s="1"/>
      <c r="R30" s="5">
        <f t="shared" ref="R30:R35" si="16">IF(P$12=0,0,P30/P$12)</f>
        <v>0.39008878195896368</v>
      </c>
      <c r="S30" s="1"/>
      <c r="T30" s="1">
        <f>SUM(OSRRefT22_1x_0)</f>
        <v>53857.280000000006</v>
      </c>
      <c r="U30" s="1"/>
      <c r="V30" s="5">
        <f t="shared" ref="V30:V35" si="17">IF(T$12=0,0,T30/T$12)</f>
        <v>0.56035958048942902</v>
      </c>
      <c r="W30" s="1"/>
      <c r="X30" s="1">
        <f t="shared" ref="X30:X35" si="18">+P30-T30</f>
        <v>-7810.4200000000128</v>
      </c>
      <c r="Y30" s="1"/>
      <c r="Z30" s="5">
        <f t="shared" ref="Z30:Z35" si="19">IF(T30=0,0,X30/T30)</f>
        <v>-0.14502069172449875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4205.72</v>
      </c>
      <c r="E31" s="2"/>
      <c r="F31" s="6">
        <f t="shared" si="12"/>
        <v>0.139216153591526</v>
      </c>
      <c r="G31" s="2"/>
      <c r="H31" s="7"/>
      <c r="I31" s="2"/>
      <c r="J31" s="6">
        <f t="shared" si="13"/>
        <v>0</v>
      </c>
      <c r="K31" s="2"/>
      <c r="L31" s="7">
        <f t="shared" si="14"/>
        <v>4205.72</v>
      </c>
      <c r="M31" s="2"/>
      <c r="N31" s="6">
        <f t="shared" si="15"/>
        <v>0</v>
      </c>
      <c r="O31" s="11"/>
      <c r="P31" s="7">
        <v>13669.16</v>
      </c>
      <c r="Q31" s="2"/>
      <c r="R31" s="6">
        <f t="shared" si="16"/>
        <v>0.11579912234628352</v>
      </c>
      <c r="S31" s="2"/>
      <c r="T31" s="7"/>
      <c r="U31" s="2"/>
      <c r="V31" s="6">
        <f t="shared" si="17"/>
        <v>0</v>
      </c>
      <c r="W31" s="2"/>
      <c r="X31" s="7">
        <f t="shared" si="18"/>
        <v>13669.16</v>
      </c>
      <c r="Y31" s="2"/>
      <c r="Z31" s="6">
        <f t="shared" si="19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2282.3000000000002</v>
      </c>
      <c r="E32" s="2"/>
      <c r="F32" s="6">
        <f t="shared" si="12"/>
        <v>7.5547831843760349E-2</v>
      </c>
      <c r="G32" s="2"/>
      <c r="H32" s="7">
        <v>6017.64</v>
      </c>
      <c r="I32" s="2"/>
      <c r="J32" s="6">
        <f t="shared" si="13"/>
        <v>0.21319492666336004</v>
      </c>
      <c r="K32" s="2"/>
      <c r="L32" s="7">
        <f t="shared" si="14"/>
        <v>-3735.34</v>
      </c>
      <c r="M32" s="2"/>
      <c r="N32" s="6">
        <f t="shared" si="15"/>
        <v>-0.62073171542332206</v>
      </c>
      <c r="O32" s="11"/>
      <c r="P32" s="7">
        <v>6961.44</v>
      </c>
      <c r="Q32" s="2"/>
      <c r="R32" s="6">
        <f t="shared" si="16"/>
        <v>5.8974263397773667E-2</v>
      </c>
      <c r="S32" s="2"/>
      <c r="T32" s="7">
        <v>18232.95</v>
      </c>
      <c r="U32" s="2"/>
      <c r="V32" s="6">
        <f t="shared" si="17"/>
        <v>0.1897052397203263</v>
      </c>
      <c r="W32" s="2"/>
      <c r="X32" s="7">
        <f t="shared" si="18"/>
        <v>-11271.510000000002</v>
      </c>
      <c r="Y32" s="2"/>
      <c r="Z32" s="6">
        <f t="shared" si="19"/>
        <v>-0.6181945324261845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6363.16</v>
      </c>
      <c r="E33" s="2"/>
      <c r="F33" s="6">
        <f t="shared" si="12"/>
        <v>0.21063091691492883</v>
      </c>
      <c r="G33" s="2"/>
      <c r="H33" s="7">
        <v>8155.67</v>
      </c>
      <c r="I33" s="2"/>
      <c r="J33" s="6">
        <f t="shared" si="13"/>
        <v>0.28894175582796006</v>
      </c>
      <c r="K33" s="2"/>
      <c r="L33" s="7">
        <f t="shared" si="14"/>
        <v>-1792.5100000000002</v>
      </c>
      <c r="M33" s="2"/>
      <c r="N33" s="6">
        <f t="shared" si="15"/>
        <v>-0.21978697029183381</v>
      </c>
      <c r="O33" s="11"/>
      <c r="P33" s="7">
        <v>21005.52</v>
      </c>
      <c r="Q33" s="2"/>
      <c r="R33" s="6">
        <f t="shared" si="16"/>
        <v>0.17794954338286373</v>
      </c>
      <c r="S33" s="2"/>
      <c r="T33" s="7">
        <v>21350.06</v>
      </c>
      <c r="U33" s="2"/>
      <c r="V33" s="6">
        <f t="shared" si="17"/>
        <v>0.22213729815215583</v>
      </c>
      <c r="W33" s="2"/>
      <c r="X33" s="7">
        <f t="shared" si="18"/>
        <v>-344.54000000000087</v>
      </c>
      <c r="Y33" s="2"/>
      <c r="Z33" s="6">
        <f t="shared" si="19"/>
        <v>-1.6137659566296342E-2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>
        <v>-96.5</v>
      </c>
      <c r="E34" s="2"/>
      <c r="F34" s="6">
        <f t="shared" si="12"/>
        <v>-3.1943065210195301E-3</v>
      </c>
      <c r="G34" s="2"/>
      <c r="H34" s="7">
        <v>2136.91</v>
      </c>
      <c r="I34" s="2"/>
      <c r="J34" s="6">
        <f t="shared" si="13"/>
        <v>7.5707149436689575E-2</v>
      </c>
      <c r="K34" s="2"/>
      <c r="L34" s="7">
        <f t="shared" si="14"/>
        <v>-2233.41</v>
      </c>
      <c r="M34" s="2"/>
      <c r="N34" s="6">
        <f t="shared" si="15"/>
        <v>-1.0451586636779275</v>
      </c>
      <c r="O34" s="11"/>
      <c r="P34" s="7">
        <v>3567.38</v>
      </c>
      <c r="Q34" s="2"/>
      <c r="R34" s="6">
        <f t="shared" si="16"/>
        <v>3.0221277172531813E-2</v>
      </c>
      <c r="S34" s="2"/>
      <c r="T34" s="7">
        <v>12199.2</v>
      </c>
      <c r="U34" s="2"/>
      <c r="V34" s="6">
        <f t="shared" si="17"/>
        <v>0.12692691859497254</v>
      </c>
      <c r="W34" s="2"/>
      <c r="X34" s="7">
        <f t="shared" si="18"/>
        <v>-8631.82</v>
      </c>
      <c r="Y34" s="2"/>
      <c r="Z34" s="6">
        <f t="shared" si="19"/>
        <v>-0.70757262771329266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7">
        <v>843.36</v>
      </c>
      <c r="E35" s="2"/>
      <c r="F35" s="6">
        <f t="shared" si="12"/>
        <v>2.7916583912611717E-2</v>
      </c>
      <c r="G35" s="2"/>
      <c r="H35" s="7">
        <v>774.57</v>
      </c>
      <c r="I35" s="2"/>
      <c r="J35" s="6">
        <f t="shared" si="13"/>
        <v>2.7441720399631546E-2</v>
      </c>
      <c r="K35" s="2"/>
      <c r="L35" s="7">
        <f t="shared" si="14"/>
        <v>68.789999999999964</v>
      </c>
      <c r="M35" s="2"/>
      <c r="N35" s="6">
        <f t="shared" si="15"/>
        <v>8.881056586234938E-2</v>
      </c>
      <c r="O35" s="11"/>
      <c r="P35" s="7">
        <v>843.36</v>
      </c>
      <c r="Q35" s="2"/>
      <c r="R35" s="6">
        <f t="shared" si="16"/>
        <v>7.1445756595110215E-3</v>
      </c>
      <c r="S35" s="2"/>
      <c r="T35" s="7">
        <v>2075.0700000000002</v>
      </c>
      <c r="U35" s="2"/>
      <c r="V35" s="6">
        <f t="shared" si="17"/>
        <v>2.1590124021974366E-2</v>
      </c>
      <c r="W35" s="2"/>
      <c r="X35" s="7">
        <f t="shared" si="18"/>
        <v>-1231.71</v>
      </c>
      <c r="Y35" s="2"/>
      <c r="Z35" s="6">
        <f t="shared" si="19"/>
        <v>-0.59357515650074455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4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38</v>
      </c>
      <c r="U36" s="1"/>
      <c r="V36" s="5">
        <f t="shared" ref="V36:V44" si="25">IF(T$12=0,0,T36/T$12)</f>
        <v>3.9537206592308975E-4</v>
      </c>
      <c r="W36" s="1"/>
      <c r="X36" s="1">
        <f t="shared" ref="X36:X44" si="26">+P36-T36</f>
        <v>-38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/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38</v>
      </c>
      <c r="U37" s="2"/>
      <c r="V37" s="6">
        <f t="shared" si="25"/>
        <v>3.9537206592308975E-4</v>
      </c>
      <c r="W37" s="2"/>
      <c r="X37" s="7">
        <f t="shared" si="26"/>
        <v>-38</v>
      </c>
      <c r="Y37" s="2"/>
      <c r="Z37" s="6">
        <f t="shared" si="27"/>
        <v>-1</v>
      </c>
    </row>
    <row r="38" spans="1:26" s="27" customFormat="1" outlineLevel="1" collapsed="1" x14ac:dyDescent="0.25">
      <c r="A38" s="29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94</v>
      </c>
      <c r="E38" s="1"/>
      <c r="F38" s="5">
        <f t="shared" si="20"/>
        <v>3.1115524660708374E-3</v>
      </c>
      <c r="G38" s="1"/>
      <c r="H38" s="1">
        <f>SUM(OSRRefH22_3x_0)</f>
        <v>3111.56</v>
      </c>
      <c r="I38" s="1"/>
      <c r="J38" s="5">
        <f t="shared" si="21"/>
        <v>0.1102373698008928</v>
      </c>
      <c r="K38" s="1"/>
      <c r="L38" s="1">
        <f t="shared" si="22"/>
        <v>-3017.56</v>
      </c>
      <c r="M38" s="1"/>
      <c r="N38" s="5">
        <f t="shared" si="23"/>
        <v>-0.96979007314658883</v>
      </c>
      <c r="O38" s="14"/>
      <c r="P38" s="1">
        <f>SUM(OSRRefP22_3x_0)</f>
        <v>464.43</v>
      </c>
      <c r="Q38" s="1"/>
      <c r="R38" s="5">
        <f t="shared" si="24"/>
        <v>3.9344470612154995E-3</v>
      </c>
      <c r="S38" s="1"/>
      <c r="T38" s="1">
        <f>SUM(OSRRefT22_3x_0)</f>
        <v>5606.05</v>
      </c>
      <c r="U38" s="1"/>
      <c r="V38" s="5">
        <f t="shared" si="25"/>
        <v>5.8328304478108876E-2</v>
      </c>
      <c r="W38" s="1"/>
      <c r="X38" s="1">
        <f t="shared" si="26"/>
        <v>-5141.62</v>
      </c>
      <c r="Y38" s="1"/>
      <c r="Z38" s="5">
        <f t="shared" si="27"/>
        <v>-0.91715557299702999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7">
        <v>94</v>
      </c>
      <c r="E39" s="2"/>
      <c r="F39" s="6">
        <f t="shared" si="20"/>
        <v>3.1115524660708374E-3</v>
      </c>
      <c r="G39" s="2"/>
      <c r="H39" s="7">
        <v>3111.56</v>
      </c>
      <c r="I39" s="2"/>
      <c r="J39" s="6">
        <f t="shared" si="21"/>
        <v>0.1102373698008928</v>
      </c>
      <c r="K39" s="2"/>
      <c r="L39" s="7">
        <f t="shared" si="22"/>
        <v>-3017.56</v>
      </c>
      <c r="M39" s="2"/>
      <c r="N39" s="6">
        <f t="shared" si="23"/>
        <v>-0.96979007314658883</v>
      </c>
      <c r="O39" s="11"/>
      <c r="P39" s="7">
        <v>464.43</v>
      </c>
      <c r="Q39" s="2"/>
      <c r="R39" s="6">
        <f t="shared" si="24"/>
        <v>3.9344470612154995E-3</v>
      </c>
      <c r="S39" s="2"/>
      <c r="T39" s="7">
        <v>5606.05</v>
      </c>
      <c r="U39" s="2"/>
      <c r="V39" s="6">
        <f t="shared" si="25"/>
        <v>5.8328304478108876E-2</v>
      </c>
      <c r="W39" s="2"/>
      <c r="X39" s="7">
        <f t="shared" si="26"/>
        <v>-5141.62</v>
      </c>
      <c r="Y39" s="2"/>
      <c r="Z39" s="6">
        <f t="shared" si="27"/>
        <v>-0.91715557299702999</v>
      </c>
    </row>
    <row r="40" spans="1:26" s="27" customFormat="1" outlineLevel="1" collapsed="1" x14ac:dyDescent="0.25">
      <c r="A40" s="29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64.239999999999995</v>
      </c>
      <c r="I40" s="1"/>
      <c r="J40" s="5">
        <f t="shared" si="21"/>
        <v>2.2759158222915043E-3</v>
      </c>
      <c r="K40" s="1"/>
      <c r="L40" s="1">
        <f t="shared" si="22"/>
        <v>-64.239999999999995</v>
      </c>
      <c r="M40" s="1"/>
      <c r="N40" s="5">
        <f t="shared" si="23"/>
        <v>-1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6.6838688197103373E-4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>
        <v>64.239999999999995</v>
      </c>
      <c r="I41" s="2"/>
      <c r="J41" s="6">
        <f t="shared" si="21"/>
        <v>2.2759158222915043E-3</v>
      </c>
      <c r="K41" s="2"/>
      <c r="L41" s="7">
        <f t="shared" si="22"/>
        <v>-64.239999999999995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64.239999999999995</v>
      </c>
      <c r="U41" s="2"/>
      <c r="V41" s="6">
        <f t="shared" si="25"/>
        <v>6.6838688197103373E-4</v>
      </c>
      <c r="W41" s="2"/>
      <c r="X41" s="7">
        <f t="shared" si="26"/>
        <v>-64.239999999999995</v>
      </c>
      <c r="Y41" s="2"/>
      <c r="Z41" s="6">
        <f t="shared" si="27"/>
        <v>-1</v>
      </c>
    </row>
    <row r="42" spans="1:26" s="27" customFormat="1" outlineLevel="1" collapsed="1" x14ac:dyDescent="0.25">
      <c r="A42" s="29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SUM(OSRRefD22_5x_0)</f>
        <v>0.5</v>
      </c>
      <c r="E42" s="1"/>
      <c r="F42" s="5">
        <f t="shared" si="20"/>
        <v>1.6550810989738498E-5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0.5</v>
      </c>
      <c r="M42" s="1"/>
      <c r="N42" s="5">
        <f t="shared" si="23"/>
        <v>0</v>
      </c>
      <c r="O42" s="14"/>
      <c r="P42" s="1">
        <f>SUM(OSRRefP22_5x_0)</f>
        <v>0.79</v>
      </c>
      <c r="Q42" s="1"/>
      <c r="R42" s="5">
        <f t="shared" si="24"/>
        <v>6.6925331661611973E-6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0.79</v>
      </c>
      <c r="Y42" s="1"/>
      <c r="Z42" s="5">
        <f t="shared" si="27"/>
        <v>0</v>
      </c>
    </row>
    <row r="43" spans="1:26" s="24" customFormat="1" hidden="1" outlineLevel="2" x14ac:dyDescent="0.25">
      <c r="A43" s="28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0.28999999999999998</v>
      </c>
      <c r="Q43" s="2"/>
      <c r="R43" s="6">
        <f t="shared" si="24"/>
        <v>2.4567526812490469E-6</v>
      </c>
      <c r="S43" s="2"/>
      <c r="T43" s="7"/>
      <c r="U43" s="2"/>
      <c r="V43" s="6">
        <f t="shared" si="25"/>
        <v>0</v>
      </c>
      <c r="W43" s="2"/>
      <c r="X43" s="7">
        <f t="shared" si="26"/>
        <v>0.28999999999999998</v>
      </c>
      <c r="Y43" s="2"/>
      <c r="Z43" s="6">
        <f t="shared" si="27"/>
        <v>0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7">
        <v>0.5</v>
      </c>
      <c r="E44" s="2"/>
      <c r="F44" s="6">
        <f t="shared" si="20"/>
        <v>1.6550810989738498E-5</v>
      </c>
      <c r="G44" s="2"/>
      <c r="H44" s="7"/>
      <c r="I44" s="2"/>
      <c r="J44" s="6">
        <f t="shared" si="21"/>
        <v>0</v>
      </c>
      <c r="K44" s="2"/>
      <c r="L44" s="7">
        <f t="shared" si="22"/>
        <v>0.5</v>
      </c>
      <c r="M44" s="2"/>
      <c r="N44" s="6">
        <f t="shared" si="23"/>
        <v>0</v>
      </c>
      <c r="O44" s="11"/>
      <c r="P44" s="7">
        <v>0.5</v>
      </c>
      <c r="Q44" s="2"/>
      <c r="R44" s="6">
        <f t="shared" si="24"/>
        <v>4.2357804849121496E-6</v>
      </c>
      <c r="S44" s="2"/>
      <c r="T44" s="7"/>
      <c r="U44" s="2"/>
      <c r="V44" s="6">
        <f t="shared" si="25"/>
        <v>0</v>
      </c>
      <c r="W44" s="2"/>
      <c r="X44" s="7">
        <f t="shared" si="26"/>
        <v>0.5</v>
      </c>
      <c r="Y44" s="2"/>
      <c r="Z44" s="6">
        <f t="shared" si="27"/>
        <v>0</v>
      </c>
    </row>
    <row r="45" spans="1:26" s="27" customFormat="1" outlineLevel="1" collapsed="1" x14ac:dyDescent="0.25">
      <c r="A45" s="29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SUM(OSRRefD22_6x_0)</f>
        <v>29.01</v>
      </c>
      <c r="E45" s="1"/>
      <c r="F45" s="5">
        <f t="shared" ref="F45:F51" si="28">IF(D$12=0,0,D45/D$12)</f>
        <v>9.602780536246277E-4</v>
      </c>
      <c r="G45" s="1"/>
      <c r="H45" s="1">
        <f>SUM(OSRRefH22_6x_0)</f>
        <v>29.01</v>
      </c>
      <c r="I45" s="1"/>
      <c r="J45" s="5">
        <f t="shared" ref="J45:J51" si="29">IF(H$12=0,0,H45/H$12)</f>
        <v>1.027775809537306E-3</v>
      </c>
      <c r="K45" s="1"/>
      <c r="L45" s="1">
        <f t="shared" ref="L45:L51" si="30">+D45-H45</f>
        <v>0</v>
      </c>
      <c r="M45" s="1"/>
      <c r="N45" s="5">
        <f t="shared" ref="N45:N51" si="31">IF(H45=0,0,L45/H45)</f>
        <v>0</v>
      </c>
      <c r="O45" s="14"/>
      <c r="P45" s="1">
        <f>SUM(OSRRefP22_6x_0)</f>
        <v>87.03</v>
      </c>
      <c r="Q45" s="1"/>
      <c r="R45" s="5">
        <f t="shared" ref="R45:R51" si="32">IF(P$12=0,0,P45/P$12)</f>
        <v>7.3727995120380883E-4</v>
      </c>
      <c r="S45" s="1"/>
      <c r="T45" s="1">
        <f>SUM(OSRRefT22_6x_0)</f>
        <v>87.03</v>
      </c>
      <c r="U45" s="1"/>
      <c r="V45" s="5">
        <f t="shared" ref="V45:V51" si="33">IF(T$12=0,0,T45/T$12)</f>
        <v>9.0550607624438162E-4</v>
      </c>
      <c r="W45" s="1"/>
      <c r="X45" s="1">
        <f t="shared" ref="X45:X51" si="34">+P45-T45</f>
        <v>0</v>
      </c>
      <c r="Y45" s="1"/>
      <c r="Z45" s="5">
        <f t="shared" ref="Z45:Z51" si="35">IF(T45=0,0,X45/T45)</f>
        <v>0</v>
      </c>
    </row>
    <row r="46" spans="1:26" s="24" customFormat="1" hidden="1" outlineLevel="2" x14ac:dyDescent="0.25">
      <c r="A46" s="28"/>
      <c r="B46" s="11" t="str">
        <f>CONCATENATE("          ", "6314", " - ", "LIABILITY INSURANCE")</f>
        <v xml:space="preserve">          6314 - LIABILITY INSURANCE</v>
      </c>
      <c r="C46" s="11"/>
      <c r="D46" s="7">
        <v>29.01</v>
      </c>
      <c r="E46" s="2"/>
      <c r="F46" s="6">
        <f t="shared" si="28"/>
        <v>9.602780536246277E-4</v>
      </c>
      <c r="G46" s="2"/>
      <c r="H46" s="7">
        <v>29.01</v>
      </c>
      <c r="I46" s="2"/>
      <c r="J46" s="6">
        <f t="shared" si="29"/>
        <v>1.027775809537306E-3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87.03</v>
      </c>
      <c r="Q46" s="2"/>
      <c r="R46" s="6">
        <f t="shared" si="32"/>
        <v>7.3727995120380883E-4</v>
      </c>
      <c r="S46" s="2"/>
      <c r="T46" s="7">
        <v>87.03</v>
      </c>
      <c r="U46" s="2"/>
      <c r="V46" s="6">
        <f t="shared" si="33"/>
        <v>9.0550607624438162E-4</v>
      </c>
      <c r="W46" s="2"/>
      <c r="X46" s="7">
        <f t="shared" si="34"/>
        <v>0</v>
      </c>
      <c r="Y46" s="2"/>
      <c r="Z46" s="6">
        <f t="shared" si="35"/>
        <v>0</v>
      </c>
    </row>
    <row r="47" spans="1:26" s="27" customFormat="1" outlineLevel="1" collapsed="1" x14ac:dyDescent="0.25">
      <c r="A47" s="29"/>
      <c r="B47" s="14" t="str">
        <f>CONCATENATE("     ","Rent                                              ")</f>
        <v xml:space="preserve">     Rent                                              </v>
      </c>
      <c r="C47" s="14"/>
      <c r="D47" s="1">
        <f>SUM(OSRRefD22_7x_0)</f>
        <v>800</v>
      </c>
      <c r="E47" s="1"/>
      <c r="F47" s="5">
        <f t="shared" si="28"/>
        <v>2.6481297583581597E-2</v>
      </c>
      <c r="G47" s="1"/>
      <c r="H47" s="1">
        <f>SUM(OSRRefH22_7x_0)</f>
        <v>800</v>
      </c>
      <c r="I47" s="1"/>
      <c r="J47" s="5">
        <f t="shared" si="29"/>
        <v>2.8342662793169417E-2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SUM(OSRRefP22_7x_0)</f>
        <v>2400</v>
      </c>
      <c r="Q47" s="1"/>
      <c r="R47" s="5">
        <f t="shared" si="32"/>
        <v>2.033174632757832E-2</v>
      </c>
      <c r="S47" s="1"/>
      <c r="T47" s="1">
        <f>SUM(OSRRefT22_7x_0)</f>
        <v>2400</v>
      </c>
      <c r="U47" s="1"/>
      <c r="V47" s="5">
        <f t="shared" si="33"/>
        <v>2.4970867321458298E-2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"6273", " - ", "RENT")</f>
        <v xml:space="preserve">          6273 - RENT</v>
      </c>
      <c r="C48" s="11"/>
      <c r="D48" s="7">
        <v>800</v>
      </c>
      <c r="E48" s="2"/>
      <c r="F48" s="6">
        <f t="shared" si="28"/>
        <v>2.6481297583581597E-2</v>
      </c>
      <c r="G48" s="2"/>
      <c r="H48" s="7">
        <v>800</v>
      </c>
      <c r="I48" s="2"/>
      <c r="J48" s="6">
        <f t="shared" si="29"/>
        <v>2.8342662793169417E-2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2400</v>
      </c>
      <c r="Q48" s="2"/>
      <c r="R48" s="6">
        <f t="shared" si="32"/>
        <v>2.033174632757832E-2</v>
      </c>
      <c r="S48" s="2"/>
      <c r="T48" s="7">
        <v>2400</v>
      </c>
      <c r="U48" s="2"/>
      <c r="V48" s="6">
        <f t="shared" si="33"/>
        <v>2.4970867321458298E-2</v>
      </c>
      <c r="W48" s="2"/>
      <c r="X48" s="7">
        <f t="shared" si="34"/>
        <v>0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6562</v>
      </c>
      <c r="E49" s="1"/>
      <c r="F49" s="5">
        <f t="shared" si="28"/>
        <v>0.21721284342932803</v>
      </c>
      <c r="G49" s="1"/>
      <c r="H49" s="1">
        <f>SUM(OSRRefH22_8x_0)</f>
        <v>437.31</v>
      </c>
      <c r="I49" s="1"/>
      <c r="J49" s="5">
        <f t="shared" si="29"/>
        <v>1.5493162332601148E-2</v>
      </c>
      <c r="K49" s="1"/>
      <c r="L49" s="1">
        <f t="shared" si="30"/>
        <v>6124.69</v>
      </c>
      <c r="M49" s="1"/>
      <c r="N49" s="5">
        <f t="shared" si="31"/>
        <v>14.005373762319635</v>
      </c>
      <c r="O49" s="14"/>
      <c r="P49" s="1">
        <f>SUM(OSRRefP22_8x_0)</f>
        <v>6562</v>
      </c>
      <c r="Q49" s="1"/>
      <c r="R49" s="5">
        <f t="shared" si="32"/>
        <v>5.5590383083987054E-2</v>
      </c>
      <c r="S49" s="1"/>
      <c r="T49" s="1">
        <f>SUM(OSRRefT22_8x_0)</f>
        <v>437.31</v>
      </c>
      <c r="U49" s="1"/>
      <c r="V49" s="5">
        <f t="shared" si="33"/>
        <v>4.5500041618112205E-3</v>
      </c>
      <c r="W49" s="1"/>
      <c r="X49" s="1">
        <f t="shared" si="34"/>
        <v>6124.69</v>
      </c>
      <c r="Y49" s="1"/>
      <c r="Z49" s="5">
        <f t="shared" si="35"/>
        <v>14.005373762319635</v>
      </c>
    </row>
    <row r="50" spans="1:26" s="24" customFormat="1" hidden="1" outlineLevel="2" x14ac:dyDescent="0.25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8"/>
        <v>0</v>
      </c>
      <c r="G50" s="2"/>
      <c r="H50" s="7">
        <v>437.31</v>
      </c>
      <c r="I50" s="2"/>
      <c r="J50" s="6">
        <f t="shared" si="29"/>
        <v>1.5493162332601148E-2</v>
      </c>
      <c r="K50" s="2"/>
      <c r="L50" s="7">
        <f t="shared" si="30"/>
        <v>-437.31</v>
      </c>
      <c r="M50" s="2"/>
      <c r="N50" s="6">
        <f t="shared" si="31"/>
        <v>-1</v>
      </c>
      <c r="O50" s="11"/>
      <c r="P50" s="7"/>
      <c r="Q50" s="2"/>
      <c r="R50" s="6">
        <f t="shared" si="32"/>
        <v>0</v>
      </c>
      <c r="S50" s="2"/>
      <c r="T50" s="7">
        <v>437.31</v>
      </c>
      <c r="U50" s="2"/>
      <c r="V50" s="6">
        <f t="shared" si="33"/>
        <v>4.5500041618112205E-3</v>
      </c>
      <c r="W50" s="2"/>
      <c r="X50" s="7">
        <f t="shared" si="34"/>
        <v>-437.31</v>
      </c>
      <c r="Y50" s="2"/>
      <c r="Z50" s="6">
        <f t="shared" si="35"/>
        <v>-1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6562</v>
      </c>
      <c r="E51" s="2"/>
      <c r="F51" s="6">
        <f t="shared" si="28"/>
        <v>0.21721284342932803</v>
      </c>
      <c r="G51" s="2"/>
      <c r="H51" s="7"/>
      <c r="I51" s="2"/>
      <c r="J51" s="6">
        <f t="shared" si="29"/>
        <v>0</v>
      </c>
      <c r="K51" s="2"/>
      <c r="L51" s="7">
        <f t="shared" si="30"/>
        <v>6562</v>
      </c>
      <c r="M51" s="2"/>
      <c r="N51" s="6">
        <f t="shared" si="31"/>
        <v>0</v>
      </c>
      <c r="O51" s="11"/>
      <c r="P51" s="7">
        <v>6562</v>
      </c>
      <c r="Q51" s="2"/>
      <c r="R51" s="6">
        <f t="shared" si="32"/>
        <v>5.5590383083987054E-2</v>
      </c>
      <c r="S51" s="2"/>
      <c r="T51" s="7"/>
      <c r="U51" s="2"/>
      <c r="V51" s="6">
        <f t="shared" si="33"/>
        <v>0</v>
      </c>
      <c r="W51" s="2"/>
      <c r="X51" s="7">
        <f t="shared" si="34"/>
        <v>6562</v>
      </c>
      <c r="Y51" s="2"/>
      <c r="Z51" s="6">
        <f t="shared" si="35"/>
        <v>0</v>
      </c>
    </row>
    <row r="52" spans="1:26" s="27" customFormat="1" outlineLevel="1" collapsed="1" x14ac:dyDescent="0.25">
      <c r="A52" s="29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0</v>
      </c>
      <c r="E52" s="1"/>
      <c r="F52" s="5">
        <f t="shared" ref="F52:F55" si="36">IF(D$12=0,0,D52/D$12)</f>
        <v>0</v>
      </c>
      <c r="G52" s="1"/>
      <c r="H52" s="1">
        <f>SUM(OSRRefH22_9x_0)</f>
        <v>3300.91</v>
      </c>
      <c r="I52" s="1"/>
      <c r="J52" s="5">
        <f t="shared" ref="J52:J55" si="37">IF(H$12=0,0,H52/H$12)</f>
        <v>0.11694572380075108</v>
      </c>
      <c r="K52" s="1"/>
      <c r="L52" s="1">
        <f t="shared" ref="L52:L55" si="38">+D52-H52</f>
        <v>-3300.91</v>
      </c>
      <c r="M52" s="1"/>
      <c r="N52" s="5">
        <f t="shared" ref="N52:N55" si="39">IF(H52=0,0,L52/H52)</f>
        <v>-1</v>
      </c>
      <c r="O52" s="14"/>
      <c r="P52" s="1">
        <f>SUM(OSRRefP22_9x_0)</f>
        <v>35183.15</v>
      </c>
      <c r="Q52" s="1"/>
      <c r="R52" s="5">
        <f t="shared" ref="R52:R55" si="40">IF(P$12=0,0,P52/P$12)</f>
        <v>0.29805620033547381</v>
      </c>
      <c r="S52" s="1"/>
      <c r="T52" s="1">
        <f>SUM(OSRRefT22_9x_0)</f>
        <v>18136.980000000003</v>
      </c>
      <c r="U52" s="1"/>
      <c r="V52" s="5">
        <f t="shared" ref="V52:V55" si="41">IF(T$12=0,0,T52/T$12)</f>
        <v>0.1887067171633095</v>
      </c>
      <c r="W52" s="1"/>
      <c r="X52" s="1">
        <f t="shared" ref="X52:X55" si="42">+P52-T52</f>
        <v>17046.169999999998</v>
      </c>
      <c r="Y52" s="1"/>
      <c r="Z52" s="5">
        <f t="shared" ref="Z52:Z55" si="43">IF(T52=0,0,X52/T52)</f>
        <v>0.93985713167241713</v>
      </c>
    </row>
    <row r="53" spans="1:26" s="24" customFormat="1" hidden="1" outlineLevel="2" x14ac:dyDescent="0.25">
      <c r="A53" s="28"/>
      <c r="B53" s="11" t="str">
        <f>CONCATENATE("          ", "6234", " - ", "EXPENDABLE SUPPLIES &amp; EQUIPMEN")</f>
        <v xml:space="preserve">          6234 - EXPENDABLE SUPPLIES &amp; EQUIPMEN</v>
      </c>
      <c r="C53" s="11"/>
      <c r="D53" s="7"/>
      <c r="E53" s="2"/>
      <c r="F53" s="6">
        <f t="shared" si="36"/>
        <v>0</v>
      </c>
      <c r="G53" s="2"/>
      <c r="H53" s="7"/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413.27</v>
      </c>
      <c r="U53" s="2"/>
      <c r="V53" s="6">
        <f t="shared" si="41"/>
        <v>4.299879307474613E-3</v>
      </c>
      <c r="W53" s="2"/>
      <c r="X53" s="7">
        <f t="shared" si="42"/>
        <v>-413.27</v>
      </c>
      <c r="Y53" s="2"/>
      <c r="Z53" s="6">
        <f t="shared" si="43"/>
        <v>-1</v>
      </c>
    </row>
    <row r="54" spans="1:26" s="24" customFormat="1" hidden="1" outlineLevel="2" x14ac:dyDescent="0.25">
      <c r="A54" s="28"/>
      <c r="B54" s="11" t="str">
        <f>CONCATENATE("          ", "6241", " - ", "OFFICE EXPENSE")</f>
        <v xml:space="preserve">          6241 - OFFICE EXPENSE</v>
      </c>
      <c r="C54" s="11"/>
      <c r="D54" s="7"/>
      <c r="E54" s="2"/>
      <c r="F54" s="6">
        <f t="shared" si="36"/>
        <v>0</v>
      </c>
      <c r="G54" s="2"/>
      <c r="H54" s="7">
        <v>3180.08</v>
      </c>
      <c r="I54" s="2"/>
      <c r="J54" s="6">
        <f t="shared" si="37"/>
        <v>0.11266491886912776</v>
      </c>
      <c r="K54" s="2"/>
      <c r="L54" s="7">
        <f t="shared" si="38"/>
        <v>-3180.08</v>
      </c>
      <c r="M54" s="2"/>
      <c r="N54" s="6">
        <f t="shared" si="39"/>
        <v>-1</v>
      </c>
      <c r="O54" s="11"/>
      <c r="P54" s="7">
        <v>35183.15</v>
      </c>
      <c r="Q54" s="2"/>
      <c r="R54" s="6">
        <f t="shared" si="40"/>
        <v>0.29805620033547381</v>
      </c>
      <c r="S54" s="2"/>
      <c r="T54" s="7">
        <v>17602.88</v>
      </c>
      <c r="U54" s="2"/>
      <c r="V54" s="6">
        <f t="shared" si="41"/>
        <v>0.18314965873147995</v>
      </c>
      <c r="W54" s="2"/>
      <c r="X54" s="7">
        <f t="shared" si="42"/>
        <v>17580.27</v>
      </c>
      <c r="Y54" s="2"/>
      <c r="Z54" s="6">
        <f t="shared" si="43"/>
        <v>0.99871555109163956</v>
      </c>
    </row>
    <row r="55" spans="1:26" s="24" customFormat="1" hidden="1" outlineLevel="2" x14ac:dyDescent="0.25">
      <c r="A55" s="28"/>
      <c r="B55" s="11" t="str">
        <f>CONCATENATE("          ", "6245", " - ", "PRINTING")</f>
        <v xml:space="preserve">          6245 - PRINTING</v>
      </c>
      <c r="C55" s="11"/>
      <c r="D55" s="7"/>
      <c r="E55" s="2"/>
      <c r="F55" s="6">
        <f t="shared" si="36"/>
        <v>0</v>
      </c>
      <c r="G55" s="2"/>
      <c r="H55" s="7">
        <v>120.83</v>
      </c>
      <c r="I55" s="2"/>
      <c r="J55" s="6">
        <f t="shared" si="37"/>
        <v>4.2808049316233263E-3</v>
      </c>
      <c r="K55" s="2"/>
      <c r="L55" s="7">
        <f t="shared" si="38"/>
        <v>-120.83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120.83</v>
      </c>
      <c r="U55" s="2"/>
      <c r="V55" s="6">
        <f t="shared" si="41"/>
        <v>1.2571791243549191E-3</v>
      </c>
      <c r="W55" s="2"/>
      <c r="X55" s="7">
        <f t="shared" si="42"/>
        <v>-120.83</v>
      </c>
      <c r="Y55" s="2"/>
      <c r="Z55" s="6">
        <f t="shared" si="43"/>
        <v>-1</v>
      </c>
    </row>
    <row r="56" spans="1:26" s="27" customFormat="1" outlineLevel="1" collapsed="1" x14ac:dyDescent="0.25">
      <c r="A56" s="29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SUM(OSRRefD22_10x_0)</f>
        <v>750</v>
      </c>
      <c r="E56" s="1"/>
      <c r="F56" s="5">
        <f t="shared" ref="F56:F57" si="44">IF(D$12=0,0,D56/D$12)</f>
        <v>2.4826216484607744E-2</v>
      </c>
      <c r="G56" s="1"/>
      <c r="H56" s="1">
        <f>SUM(OSRRefH22_10x_0)</f>
        <v>400</v>
      </c>
      <c r="I56" s="1"/>
      <c r="J56" s="5">
        <f t="shared" ref="J56:J57" si="45">IF(H$12=0,0,H56/H$12)</f>
        <v>1.4171331396584708E-2</v>
      </c>
      <c r="K56" s="1"/>
      <c r="L56" s="1">
        <f t="shared" ref="L56:L57" si="46">+D56-H56</f>
        <v>350</v>
      </c>
      <c r="M56" s="1"/>
      <c r="N56" s="5">
        <f t="shared" ref="N56:N57" si="47">IF(H56=0,0,L56/H56)</f>
        <v>0.875</v>
      </c>
      <c r="O56" s="14"/>
      <c r="P56" s="1">
        <f>SUM(OSRRefP22_10x_0)</f>
        <v>1042.08</v>
      </c>
      <c r="Q56" s="1"/>
      <c r="R56" s="5">
        <f t="shared" ref="R56:R57" si="48">IF(P$12=0,0,P56/P$12)</f>
        <v>8.8280442554345053E-3</v>
      </c>
      <c r="S56" s="1"/>
      <c r="T56" s="1">
        <f>SUM(OSRRefT22_10x_0)</f>
        <v>575.65</v>
      </c>
      <c r="U56" s="1"/>
      <c r="V56" s="5">
        <f t="shared" ref="V56:V57" si="49">IF(T$12=0,0,T56/T$12)</f>
        <v>5.9893665723322791E-3</v>
      </c>
      <c r="W56" s="1"/>
      <c r="X56" s="1">
        <f t="shared" ref="X56:X57" si="50">+P56-T56</f>
        <v>466.42999999999995</v>
      </c>
      <c r="Y56" s="1"/>
      <c r="Z56" s="5">
        <f t="shared" ref="Z56:Z57" si="51">IF(T56=0,0,X56/T56)</f>
        <v>0.8102666550855554</v>
      </c>
    </row>
    <row r="57" spans="1:26" s="24" customFormat="1" hidden="1" outlineLevel="2" x14ac:dyDescent="0.25">
      <c r="A57" s="28"/>
      <c r="B57" s="11" t="str">
        <f>CONCATENATE("          ", "6309", " - ", "TELEPHONE")</f>
        <v xml:space="preserve">          6309 - TELEPHONE</v>
      </c>
      <c r="C57" s="11"/>
      <c r="D57" s="7">
        <v>750</v>
      </c>
      <c r="E57" s="2"/>
      <c r="F57" s="6">
        <f t="shared" si="44"/>
        <v>2.4826216484607744E-2</v>
      </c>
      <c r="G57" s="2"/>
      <c r="H57" s="7">
        <v>400</v>
      </c>
      <c r="I57" s="2"/>
      <c r="J57" s="6">
        <f t="shared" si="45"/>
        <v>1.4171331396584708E-2</v>
      </c>
      <c r="K57" s="2"/>
      <c r="L57" s="7">
        <f t="shared" si="46"/>
        <v>350</v>
      </c>
      <c r="M57" s="2"/>
      <c r="N57" s="6">
        <f t="shared" si="47"/>
        <v>0.875</v>
      </c>
      <c r="O57" s="11"/>
      <c r="P57" s="7">
        <v>1042.08</v>
      </c>
      <c r="Q57" s="2"/>
      <c r="R57" s="6">
        <f t="shared" si="48"/>
        <v>8.8280442554345053E-3</v>
      </c>
      <c r="S57" s="2"/>
      <c r="T57" s="7">
        <v>575.65</v>
      </c>
      <c r="U57" s="2"/>
      <c r="V57" s="6">
        <f t="shared" si="49"/>
        <v>5.9893665723322791E-3</v>
      </c>
      <c r="W57" s="2"/>
      <c r="X57" s="7">
        <f t="shared" si="50"/>
        <v>466.42999999999995</v>
      </c>
      <c r="Y57" s="2"/>
      <c r="Z57" s="6">
        <f t="shared" si="51"/>
        <v>0.8102666550855554</v>
      </c>
    </row>
    <row r="58" spans="1:26" s="60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6" t="s">
        <v>0</v>
      </c>
      <c r="C59" s="10"/>
      <c r="D59" s="4">
        <f>SUM(OSRRefD25x_0)</f>
        <v>260</v>
      </c>
      <c r="E59" s="4"/>
      <c r="F59" s="12">
        <f t="shared" ref="F59:F60" si="52">IF(D$12=0,0,D59/D$12)</f>
        <v>8.6064217146640185E-3</v>
      </c>
      <c r="G59" s="4"/>
      <c r="H59" s="4">
        <f>SUM(OSRRefH25x_0)</f>
        <v>2661.9</v>
      </c>
      <c r="I59" s="4"/>
      <c r="J59" s="12">
        <f t="shared" ref="J59:J60" si="53">IF(H$12=0,0,H59/H$12)</f>
        <v>9.430666761142209E-2</v>
      </c>
      <c r="K59" s="4"/>
      <c r="L59" s="4">
        <f t="shared" ref="L59:L60" si="54">+D59-H59</f>
        <v>-2401.9</v>
      </c>
      <c r="M59" s="4"/>
      <c r="N59" s="12">
        <f t="shared" ref="N59:N60" si="55">IF(H59=0,0,L59/H59)</f>
        <v>-0.90232540666441263</v>
      </c>
      <c r="O59" s="10"/>
      <c r="P59" s="4">
        <f>SUM(OSRRefP25x_0)</f>
        <v>750</v>
      </c>
      <c r="Q59" s="4"/>
      <c r="R59" s="12">
        <f t="shared" ref="R59:R60" si="56">IF(P$12=0,0,P59/P$12)</f>
        <v>6.3536707273682252E-3</v>
      </c>
      <c r="S59" s="4"/>
      <c r="T59" s="4">
        <f>SUM(OSRRefT25x_0)</f>
        <v>7050.9</v>
      </c>
      <c r="U59" s="4"/>
      <c r="V59" s="12">
        <f t="shared" ref="V59:V60" si="57">IF(T$12=0,0,T59/T$12)</f>
        <v>7.336128683202929E-2</v>
      </c>
      <c r="W59" s="4"/>
      <c r="X59" s="4">
        <f t="shared" ref="X59:X60" si="58">+P59-T59</f>
        <v>-6300.9</v>
      </c>
      <c r="Y59" s="4"/>
      <c r="Z59" s="12">
        <f t="shared" ref="Z59:Z60" si="59">IF(T59=0,0,X59/T59)</f>
        <v>-0.89363060034889163</v>
      </c>
    </row>
    <row r="60" spans="1:26" s="24" customFormat="1" hidden="1" outlineLevel="1" x14ac:dyDescent="0.25">
      <c r="A60" s="44"/>
      <c r="B60" s="11" t="str">
        <f>CONCATENATE("          ", "9150", " - ", "MISC. INCOME")</f>
        <v xml:space="preserve">          9150 - MISC. INCOME</v>
      </c>
      <c r="C60" s="11"/>
      <c r="D60" s="2">
        <f>--260</f>
        <v>260</v>
      </c>
      <c r="E60" s="2"/>
      <c r="F60" s="19">
        <f t="shared" si="52"/>
        <v>8.6064217146640185E-3</v>
      </c>
      <c r="G60" s="2"/>
      <c r="H60" s="2">
        <f>--2661.9</f>
        <v>2661.9</v>
      </c>
      <c r="I60" s="2"/>
      <c r="J60" s="19">
        <f t="shared" si="53"/>
        <v>9.430666761142209E-2</v>
      </c>
      <c r="K60" s="2"/>
      <c r="L60" s="2">
        <f t="shared" si="54"/>
        <v>-2401.9</v>
      </c>
      <c r="M60" s="2"/>
      <c r="N60" s="19">
        <f t="shared" si="55"/>
        <v>-0.90232540666441263</v>
      </c>
      <c r="O60" s="11"/>
      <c r="P60" s="2">
        <f>--750</f>
        <v>750</v>
      </c>
      <c r="Q60" s="2"/>
      <c r="R60" s="19">
        <f t="shared" si="56"/>
        <v>6.3536707273682252E-3</v>
      </c>
      <c r="S60" s="2"/>
      <c r="T60" s="2">
        <f>--7050.9</f>
        <v>7050.9</v>
      </c>
      <c r="U60" s="2"/>
      <c r="V60" s="19">
        <f t="shared" si="57"/>
        <v>7.336128683202929E-2</v>
      </c>
      <c r="W60" s="2"/>
      <c r="X60" s="2">
        <f t="shared" si="58"/>
        <v>-6300.9</v>
      </c>
      <c r="Y60" s="2"/>
      <c r="Z60" s="19">
        <f t="shared" si="59"/>
        <v>-0.89363060034889163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5" t="s">
        <v>3</v>
      </c>
      <c r="C62" s="25"/>
      <c r="D62" s="22">
        <f>+D17-D19+D59</f>
        <v>4742.8300000000017</v>
      </c>
      <c r="E62" s="13"/>
      <c r="F62" s="21">
        <f>IF(D$12=0,0,D62/D$12)</f>
        <v>0.15699536577292292</v>
      </c>
      <c r="G62" s="13"/>
      <c r="H62" s="22">
        <f>+H17-H19+H59</f>
        <v>789.4899999999966</v>
      </c>
      <c r="I62" s="13"/>
      <c r="J62" s="21">
        <f>IF(H$12=0,0,H62/H$12)</f>
        <v>2.7970311060724035E-2</v>
      </c>
      <c r="K62" s="15"/>
      <c r="L62" s="22">
        <f>+D62-H62</f>
        <v>3953.3400000000051</v>
      </c>
      <c r="M62" s="15"/>
      <c r="N62" s="21">
        <f>IF(H62=0,0,L62/H62)</f>
        <v>5.00746051248277</v>
      </c>
      <c r="O62" s="26"/>
      <c r="P62" s="22">
        <f>+P17-P19+P59</f>
        <v>14829.009999999995</v>
      </c>
      <c r="Q62" s="13"/>
      <c r="R62" s="21">
        <f>IF(P$12=0,0,P62/P$12)</f>
        <v>0.12562486233713419</v>
      </c>
      <c r="S62" s="13"/>
      <c r="T62" s="22">
        <f>+T17-T19+T59</f>
        <v>8464.2899999999845</v>
      </c>
      <c r="U62" s="13"/>
      <c r="V62" s="21">
        <f>IF(T$12=0,0,T62/T$12)</f>
        <v>8.8066942733477455E-2</v>
      </c>
      <c r="W62" s="15"/>
      <c r="X62" s="22">
        <f>+P62-T62</f>
        <v>6364.7200000000103</v>
      </c>
      <c r="Y62" s="15"/>
      <c r="Z62" s="21">
        <f>IF(T62=0,0,X62/T62)</f>
        <v>0.75194966146008957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>
        <v>7038.6</v>
      </c>
      <c r="E64" s="4"/>
      <c r="F64" s="12">
        <f>IF(D$12=0,0,D64/D$12)</f>
        <v>0.23298907646474679</v>
      </c>
      <c r="G64" s="4"/>
      <c r="H64" s="4">
        <v>1859.55</v>
      </c>
      <c r="I64" s="4"/>
      <c r="J64" s="12">
        <f>IF(H$12=0,0,H64/H$12)</f>
        <v>6.5880748246297735E-2</v>
      </c>
      <c r="K64" s="4"/>
      <c r="L64" s="4">
        <f>+D64-H64</f>
        <v>5179.05</v>
      </c>
      <c r="M64" s="4"/>
      <c r="N64" s="12">
        <f>IF(H64=0,0,L64/H64)</f>
        <v>2.7851093006372509</v>
      </c>
      <c r="O64" s="10"/>
      <c r="P64" s="4">
        <v>21867.870000000003</v>
      </c>
      <c r="Q64" s="4"/>
      <c r="R64" s="12">
        <f>IF(P$12=0,0,P64/P$12)</f>
        <v>0.18525499398519174</v>
      </c>
      <c r="S64" s="4"/>
      <c r="T64" s="4">
        <v>10323.700000000001</v>
      </c>
      <c r="U64" s="4"/>
      <c r="V64" s="12">
        <f>IF(T$12=0,0,T64/T$12)</f>
        <v>0.10741322623605794</v>
      </c>
      <c r="W64" s="4"/>
      <c r="X64" s="4">
        <f>+P64-T64</f>
        <v>11544.170000000002</v>
      </c>
      <c r="Y64" s="4"/>
      <c r="Z64" s="12">
        <f>IF(T64=0,0,X64/T64)</f>
        <v>1.1182202117457889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4</v>
      </c>
      <c r="C66" s="25"/>
      <c r="D66" s="33">
        <f>+D62-D64</f>
        <v>-2295.7699999999986</v>
      </c>
      <c r="E66" s="13"/>
      <c r="F66" s="32">
        <f>IF(D$12=0,0,D66/D$12)</f>
        <v>-7.5993710691823854E-2</v>
      </c>
      <c r="G66" s="13"/>
      <c r="H66" s="33">
        <f>+H62-H64</f>
        <v>-1070.0600000000034</v>
      </c>
      <c r="I66" s="13"/>
      <c r="J66" s="32">
        <f>IF(H$12=0,0,H66/H$12)</f>
        <v>-3.79104371855737E-2</v>
      </c>
      <c r="K66" s="15"/>
      <c r="L66" s="33">
        <f>D66-H66</f>
        <v>-1225.7099999999953</v>
      </c>
      <c r="M66" s="15"/>
      <c r="N66" s="32">
        <f>IF(H66=0,0,L66/H66)</f>
        <v>1.1454591331327135</v>
      </c>
      <c r="O66" s="26"/>
      <c r="P66" s="33">
        <f>+P62-P64</f>
        <v>-7038.8600000000079</v>
      </c>
      <c r="Q66" s="13"/>
      <c r="R66" s="32">
        <f>IF(P$12=0,0,P66/P$12)</f>
        <v>-5.9630131648057541E-2</v>
      </c>
      <c r="S66" s="13"/>
      <c r="T66" s="33">
        <f>+T62-T64</f>
        <v>-1859.4100000000162</v>
      </c>
      <c r="U66" s="13"/>
      <c r="V66" s="32">
        <f>IF(T$12=0,0,T66/T$12)</f>
        <v>-1.9346283502580493E-2</v>
      </c>
      <c r="W66" s="15"/>
      <c r="X66" s="33">
        <f>P66-T66</f>
        <v>-5179.4499999999916</v>
      </c>
      <c r="Y66" s="15"/>
      <c r="Z66" s="32">
        <f>IF(T66=0,0,X66/T66)</f>
        <v>2.7855341210383653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5</v>
      </c>
      <c r="C69" s="25"/>
      <c r="D69" s="34">
        <f>SUM(D66:D68)</f>
        <v>-2295.7699999999986</v>
      </c>
      <c r="E69" s="13"/>
      <c r="F69" s="31">
        <f>IF(D$12=0,0,D69/D$12)</f>
        <v>-7.5993710691823854E-2</v>
      </c>
      <c r="G69" s="13"/>
      <c r="H69" s="34">
        <f>SUM(H66:H68)</f>
        <v>-1070.0600000000034</v>
      </c>
      <c r="I69" s="13"/>
      <c r="J69" s="31">
        <f>IF(H$12=0,0,H69/H$12)</f>
        <v>-3.79104371855737E-2</v>
      </c>
      <c r="K69" s="15"/>
      <c r="L69" s="34">
        <f>+D69-H69</f>
        <v>-1225.7099999999953</v>
      </c>
      <c r="M69" s="15"/>
      <c r="N69" s="31">
        <f>IF(H69=0,0,L69/H69)</f>
        <v>1.1454591331327135</v>
      </c>
      <c r="O69" s="26"/>
      <c r="P69" s="34">
        <f>SUM(P66:P68)</f>
        <v>-7038.8600000000079</v>
      </c>
      <c r="Q69" s="13"/>
      <c r="R69" s="31">
        <f>IF(P$12=0,0,P69/P$12)</f>
        <v>-5.9630131648057541E-2</v>
      </c>
      <c r="S69" s="13"/>
      <c r="T69" s="34">
        <f>SUM(T66:T68)</f>
        <v>-1859.4100000000162</v>
      </c>
      <c r="U69" s="13"/>
      <c r="V69" s="31">
        <f>IF(T$12=0,0,T69/T$12)</f>
        <v>-1.9346283502580493E-2</v>
      </c>
      <c r="W69" s="15"/>
      <c r="X69" s="34">
        <f>+P69-T69</f>
        <v>-5179.4499999999916</v>
      </c>
      <c r="Y69" s="15"/>
      <c r="Z69" s="31">
        <f>IF(T69=0,0,X69/T69)</f>
        <v>2.7855341210383653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4">
        <v>44123.564917326388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9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40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40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40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40" customWidth="1" outlineLevel="1"/>
  </cols>
  <sheetData>
    <row r="2" spans="1:26" x14ac:dyDescent="0.25">
      <c r="D2" s="53" t="s">
        <v>12</v>
      </c>
    </row>
    <row r="3" spans="1:26" x14ac:dyDescent="0.25">
      <c r="D3" s="53" t="s">
        <v>294</v>
      </c>
      <c r="E3" s="17"/>
      <c r="F3" s="49"/>
      <c r="G3" s="17"/>
      <c r="H3" s="17"/>
      <c r="I3" s="17"/>
      <c r="J3" s="38"/>
      <c r="K3" s="17"/>
      <c r="L3" s="17"/>
      <c r="M3" s="17"/>
      <c r="N3" s="49"/>
      <c r="O3" s="57"/>
      <c r="P3" s="17"/>
      <c r="Q3" s="17"/>
      <c r="R3" s="38"/>
      <c r="S3" s="17"/>
      <c r="T3" s="17"/>
      <c r="U3" s="17"/>
      <c r="V3" s="38"/>
      <c r="W3" s="17"/>
      <c r="X3" s="17"/>
      <c r="Y3" s="17"/>
      <c r="Z3" s="38"/>
    </row>
    <row r="4" spans="1:26" x14ac:dyDescent="0.25">
      <c r="D4" s="53" t="str">
        <f>CONCATENATE("Period ",RIGHT(202103,2),", ",2021)</f>
        <v>Period 03, 2021</v>
      </c>
      <c r="E4" s="17"/>
      <c r="F4" s="49"/>
      <c r="G4" s="17"/>
      <c r="H4" s="17"/>
      <c r="I4" s="17"/>
      <c r="J4" s="38"/>
      <c r="K4" s="17"/>
      <c r="L4" s="17"/>
      <c r="M4" s="17"/>
      <c r="N4" s="49"/>
      <c r="O4" s="57"/>
      <c r="P4" s="17"/>
      <c r="Q4" s="17"/>
      <c r="R4" s="38"/>
      <c r="S4" s="17"/>
      <c r="T4" s="17"/>
      <c r="U4" s="17"/>
      <c r="V4" s="38"/>
      <c r="W4" s="17"/>
      <c r="X4" s="17"/>
      <c r="Y4" s="17"/>
      <c r="Z4" s="38"/>
    </row>
    <row r="5" spans="1:26" x14ac:dyDescent="0.25">
      <c r="A5" s="23"/>
      <c r="D5" s="63">
        <v>44100</v>
      </c>
      <c r="E5" s="17"/>
      <c r="F5" s="49"/>
      <c r="G5" s="17"/>
      <c r="H5" s="17"/>
      <c r="I5" s="17"/>
      <c r="J5" s="38"/>
      <c r="K5" s="17"/>
      <c r="L5" s="17"/>
      <c r="M5" s="17"/>
      <c r="N5" s="49"/>
      <c r="O5" s="57"/>
      <c r="P5" s="17"/>
      <c r="Q5" s="17"/>
      <c r="R5" s="38"/>
      <c r="S5" s="17"/>
      <c r="T5" s="17"/>
      <c r="U5" s="17"/>
      <c r="V5" s="38"/>
      <c r="W5" s="17"/>
      <c r="X5" s="17"/>
      <c r="Y5" s="17"/>
      <c r="Z5" s="38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7"/>
      <c r="F6" s="49"/>
      <c r="G6" s="17"/>
      <c r="H6" s="17"/>
      <c r="I6" s="17"/>
      <c r="J6" s="38"/>
      <c r="K6" s="17"/>
      <c r="L6" s="17"/>
      <c r="M6" s="17"/>
      <c r="N6" s="49"/>
      <c r="O6" s="52"/>
      <c r="P6" s="17"/>
      <c r="Q6" s="17"/>
      <c r="R6" s="38"/>
      <c r="S6" s="17"/>
      <c r="T6" s="17"/>
      <c r="U6" s="17"/>
      <c r="V6" s="38"/>
      <c r="W6" s="17"/>
      <c r="X6" s="17"/>
      <c r="Y6" s="17"/>
      <c r="Z6" s="38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6" t="s">
        <v>292</v>
      </c>
      <c r="E9" s="16"/>
      <c r="F9" s="39"/>
      <c r="G9" s="16"/>
      <c r="H9" s="16"/>
      <c r="I9" s="16"/>
      <c r="J9" s="45"/>
      <c r="K9" s="16"/>
      <c r="L9" s="16"/>
      <c r="M9" s="16"/>
      <c r="N9" s="39"/>
      <c r="P9" s="16" t="s">
        <v>293</v>
      </c>
      <c r="Q9" s="16"/>
      <c r="R9" s="39"/>
      <c r="S9" s="16"/>
      <c r="T9" s="16"/>
      <c r="U9" s="16"/>
      <c r="V9" s="45"/>
      <c r="W9" s="16"/>
      <c r="X9" s="16"/>
      <c r="Y9" s="16"/>
      <c r="Z9" s="39"/>
    </row>
    <row r="10" spans="1:26" x14ac:dyDescent="0.25">
      <c r="A10" s="10"/>
      <c r="B10" s="62"/>
      <c r="C10" s="10"/>
      <c r="D10" s="43" t="s">
        <v>10</v>
      </c>
      <c r="E10" s="35"/>
      <c r="F10" s="30" t="s">
        <v>14</v>
      </c>
      <c r="G10" s="35"/>
      <c r="H10" s="50" t="s">
        <v>306</v>
      </c>
      <c r="I10" s="35"/>
      <c r="J10" s="30" t="s">
        <v>14</v>
      </c>
      <c r="K10" s="10"/>
      <c r="L10" s="43" t="s">
        <v>11</v>
      </c>
      <c r="M10" s="10"/>
      <c r="N10" s="30" t="s">
        <v>15</v>
      </c>
      <c r="O10" s="10"/>
      <c r="P10" s="61" t="s">
        <v>10</v>
      </c>
      <c r="Q10" s="35"/>
      <c r="R10" s="30" t="s">
        <v>14</v>
      </c>
      <c r="S10" s="35"/>
      <c r="T10" s="50" t="s">
        <v>306</v>
      </c>
      <c r="U10" s="35"/>
      <c r="V10" s="30" t="s">
        <v>14</v>
      </c>
      <c r="W10" s="10"/>
      <c r="X10" s="43" t="s">
        <v>11</v>
      </c>
      <c r="Y10" s="10"/>
      <c r="Z10" s="30" t="s">
        <v>15</v>
      </c>
    </row>
    <row r="11" spans="1:26" ht="15.75" x14ac:dyDescent="0.25">
      <c r="A11" s="9"/>
      <c r="B11" s="56"/>
      <c r="C11" s="9"/>
      <c r="D11" s="9"/>
      <c r="E11" s="9"/>
      <c r="F11" s="8"/>
      <c r="G11" s="9"/>
      <c r="H11" s="9"/>
      <c r="I11" s="9"/>
      <c r="J11" s="46"/>
      <c r="K11" s="9"/>
      <c r="L11" s="9"/>
      <c r="M11" s="9"/>
      <c r="N11" s="8"/>
      <c r="P11" s="9"/>
      <c r="Q11" s="9"/>
      <c r="R11" s="8"/>
      <c r="S11" s="9"/>
      <c r="T11" s="9"/>
      <c r="U11" s="9"/>
      <c r="V11" s="46"/>
      <c r="W11" s="9"/>
      <c r="X11" s="9"/>
      <c r="Y11" s="9"/>
      <c r="Z11" s="8"/>
    </row>
    <row r="12" spans="1:26" s="23" customFormat="1" collapsed="1" x14ac:dyDescent="0.25">
      <c r="A12" s="10"/>
      <c r="B12" s="26" t="s">
        <v>7</v>
      </c>
      <c r="C12" s="10"/>
      <c r="D12" s="4">
        <f>SUM(OSRRefD13x_0)</f>
        <v>30210</v>
      </c>
      <c r="E12" s="4"/>
      <c r="F12" s="12"/>
      <c r="G12" s="4"/>
      <c r="H12" s="4">
        <f>SUM(OSRRefH13x_0)</f>
        <v>28226</v>
      </c>
      <c r="I12" s="4"/>
      <c r="J12" s="12"/>
      <c r="K12" s="4"/>
      <c r="L12" s="4">
        <f t="shared" ref="L12:L13" si="0">+D12-H12</f>
        <v>1984</v>
      </c>
      <c r="M12" s="4"/>
      <c r="N12" s="12">
        <f t="shared" ref="N12:N13" si="1">IF(H12=0,0,L12/H12)</f>
        <v>7.028980372706016E-2</v>
      </c>
      <c r="O12" s="10"/>
      <c r="P12" s="4">
        <f>SUM(OSRRefP13x_0)</f>
        <v>118042</v>
      </c>
      <c r="Q12" s="4"/>
      <c r="R12" s="12"/>
      <c r="S12" s="4"/>
      <c r="T12" s="4">
        <f>SUM(OSRRefT13x_0)</f>
        <v>96112</v>
      </c>
      <c r="U12" s="4"/>
      <c r="V12" s="12"/>
      <c r="W12" s="4"/>
      <c r="X12" s="4">
        <f t="shared" ref="X12:X13" si="2">+P12-T12</f>
        <v>21930</v>
      </c>
      <c r="Y12" s="4"/>
      <c r="Z12" s="12">
        <f t="shared" ref="Z12:Z13" si="3">IF(T12=0,0,X12/T12)</f>
        <v>0.2281713001498252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--30210</f>
        <v>30210</v>
      </c>
      <c r="E13" s="2"/>
      <c r="F13" s="19"/>
      <c r="G13" s="2"/>
      <c r="H13" s="2">
        <f>--28226</f>
        <v>28226</v>
      </c>
      <c r="I13" s="2"/>
      <c r="J13" s="19"/>
      <c r="K13" s="2"/>
      <c r="L13" s="2">
        <f t="shared" si="0"/>
        <v>1984</v>
      </c>
      <c r="M13" s="2"/>
      <c r="N13" s="19">
        <f t="shared" si="1"/>
        <v>7.028980372706016E-2</v>
      </c>
      <c r="O13" s="11"/>
      <c r="P13" s="2">
        <f>--118042</f>
        <v>118042</v>
      </c>
      <c r="Q13" s="2"/>
      <c r="R13" s="19"/>
      <c r="S13" s="2"/>
      <c r="T13" s="2">
        <f>--96112</f>
        <v>96112</v>
      </c>
      <c r="U13" s="2"/>
      <c r="V13" s="19"/>
      <c r="W13" s="2"/>
      <c r="X13" s="2">
        <f t="shared" si="2"/>
        <v>21930</v>
      </c>
      <c r="Y13" s="2"/>
      <c r="Z13" s="19">
        <f t="shared" si="3"/>
        <v>0.2281713001498252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6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5" t="s">
        <v>6</v>
      </c>
      <c r="C17" s="25"/>
      <c r="D17" s="22">
        <f>D12-D15</f>
        <v>30210</v>
      </c>
      <c r="E17" s="13"/>
      <c r="F17" s="21">
        <f>IF(D$12=0,0,D17/D$12)</f>
        <v>1</v>
      </c>
      <c r="G17" s="13"/>
      <c r="H17" s="22">
        <f>H12-H15</f>
        <v>28226</v>
      </c>
      <c r="I17" s="13"/>
      <c r="J17" s="21">
        <f>IF(H$12=0,0,H17/H$12)</f>
        <v>1</v>
      </c>
      <c r="K17" s="15"/>
      <c r="L17" s="22">
        <f>+D17-H17</f>
        <v>1984</v>
      </c>
      <c r="M17" s="15"/>
      <c r="N17" s="21">
        <f>IF(H17=0,0,L17/H17)</f>
        <v>7.028980372706016E-2</v>
      </c>
      <c r="O17" s="26"/>
      <c r="P17" s="22">
        <f>P12-P15</f>
        <v>118042</v>
      </c>
      <c r="Q17" s="13"/>
      <c r="R17" s="21">
        <f>IF(P$12=0,0,P17/P$12)</f>
        <v>1</v>
      </c>
      <c r="S17" s="13"/>
      <c r="T17" s="22">
        <f>T12-T15</f>
        <v>96112</v>
      </c>
      <c r="U17" s="13"/>
      <c r="V17" s="21">
        <f>IF(T$12=0,0,T17/T$12)</f>
        <v>1</v>
      </c>
      <c r="W17" s="15"/>
      <c r="X17" s="22">
        <f>+P17-T17</f>
        <v>21930</v>
      </c>
      <c r="Y17" s="15"/>
      <c r="Z17" s="21">
        <f>IF(T17=0,0,X17/T17)</f>
        <v>0.2281713001498252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6" t="s">
        <v>9</v>
      </c>
      <c r="C19" s="10"/>
      <c r="D19" s="20">
        <f>SUM(OSRRefD22x_0)</f>
        <v>25727.17</v>
      </c>
      <c r="E19" s="20"/>
      <c r="F19" s="36">
        <f t="shared" ref="F19:F29" si="4">IF(D$12=0,0,D19/D$12)</f>
        <v>0.85161105594174114</v>
      </c>
      <c r="G19" s="20"/>
      <c r="H19" s="20">
        <f>SUM(OSRRefH22x_0)</f>
        <v>30098.410000000003</v>
      </c>
      <c r="I19" s="20"/>
      <c r="J19" s="36">
        <f t="shared" ref="J19:J29" si="5">IF(H$12=0,0,H19/H$12)</f>
        <v>1.066336356550698</v>
      </c>
      <c r="K19" s="4"/>
      <c r="L19" s="20">
        <f t="shared" ref="L19:L29" si="6">+D19-H19</f>
        <v>-4371.2400000000052</v>
      </c>
      <c r="M19" s="4"/>
      <c r="N19" s="36">
        <f t="shared" ref="N19:N29" si="7">IF(H19=0,0,L19/H19)</f>
        <v>-0.14523159196781507</v>
      </c>
      <c r="O19" s="10"/>
      <c r="P19" s="20">
        <f>SUM(OSRRefP22x_0)</f>
        <v>103962.99</v>
      </c>
      <c r="Q19" s="20"/>
      <c r="R19" s="36">
        <f t="shared" ref="R19:R29" si="8">IF(P$12=0,0,P19/P$12)</f>
        <v>0.88072880839023404</v>
      </c>
      <c r="S19" s="20"/>
      <c r="T19" s="20">
        <f>SUM(OSRRefT22x_0)</f>
        <v>94698.610000000015</v>
      </c>
      <c r="U19" s="20"/>
      <c r="V19" s="36">
        <f t="shared" ref="V19:V29" si="9">IF(T$12=0,0,T19/T$12)</f>
        <v>0.98529434409855188</v>
      </c>
      <c r="W19" s="4"/>
      <c r="X19" s="20">
        <f t="shared" ref="X19:X29" si="10">+P19-T19</f>
        <v>9264.3799999999901</v>
      </c>
      <c r="Y19" s="4"/>
      <c r="Z19" s="36">
        <f t="shared" ref="Z19:Z29" si="11">IF(T19=0,0,X19/T19)</f>
        <v>9.7830158225131164E-2</v>
      </c>
    </row>
    <row r="20" spans="1:26" s="27" customFormat="1" outlineLevel="1" collapsed="1" x14ac:dyDescent="0.25">
      <c r="A20" s="29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3893.62</v>
      </c>
      <c r="E20" s="1"/>
      <c r="F20" s="5">
        <f t="shared" si="4"/>
        <v>0.12888513737173121</v>
      </c>
      <c r="G20" s="1"/>
      <c r="H20" s="1">
        <f>SUM(OSRRefH22_0x_0)</f>
        <v>4870.5900000000011</v>
      </c>
      <c r="I20" s="1"/>
      <c r="J20" s="5">
        <f t="shared" si="5"/>
        <v>0.17255686246722884</v>
      </c>
      <c r="K20" s="1"/>
      <c r="L20" s="1">
        <f t="shared" si="6"/>
        <v>-976.97000000000116</v>
      </c>
      <c r="M20" s="1"/>
      <c r="N20" s="5">
        <f t="shared" si="7"/>
        <v>-0.20058555534339803</v>
      </c>
      <c r="O20" s="14"/>
      <c r="P20" s="1">
        <f>SUM(OSRRefP22_0x_0)</f>
        <v>12176.65</v>
      </c>
      <c r="Q20" s="1"/>
      <c r="R20" s="5">
        <f t="shared" si="8"/>
        <v>0.10315523288321106</v>
      </c>
      <c r="S20" s="1"/>
      <c r="T20" s="1">
        <f>SUM(OSRRefT22_0x_0)</f>
        <v>13496.070000000002</v>
      </c>
      <c r="U20" s="1"/>
      <c r="V20" s="5">
        <f t="shared" si="9"/>
        <v>0.14042023888796407</v>
      </c>
      <c r="W20" s="1"/>
      <c r="X20" s="1">
        <f t="shared" si="10"/>
        <v>-1319.4200000000019</v>
      </c>
      <c r="Y20" s="1"/>
      <c r="Z20" s="5">
        <f t="shared" si="11"/>
        <v>-9.7763274790365035E-2</v>
      </c>
    </row>
    <row r="21" spans="1:26" s="24" customFormat="1" hidden="1" outlineLevel="2" x14ac:dyDescent="0.25">
      <c r="A21" s="28"/>
      <c r="B21" s="11" t="str">
        <f>CONCATENATE("          ", "6111", " - ", "F.I.C.A.")</f>
        <v xml:space="preserve">          6111 - F.I.C.A.</v>
      </c>
      <c r="C21" s="11"/>
      <c r="D21" s="7">
        <v>977.97</v>
      </c>
      <c r="E21" s="2"/>
      <c r="F21" s="6">
        <f t="shared" si="4"/>
        <v>3.2372393247269114E-2</v>
      </c>
      <c r="G21" s="2"/>
      <c r="H21" s="7">
        <v>1067.03</v>
      </c>
      <c r="I21" s="2"/>
      <c r="J21" s="6">
        <f t="shared" si="5"/>
        <v>3.7803089350244456E-2</v>
      </c>
      <c r="K21" s="2"/>
      <c r="L21" s="7">
        <f t="shared" si="6"/>
        <v>-89.059999999999945</v>
      </c>
      <c r="M21" s="2"/>
      <c r="N21" s="6">
        <f t="shared" si="7"/>
        <v>-8.3465319625502521E-2</v>
      </c>
      <c r="O21" s="11"/>
      <c r="P21" s="7">
        <v>3146.26</v>
      </c>
      <c r="Q21" s="2"/>
      <c r="R21" s="6">
        <f t="shared" si="8"/>
        <v>2.6653733416919404E-2</v>
      </c>
      <c r="S21" s="2"/>
      <c r="T21" s="7">
        <v>3424.24</v>
      </c>
      <c r="U21" s="2"/>
      <c r="V21" s="6">
        <f t="shared" si="9"/>
        <v>3.5627601132012653E-2</v>
      </c>
      <c r="W21" s="2"/>
      <c r="X21" s="7">
        <f t="shared" si="10"/>
        <v>-277.97999999999956</v>
      </c>
      <c r="Y21" s="2"/>
      <c r="Z21" s="6">
        <f t="shared" si="11"/>
        <v>-8.118005747260694E-2</v>
      </c>
    </row>
    <row r="22" spans="1:26" s="24" customFormat="1" hidden="1" outlineLevel="2" x14ac:dyDescent="0.25">
      <c r="A22" s="28"/>
      <c r="B22" s="11" t="str">
        <f>CONCATENATE("          ", "6112", " - ", "COMPENSATION INSURANCE")</f>
        <v xml:space="preserve">          6112 - COMPENSATION INSURANCE</v>
      </c>
      <c r="C22" s="11"/>
      <c r="D22" s="7">
        <v>82.4</v>
      </c>
      <c r="E22" s="2"/>
      <c r="F22" s="6">
        <f t="shared" si="4"/>
        <v>2.7275736511089047E-3</v>
      </c>
      <c r="G22" s="2"/>
      <c r="H22" s="7">
        <v>60.71</v>
      </c>
      <c r="I22" s="2"/>
      <c r="J22" s="6">
        <f t="shared" si="5"/>
        <v>2.1508538227166443E-3</v>
      </c>
      <c r="K22" s="2"/>
      <c r="L22" s="7">
        <f t="shared" si="6"/>
        <v>21.690000000000005</v>
      </c>
      <c r="M22" s="2"/>
      <c r="N22" s="6">
        <f t="shared" si="7"/>
        <v>0.35727227804315609</v>
      </c>
      <c r="O22" s="11"/>
      <c r="P22" s="7">
        <v>244.49</v>
      </c>
      <c r="Q22" s="2"/>
      <c r="R22" s="6">
        <f t="shared" si="8"/>
        <v>2.0712119415123432E-3</v>
      </c>
      <c r="S22" s="2"/>
      <c r="T22" s="7">
        <v>170.49</v>
      </c>
      <c r="U22" s="2"/>
      <c r="V22" s="6">
        <f t="shared" si="9"/>
        <v>1.7738679873480941E-3</v>
      </c>
      <c r="W22" s="2"/>
      <c r="X22" s="7">
        <f t="shared" si="10"/>
        <v>74</v>
      </c>
      <c r="Y22" s="2"/>
      <c r="Z22" s="6">
        <f t="shared" si="11"/>
        <v>0.4340430523784386</v>
      </c>
    </row>
    <row r="23" spans="1:26" s="24" customFormat="1" hidden="1" outlineLevel="2" x14ac:dyDescent="0.25">
      <c r="A23" s="28"/>
      <c r="B23" s="11" t="str">
        <f>CONCATENATE("          ", "6113", " - ", "GROUP INSURANCE")</f>
        <v xml:space="preserve">          6113 - GROUP INSURANCE</v>
      </c>
      <c r="C23" s="11"/>
      <c r="D23" s="7">
        <v>1250.75</v>
      </c>
      <c r="E23" s="2"/>
      <c r="F23" s="6">
        <f t="shared" si="4"/>
        <v>4.1401853690830853E-2</v>
      </c>
      <c r="G23" s="2"/>
      <c r="H23" s="7">
        <v>1243.31</v>
      </c>
      <c r="I23" s="2"/>
      <c r="J23" s="6">
        <f t="shared" si="5"/>
        <v>4.4048395096719338E-2</v>
      </c>
      <c r="K23" s="2"/>
      <c r="L23" s="7">
        <f t="shared" si="6"/>
        <v>7.4400000000000546</v>
      </c>
      <c r="M23" s="2"/>
      <c r="N23" s="6">
        <f t="shared" si="7"/>
        <v>5.9840265098809265E-3</v>
      </c>
      <c r="O23" s="11"/>
      <c r="P23" s="7">
        <v>3711.65</v>
      </c>
      <c r="Q23" s="2"/>
      <c r="R23" s="6">
        <f t="shared" si="8"/>
        <v>3.1443469273648363E-2</v>
      </c>
      <c r="S23" s="2"/>
      <c r="T23" s="7">
        <v>3729.93</v>
      </c>
      <c r="U23" s="2"/>
      <c r="V23" s="6">
        <f t="shared" si="9"/>
        <v>3.8808161311802897E-2</v>
      </c>
      <c r="W23" s="2"/>
      <c r="X23" s="7">
        <f t="shared" si="10"/>
        <v>-18.279999999999745</v>
      </c>
      <c r="Y23" s="2"/>
      <c r="Z23" s="6">
        <f t="shared" si="11"/>
        <v>-4.9008962634686836E-3</v>
      </c>
    </row>
    <row r="24" spans="1:26" s="24" customFormat="1" hidden="1" outlineLevel="2" x14ac:dyDescent="0.25">
      <c r="A24" s="28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37.770000000000003</v>
      </c>
      <c r="E24" s="2"/>
      <c r="F24" s="6">
        <f t="shared" si="4"/>
        <v>1.2502482621648463E-3</v>
      </c>
      <c r="G24" s="2"/>
      <c r="H24" s="7">
        <v>46.4</v>
      </c>
      <c r="I24" s="2"/>
      <c r="J24" s="6">
        <f t="shared" si="5"/>
        <v>1.6438744420038261E-3</v>
      </c>
      <c r="K24" s="2"/>
      <c r="L24" s="7">
        <f t="shared" si="6"/>
        <v>-8.6299999999999955</v>
      </c>
      <c r="M24" s="2"/>
      <c r="N24" s="6">
        <f t="shared" si="7"/>
        <v>-0.18599137931034473</v>
      </c>
      <c r="O24" s="11"/>
      <c r="P24" s="7">
        <v>111.17</v>
      </c>
      <c r="Q24" s="2"/>
      <c r="R24" s="6">
        <f t="shared" si="8"/>
        <v>9.4178343301536745E-4</v>
      </c>
      <c r="S24" s="2"/>
      <c r="T24" s="7">
        <v>130.35</v>
      </c>
      <c r="U24" s="2"/>
      <c r="V24" s="6">
        <f t="shared" si="9"/>
        <v>1.3562302313967038E-3</v>
      </c>
      <c r="W24" s="2"/>
      <c r="X24" s="7">
        <f t="shared" si="10"/>
        <v>-19.179999999999993</v>
      </c>
      <c r="Y24" s="2"/>
      <c r="Z24" s="6">
        <f t="shared" si="11"/>
        <v>-0.14714230916762558</v>
      </c>
    </row>
    <row r="25" spans="1:26" s="24" customFormat="1" hidden="1" outlineLevel="2" x14ac:dyDescent="0.25">
      <c r="A25" s="28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2.1196623634558095E-2</v>
      </c>
      <c r="G25" s="2"/>
      <c r="H25" s="7">
        <v>639.47</v>
      </c>
      <c r="I25" s="2"/>
      <c r="J25" s="6">
        <f t="shared" si="5"/>
        <v>2.2655353220435062E-2</v>
      </c>
      <c r="K25" s="2"/>
      <c r="L25" s="7">
        <f t="shared" si="6"/>
        <v>0.87999999999999545</v>
      </c>
      <c r="M25" s="2"/>
      <c r="N25" s="6">
        <f t="shared" si="7"/>
        <v>1.3761396156191776E-3</v>
      </c>
      <c r="O25" s="11"/>
      <c r="P25" s="7">
        <v>2220.14</v>
      </c>
      <c r="Q25" s="2"/>
      <c r="R25" s="6">
        <f t="shared" si="8"/>
        <v>1.8808051371545721E-2</v>
      </c>
      <c r="S25" s="2"/>
      <c r="T25" s="7">
        <v>1857.51</v>
      </c>
      <c r="U25" s="2"/>
      <c r="V25" s="6">
        <f t="shared" si="9"/>
        <v>1.9326514899284167E-2</v>
      </c>
      <c r="W25" s="2"/>
      <c r="X25" s="7">
        <f t="shared" si="10"/>
        <v>362.62999999999988</v>
      </c>
      <c r="Y25" s="2"/>
      <c r="Z25" s="6">
        <f t="shared" si="11"/>
        <v>0.1952237134658763</v>
      </c>
    </row>
    <row r="26" spans="1:26" s="24" customFormat="1" hidden="1" outlineLevel="2" x14ac:dyDescent="0.25">
      <c r="A26" s="28"/>
      <c r="B26" s="11" t="str">
        <f>CONCATENATE("          ", "6117", " - ", "RETIREMENT STAFF HOURLY")</f>
        <v xml:space="preserve">          6117 - RETIREMENT STAFF HOURLY</v>
      </c>
      <c r="C26" s="11"/>
      <c r="D26" s="7">
        <v>85.1</v>
      </c>
      <c r="E26" s="2"/>
      <c r="F26" s="6">
        <f t="shared" si="4"/>
        <v>2.8169480304534918E-3</v>
      </c>
      <c r="G26" s="2"/>
      <c r="H26" s="7"/>
      <c r="I26" s="2"/>
      <c r="J26" s="6">
        <f t="shared" si="5"/>
        <v>0</v>
      </c>
      <c r="K26" s="2"/>
      <c r="L26" s="7">
        <f t="shared" si="6"/>
        <v>85.1</v>
      </c>
      <c r="M26" s="2"/>
      <c r="N26" s="6">
        <f t="shared" si="7"/>
        <v>0</v>
      </c>
      <c r="O26" s="11"/>
      <c r="P26" s="7">
        <v>285.10000000000002</v>
      </c>
      <c r="Q26" s="2"/>
      <c r="R26" s="6">
        <f t="shared" si="8"/>
        <v>2.4152420324969081E-3</v>
      </c>
      <c r="S26" s="2"/>
      <c r="T26" s="7"/>
      <c r="U26" s="2"/>
      <c r="V26" s="6">
        <f t="shared" si="9"/>
        <v>0</v>
      </c>
      <c r="W26" s="2"/>
      <c r="X26" s="7">
        <f t="shared" si="10"/>
        <v>285.10000000000002</v>
      </c>
      <c r="Y26" s="2"/>
      <c r="Z26" s="6">
        <f t="shared" si="11"/>
        <v>0</v>
      </c>
    </row>
    <row r="27" spans="1:26" s="24" customFormat="1" hidden="1" outlineLevel="2" x14ac:dyDescent="0.25">
      <c r="A27" s="28"/>
      <c r="B27" s="11" t="str">
        <f>CONCATENATE("          ", "6118", " - ", "VACATION")</f>
        <v xml:space="preserve">          6118 - VACATION</v>
      </c>
      <c r="C27" s="11"/>
      <c r="D27" s="7">
        <v>520.02</v>
      </c>
      <c r="E27" s="2"/>
      <c r="F27" s="6">
        <f t="shared" si="4"/>
        <v>1.7213505461767625E-2</v>
      </c>
      <c r="G27" s="2"/>
      <c r="H27" s="7">
        <v>1076.3</v>
      </c>
      <c r="I27" s="2"/>
      <c r="J27" s="6">
        <f t="shared" si="5"/>
        <v>3.8131509955360306E-2</v>
      </c>
      <c r="K27" s="2"/>
      <c r="L27" s="7">
        <f t="shared" si="6"/>
        <v>-556.28</v>
      </c>
      <c r="M27" s="2"/>
      <c r="N27" s="6">
        <f t="shared" si="7"/>
        <v>-0.51684474588869278</v>
      </c>
      <c r="O27" s="11"/>
      <c r="P27" s="7">
        <v>1560.06</v>
      </c>
      <c r="Q27" s="2"/>
      <c r="R27" s="6">
        <f t="shared" si="8"/>
        <v>1.3216143406584096E-2</v>
      </c>
      <c r="S27" s="2"/>
      <c r="T27" s="7">
        <v>2470.08</v>
      </c>
      <c r="U27" s="2"/>
      <c r="V27" s="6">
        <f t="shared" si="9"/>
        <v>2.5700016647244882E-2</v>
      </c>
      <c r="W27" s="2"/>
      <c r="X27" s="7">
        <f t="shared" si="10"/>
        <v>-910.02</v>
      </c>
      <c r="Y27" s="2"/>
      <c r="Z27" s="6">
        <f t="shared" si="11"/>
        <v>-0.36841721725612125</v>
      </c>
    </row>
    <row r="28" spans="1:26" s="24" customFormat="1" hidden="1" outlineLevel="2" x14ac:dyDescent="0.25">
      <c r="A28" s="28"/>
      <c r="B28" s="11" t="str">
        <f>CONCATENATE("          ", "6119", " - ", "SICK LEAVE")</f>
        <v xml:space="preserve">          6119 - SICK LEAVE</v>
      </c>
      <c r="C28" s="11"/>
      <c r="D28" s="7">
        <v>299.26</v>
      </c>
      <c r="E28" s="2"/>
      <c r="F28" s="6">
        <f t="shared" si="4"/>
        <v>9.9059913935782857E-3</v>
      </c>
      <c r="G28" s="2"/>
      <c r="H28" s="7">
        <v>562.48</v>
      </c>
      <c r="I28" s="2"/>
      <c r="J28" s="6">
        <f t="shared" si="5"/>
        <v>1.9927726209877417E-2</v>
      </c>
      <c r="K28" s="2"/>
      <c r="L28" s="7">
        <f t="shared" si="6"/>
        <v>-263.22000000000003</v>
      </c>
      <c r="M28" s="2"/>
      <c r="N28" s="6">
        <f t="shared" si="7"/>
        <v>-0.46796330536196845</v>
      </c>
      <c r="O28" s="11"/>
      <c r="P28" s="7">
        <v>897.78</v>
      </c>
      <c r="Q28" s="2"/>
      <c r="R28" s="6">
        <f t="shared" si="8"/>
        <v>7.6055980074888601E-3</v>
      </c>
      <c r="S28" s="2"/>
      <c r="T28" s="7">
        <v>1255.7</v>
      </c>
      <c r="U28" s="2"/>
      <c r="V28" s="6">
        <f t="shared" si="9"/>
        <v>1.3064965873147994E-2</v>
      </c>
      <c r="W28" s="2"/>
      <c r="X28" s="7">
        <f t="shared" si="10"/>
        <v>-357.92000000000007</v>
      </c>
      <c r="Y28" s="2"/>
      <c r="Z28" s="6">
        <f t="shared" si="11"/>
        <v>-0.28503623476945134</v>
      </c>
    </row>
    <row r="29" spans="1:26" s="24" customFormat="1" hidden="1" outlineLevel="2" x14ac:dyDescent="0.25">
      <c r="A29" s="28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174.89</v>
      </c>
      <c r="I29" s="2"/>
      <c r="J29" s="6">
        <f t="shared" si="5"/>
        <v>6.1960603698717493E-3</v>
      </c>
      <c r="K29" s="2"/>
      <c r="L29" s="7">
        <f t="shared" si="6"/>
        <v>-174.89</v>
      </c>
      <c r="M29" s="2"/>
      <c r="N29" s="6">
        <f t="shared" si="7"/>
        <v>-1</v>
      </c>
      <c r="O29" s="11"/>
      <c r="P29" s="7"/>
      <c r="Q29" s="2"/>
      <c r="R29" s="6">
        <f t="shared" si="8"/>
        <v>0</v>
      </c>
      <c r="S29" s="2"/>
      <c r="T29" s="7">
        <v>457.77</v>
      </c>
      <c r="U29" s="2"/>
      <c r="V29" s="6">
        <f t="shared" si="9"/>
        <v>4.7628808057266518E-3</v>
      </c>
      <c r="W29" s="2"/>
      <c r="X29" s="7">
        <f t="shared" si="10"/>
        <v>-457.77</v>
      </c>
      <c r="Y29" s="2"/>
      <c r="Z29" s="6">
        <f t="shared" si="11"/>
        <v>-1</v>
      </c>
    </row>
    <row r="30" spans="1:26" s="27" customFormat="1" outlineLevel="1" collapsed="1" x14ac:dyDescent="0.25">
      <c r="A30" s="29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13598.04</v>
      </c>
      <c r="E30" s="1"/>
      <c r="F30" s="5">
        <f t="shared" ref="F30:F35" si="12">IF(D$12=0,0,D30/D$12)</f>
        <v>0.45011717974180737</v>
      </c>
      <c r="G30" s="1"/>
      <c r="H30" s="1">
        <f>SUM(OSRRefH22_1x_0)</f>
        <v>17084.79</v>
      </c>
      <c r="I30" s="1"/>
      <c r="J30" s="5">
        <f t="shared" ref="J30:J35" si="13">IF(H$12=0,0,H30/H$12)</f>
        <v>0.60528555232764125</v>
      </c>
      <c r="K30" s="1"/>
      <c r="L30" s="1">
        <f t="shared" ref="L30:L35" si="14">+D30-H30</f>
        <v>-3486.75</v>
      </c>
      <c r="M30" s="1"/>
      <c r="N30" s="5">
        <f t="shared" ref="N30:N35" si="15">IF(H30=0,0,L30/H30)</f>
        <v>-0.20408503704171954</v>
      </c>
      <c r="O30" s="14"/>
      <c r="P30" s="1">
        <f>SUM(OSRRefP22_1x_0)</f>
        <v>46046.859999999993</v>
      </c>
      <c r="Q30" s="1"/>
      <c r="R30" s="5">
        <f t="shared" ref="R30:R35" si="16">IF(P$12=0,0,P30/P$12)</f>
        <v>0.39008878195896368</v>
      </c>
      <c r="S30" s="1"/>
      <c r="T30" s="1">
        <f>SUM(OSRRefT22_1x_0)</f>
        <v>53857.280000000006</v>
      </c>
      <c r="U30" s="1"/>
      <c r="V30" s="5">
        <f t="shared" ref="V30:V35" si="17">IF(T$12=0,0,T30/T$12)</f>
        <v>0.56035958048942902</v>
      </c>
      <c r="W30" s="1"/>
      <c r="X30" s="1">
        <f t="shared" ref="X30:X35" si="18">+P30-T30</f>
        <v>-7810.4200000000128</v>
      </c>
      <c r="Y30" s="1"/>
      <c r="Z30" s="5">
        <f t="shared" ref="Z30:Z35" si="19">IF(T30=0,0,X30/T30)</f>
        <v>-0.14502069172449875</v>
      </c>
    </row>
    <row r="31" spans="1:26" s="24" customFormat="1" hidden="1" outlineLevel="2" x14ac:dyDescent="0.25">
      <c r="A31" s="28"/>
      <c r="B31" s="11" t="str">
        <f>CONCATENATE("          ", "6001", " - ", "ADMINISTRATIVE SALARIES")</f>
        <v xml:space="preserve">          6001 - ADMINISTRATIVE SALARIES</v>
      </c>
      <c r="C31" s="11"/>
      <c r="D31" s="7">
        <v>4205.72</v>
      </c>
      <c r="E31" s="2"/>
      <c r="F31" s="6">
        <f t="shared" si="12"/>
        <v>0.139216153591526</v>
      </c>
      <c r="G31" s="2"/>
      <c r="H31" s="7"/>
      <c r="I31" s="2"/>
      <c r="J31" s="6">
        <f t="shared" si="13"/>
        <v>0</v>
      </c>
      <c r="K31" s="2"/>
      <c r="L31" s="7">
        <f t="shared" si="14"/>
        <v>4205.72</v>
      </c>
      <c r="M31" s="2"/>
      <c r="N31" s="6">
        <f t="shared" si="15"/>
        <v>0</v>
      </c>
      <c r="O31" s="11"/>
      <c r="P31" s="7">
        <v>13669.16</v>
      </c>
      <c r="Q31" s="2"/>
      <c r="R31" s="6">
        <f t="shared" si="16"/>
        <v>0.11579912234628352</v>
      </c>
      <c r="S31" s="2"/>
      <c r="T31" s="7"/>
      <c r="U31" s="2"/>
      <c r="V31" s="6">
        <f t="shared" si="17"/>
        <v>0</v>
      </c>
      <c r="W31" s="2"/>
      <c r="X31" s="7">
        <f t="shared" si="18"/>
        <v>13669.16</v>
      </c>
      <c r="Y31" s="2"/>
      <c r="Z31" s="6">
        <f t="shared" si="19"/>
        <v>0</v>
      </c>
    </row>
    <row r="32" spans="1:26" s="24" customFormat="1" hidden="1" outlineLevel="2" x14ac:dyDescent="0.25">
      <c r="A32" s="28"/>
      <c r="B32" s="11" t="str">
        <f>CONCATENATE("          ", "6002", " - ", "STAFF SALARIES")</f>
        <v xml:space="preserve">          6002 - STAFF SALARIES</v>
      </c>
      <c r="C32" s="11"/>
      <c r="D32" s="7">
        <v>2282.3000000000002</v>
      </c>
      <c r="E32" s="2"/>
      <c r="F32" s="6">
        <f t="shared" si="12"/>
        <v>7.5547831843760349E-2</v>
      </c>
      <c r="G32" s="2"/>
      <c r="H32" s="7">
        <v>6017.64</v>
      </c>
      <c r="I32" s="2"/>
      <c r="J32" s="6">
        <f t="shared" si="13"/>
        <v>0.21319492666336004</v>
      </c>
      <c r="K32" s="2"/>
      <c r="L32" s="7">
        <f t="shared" si="14"/>
        <v>-3735.34</v>
      </c>
      <c r="M32" s="2"/>
      <c r="N32" s="6">
        <f t="shared" si="15"/>
        <v>-0.62073171542332206</v>
      </c>
      <c r="O32" s="11"/>
      <c r="P32" s="7">
        <v>6961.44</v>
      </c>
      <c r="Q32" s="2"/>
      <c r="R32" s="6">
        <f t="shared" si="16"/>
        <v>5.8974263397773667E-2</v>
      </c>
      <c r="S32" s="2"/>
      <c r="T32" s="7">
        <v>18232.95</v>
      </c>
      <c r="U32" s="2"/>
      <c r="V32" s="6">
        <f t="shared" si="17"/>
        <v>0.1897052397203263</v>
      </c>
      <c r="W32" s="2"/>
      <c r="X32" s="7">
        <f t="shared" si="18"/>
        <v>-11271.510000000002</v>
      </c>
      <c r="Y32" s="2"/>
      <c r="Z32" s="6">
        <f t="shared" si="19"/>
        <v>-0.6181945324261845</v>
      </c>
    </row>
    <row r="33" spans="1:26" s="24" customFormat="1" hidden="1" outlineLevel="2" x14ac:dyDescent="0.25">
      <c r="A33" s="28"/>
      <c r="B33" s="11" t="str">
        <f>CONCATENATE("          ", "6005", " - ", "TEMPORARY WAGES-HOURLY")</f>
        <v xml:space="preserve">          6005 - TEMPORARY WAGES-HOURLY</v>
      </c>
      <c r="C33" s="11"/>
      <c r="D33" s="7">
        <v>6363.16</v>
      </c>
      <c r="E33" s="2"/>
      <c r="F33" s="6">
        <f t="shared" si="12"/>
        <v>0.21063091691492883</v>
      </c>
      <c r="G33" s="2"/>
      <c r="H33" s="7">
        <v>8155.67</v>
      </c>
      <c r="I33" s="2"/>
      <c r="J33" s="6">
        <f t="shared" si="13"/>
        <v>0.28894175582796006</v>
      </c>
      <c r="K33" s="2"/>
      <c r="L33" s="7">
        <f t="shared" si="14"/>
        <v>-1792.5100000000002</v>
      </c>
      <c r="M33" s="2"/>
      <c r="N33" s="6">
        <f t="shared" si="15"/>
        <v>-0.21978697029183381</v>
      </c>
      <c r="O33" s="11"/>
      <c r="P33" s="7">
        <v>21005.52</v>
      </c>
      <c r="Q33" s="2"/>
      <c r="R33" s="6">
        <f t="shared" si="16"/>
        <v>0.17794954338286373</v>
      </c>
      <c r="S33" s="2"/>
      <c r="T33" s="7">
        <v>21350.06</v>
      </c>
      <c r="U33" s="2"/>
      <c r="V33" s="6">
        <f t="shared" si="17"/>
        <v>0.22213729815215583</v>
      </c>
      <c r="W33" s="2"/>
      <c r="X33" s="7">
        <f t="shared" si="18"/>
        <v>-344.54000000000087</v>
      </c>
      <c r="Y33" s="2"/>
      <c r="Z33" s="6">
        <f t="shared" si="19"/>
        <v>-1.6137659566296342E-2</v>
      </c>
    </row>
    <row r="34" spans="1:26" s="24" customFormat="1" hidden="1" outlineLevel="2" x14ac:dyDescent="0.25">
      <c r="A34" s="28"/>
      <c r="B34" s="11" t="str">
        <f>CONCATENATE("          ", "6007", " - ", "STUDENT HOURLY")</f>
        <v xml:space="preserve">          6007 - STUDENT HOURLY</v>
      </c>
      <c r="C34" s="11"/>
      <c r="D34" s="7">
        <v>-96.5</v>
      </c>
      <c r="E34" s="2"/>
      <c r="F34" s="6">
        <f t="shared" si="12"/>
        <v>-3.1943065210195301E-3</v>
      </c>
      <c r="G34" s="2"/>
      <c r="H34" s="7">
        <v>2136.91</v>
      </c>
      <c r="I34" s="2"/>
      <c r="J34" s="6">
        <f t="shared" si="13"/>
        <v>7.5707149436689575E-2</v>
      </c>
      <c r="K34" s="2"/>
      <c r="L34" s="7">
        <f t="shared" si="14"/>
        <v>-2233.41</v>
      </c>
      <c r="M34" s="2"/>
      <c r="N34" s="6">
        <f t="shared" si="15"/>
        <v>-1.0451586636779275</v>
      </c>
      <c r="O34" s="11"/>
      <c r="P34" s="7">
        <v>3567.38</v>
      </c>
      <c r="Q34" s="2"/>
      <c r="R34" s="6">
        <f t="shared" si="16"/>
        <v>3.0221277172531813E-2</v>
      </c>
      <c r="S34" s="2"/>
      <c r="T34" s="7">
        <v>12199.2</v>
      </c>
      <c r="U34" s="2"/>
      <c r="V34" s="6">
        <f t="shared" si="17"/>
        <v>0.12692691859497254</v>
      </c>
      <c r="W34" s="2"/>
      <c r="X34" s="7">
        <f t="shared" si="18"/>
        <v>-8631.82</v>
      </c>
      <c r="Y34" s="2"/>
      <c r="Z34" s="6">
        <f t="shared" si="19"/>
        <v>-0.70757262771329266</v>
      </c>
    </row>
    <row r="35" spans="1:26" s="24" customFormat="1" hidden="1" outlineLevel="2" x14ac:dyDescent="0.25">
      <c r="A35" s="28"/>
      <c r="B35" s="11" t="str">
        <f>CONCATENATE("          ", "6008", " - ", "STUDENT HOURLY-FICA EXEMPT")</f>
        <v xml:space="preserve">          6008 - STUDENT HOURLY-FICA EXEMPT</v>
      </c>
      <c r="C35" s="11"/>
      <c r="D35" s="7">
        <v>843.36</v>
      </c>
      <c r="E35" s="2"/>
      <c r="F35" s="6">
        <f t="shared" si="12"/>
        <v>2.7916583912611717E-2</v>
      </c>
      <c r="G35" s="2"/>
      <c r="H35" s="7">
        <v>774.57</v>
      </c>
      <c r="I35" s="2"/>
      <c r="J35" s="6">
        <f t="shared" si="13"/>
        <v>2.7441720399631546E-2</v>
      </c>
      <c r="K35" s="2"/>
      <c r="L35" s="7">
        <f t="shared" si="14"/>
        <v>68.789999999999964</v>
      </c>
      <c r="M35" s="2"/>
      <c r="N35" s="6">
        <f t="shared" si="15"/>
        <v>8.881056586234938E-2</v>
      </c>
      <c r="O35" s="11"/>
      <c r="P35" s="7">
        <v>843.36</v>
      </c>
      <c r="Q35" s="2"/>
      <c r="R35" s="6">
        <f t="shared" si="16"/>
        <v>7.1445756595110215E-3</v>
      </c>
      <c r="S35" s="2"/>
      <c r="T35" s="7">
        <v>2075.0700000000002</v>
      </c>
      <c r="U35" s="2"/>
      <c r="V35" s="6">
        <f t="shared" si="17"/>
        <v>2.1590124021974366E-2</v>
      </c>
      <c r="W35" s="2"/>
      <c r="X35" s="7">
        <f t="shared" si="18"/>
        <v>-1231.71</v>
      </c>
      <c r="Y35" s="2"/>
      <c r="Z35" s="6">
        <f t="shared" si="19"/>
        <v>-0.59357515650074455</v>
      </c>
    </row>
    <row r="36" spans="1:26" s="27" customFormat="1" outlineLevel="1" collapsed="1" x14ac:dyDescent="0.25">
      <c r="A36" s="29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20">IF(D$12=0,0,D36/D$12)</f>
        <v>0</v>
      </c>
      <c r="G36" s="1"/>
      <c r="H36" s="1">
        <f>SUM(OSRRefH22_2x_0)</f>
        <v>0</v>
      </c>
      <c r="I36" s="1"/>
      <c r="J36" s="5">
        <f t="shared" ref="J36:J44" si="21">IF(H$12=0,0,H36/H$12)</f>
        <v>0</v>
      </c>
      <c r="K36" s="1"/>
      <c r="L36" s="1">
        <f t="shared" ref="L36:L44" si="22">+D36-H36</f>
        <v>0</v>
      </c>
      <c r="M36" s="1"/>
      <c r="N36" s="5">
        <f t="shared" ref="N36:N44" si="23">IF(H36=0,0,L36/H36)</f>
        <v>0</v>
      </c>
      <c r="O36" s="14"/>
      <c r="P36" s="1">
        <f>SUM(OSRRefP22_2x_0)</f>
        <v>0</v>
      </c>
      <c r="Q36" s="1"/>
      <c r="R36" s="5">
        <f t="shared" ref="R36:R44" si="24">IF(P$12=0,0,P36/P$12)</f>
        <v>0</v>
      </c>
      <c r="S36" s="1"/>
      <c r="T36" s="1">
        <f>SUM(OSRRefT22_2x_0)</f>
        <v>38</v>
      </c>
      <c r="U36" s="1"/>
      <c r="V36" s="5">
        <f t="shared" ref="V36:V44" si="25">IF(T$12=0,0,T36/T$12)</f>
        <v>3.9537206592308975E-4</v>
      </c>
      <c r="W36" s="1"/>
      <c r="X36" s="1">
        <f t="shared" ref="X36:X44" si="26">+P36-T36</f>
        <v>-38</v>
      </c>
      <c r="Y36" s="1"/>
      <c r="Z36" s="5">
        <f t="shared" ref="Z36:Z44" si="27">IF(T36=0,0,X36/T36)</f>
        <v>-1</v>
      </c>
    </row>
    <row r="37" spans="1:26" s="24" customFormat="1" hidden="1" outlineLevel="2" x14ac:dyDescent="0.25">
      <c r="A37" s="28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/>
      <c r="I37" s="2"/>
      <c r="J37" s="6">
        <f t="shared" si="21"/>
        <v>0</v>
      </c>
      <c r="K37" s="2"/>
      <c r="L37" s="7">
        <f t="shared" si="22"/>
        <v>0</v>
      </c>
      <c r="M37" s="2"/>
      <c r="N37" s="6">
        <f t="shared" si="23"/>
        <v>0</v>
      </c>
      <c r="O37" s="11"/>
      <c r="P37" s="7"/>
      <c r="Q37" s="2"/>
      <c r="R37" s="6">
        <f t="shared" si="24"/>
        <v>0</v>
      </c>
      <c r="S37" s="2"/>
      <c r="T37" s="7">
        <v>38</v>
      </c>
      <c r="U37" s="2"/>
      <c r="V37" s="6">
        <f t="shared" si="25"/>
        <v>3.9537206592308975E-4</v>
      </c>
      <c r="W37" s="2"/>
      <c r="X37" s="7">
        <f t="shared" si="26"/>
        <v>-38</v>
      </c>
      <c r="Y37" s="2"/>
      <c r="Z37" s="6">
        <f t="shared" si="27"/>
        <v>-1</v>
      </c>
    </row>
    <row r="38" spans="1:26" s="27" customFormat="1" outlineLevel="1" collapsed="1" x14ac:dyDescent="0.25">
      <c r="A38" s="29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94</v>
      </c>
      <c r="E38" s="1"/>
      <c r="F38" s="5">
        <f t="shared" si="20"/>
        <v>3.1115524660708374E-3</v>
      </c>
      <c r="G38" s="1"/>
      <c r="H38" s="1">
        <f>SUM(OSRRefH22_3x_0)</f>
        <v>3111.56</v>
      </c>
      <c r="I38" s="1"/>
      <c r="J38" s="5">
        <f t="shared" si="21"/>
        <v>0.1102373698008928</v>
      </c>
      <c r="K38" s="1"/>
      <c r="L38" s="1">
        <f t="shared" si="22"/>
        <v>-3017.56</v>
      </c>
      <c r="M38" s="1"/>
      <c r="N38" s="5">
        <f t="shared" si="23"/>
        <v>-0.96979007314658883</v>
      </c>
      <c r="O38" s="14"/>
      <c r="P38" s="1">
        <f>SUM(OSRRefP22_3x_0)</f>
        <v>464.43</v>
      </c>
      <c r="Q38" s="1"/>
      <c r="R38" s="5">
        <f t="shared" si="24"/>
        <v>3.9344470612154995E-3</v>
      </c>
      <c r="S38" s="1"/>
      <c r="T38" s="1">
        <f>SUM(OSRRefT22_3x_0)</f>
        <v>5606.05</v>
      </c>
      <c r="U38" s="1"/>
      <c r="V38" s="5">
        <f t="shared" si="25"/>
        <v>5.8328304478108876E-2</v>
      </c>
      <c r="W38" s="1"/>
      <c r="X38" s="1">
        <f t="shared" si="26"/>
        <v>-5141.62</v>
      </c>
      <c r="Y38" s="1"/>
      <c r="Z38" s="5">
        <f t="shared" si="27"/>
        <v>-0.91715557299702999</v>
      </c>
    </row>
    <row r="39" spans="1:26" s="24" customFormat="1" hidden="1" outlineLevel="2" x14ac:dyDescent="0.25">
      <c r="A39" s="28"/>
      <c r="B39" s="11" t="str">
        <f>CONCATENATE("          ", "6381", " - ", "BANK/CREDIT CARD FEES")</f>
        <v xml:space="preserve">          6381 - BANK/CREDIT CARD FEES</v>
      </c>
      <c r="C39" s="11"/>
      <c r="D39" s="7">
        <v>94</v>
      </c>
      <c r="E39" s="2"/>
      <c r="F39" s="6">
        <f t="shared" si="20"/>
        <v>3.1115524660708374E-3</v>
      </c>
      <c r="G39" s="2"/>
      <c r="H39" s="7">
        <v>3111.56</v>
      </c>
      <c r="I39" s="2"/>
      <c r="J39" s="6">
        <f t="shared" si="21"/>
        <v>0.1102373698008928</v>
      </c>
      <c r="K39" s="2"/>
      <c r="L39" s="7">
        <f t="shared" si="22"/>
        <v>-3017.56</v>
      </c>
      <c r="M39" s="2"/>
      <c r="N39" s="6">
        <f t="shared" si="23"/>
        <v>-0.96979007314658883</v>
      </c>
      <c r="O39" s="11"/>
      <c r="P39" s="7">
        <v>464.43</v>
      </c>
      <c r="Q39" s="2"/>
      <c r="R39" s="6">
        <f t="shared" si="24"/>
        <v>3.9344470612154995E-3</v>
      </c>
      <c r="S39" s="2"/>
      <c r="T39" s="7">
        <v>5606.05</v>
      </c>
      <c r="U39" s="2"/>
      <c r="V39" s="6">
        <f t="shared" si="25"/>
        <v>5.8328304478108876E-2</v>
      </c>
      <c r="W39" s="2"/>
      <c r="X39" s="7">
        <f t="shared" si="26"/>
        <v>-5141.62</v>
      </c>
      <c r="Y39" s="2"/>
      <c r="Z39" s="6">
        <f t="shared" si="27"/>
        <v>-0.91715557299702999</v>
      </c>
    </row>
    <row r="40" spans="1:26" s="27" customFormat="1" outlineLevel="1" collapsed="1" x14ac:dyDescent="0.25">
      <c r="A40" s="29"/>
      <c r="B40" s="14" t="str">
        <f>CONCATENATE("     ","Employees' Appreciation                           ")</f>
        <v xml:space="preserve">     Employees' Appreciation                           </v>
      </c>
      <c r="C40" s="14"/>
      <c r="D40" s="1">
        <f>SUM(OSRRefD22_4x_0)</f>
        <v>0</v>
      </c>
      <c r="E40" s="1"/>
      <c r="F40" s="5">
        <f t="shared" si="20"/>
        <v>0</v>
      </c>
      <c r="G40" s="1"/>
      <c r="H40" s="1">
        <f>SUM(OSRRefH22_4x_0)</f>
        <v>64.239999999999995</v>
      </c>
      <c r="I40" s="1"/>
      <c r="J40" s="5">
        <f t="shared" si="21"/>
        <v>2.2759158222915043E-3</v>
      </c>
      <c r="K40" s="1"/>
      <c r="L40" s="1">
        <f t="shared" si="22"/>
        <v>-64.239999999999995</v>
      </c>
      <c r="M40" s="1"/>
      <c r="N40" s="5">
        <f t="shared" si="23"/>
        <v>-1</v>
      </c>
      <c r="O40" s="14"/>
      <c r="P40" s="1">
        <f>SUM(OSRRefP22_4x_0)</f>
        <v>0</v>
      </c>
      <c r="Q40" s="1"/>
      <c r="R40" s="5">
        <f t="shared" si="24"/>
        <v>0</v>
      </c>
      <c r="S40" s="1"/>
      <c r="T40" s="1">
        <f>SUM(OSRRefT22_4x_0)</f>
        <v>64.239999999999995</v>
      </c>
      <c r="U40" s="1"/>
      <c r="V40" s="5">
        <f t="shared" si="25"/>
        <v>6.6838688197103373E-4</v>
      </c>
      <c r="W40" s="1"/>
      <c r="X40" s="1">
        <f t="shared" si="26"/>
        <v>-64.239999999999995</v>
      </c>
      <c r="Y40" s="1"/>
      <c r="Z40" s="5">
        <f t="shared" si="27"/>
        <v>-1</v>
      </c>
    </row>
    <row r="41" spans="1:26" s="24" customFormat="1" hidden="1" outlineLevel="2" x14ac:dyDescent="0.25">
      <c r="A41" s="28"/>
      <c r="B41" s="11" t="str">
        <f>CONCATENATE("          ", "6277", " - ", "EMPLOYEE APPRECIATION")</f>
        <v xml:space="preserve">          6277 - EMPLOYEE APPRECIATION</v>
      </c>
      <c r="C41" s="11"/>
      <c r="D41" s="7"/>
      <c r="E41" s="2"/>
      <c r="F41" s="6">
        <f t="shared" si="20"/>
        <v>0</v>
      </c>
      <c r="G41" s="2"/>
      <c r="H41" s="7">
        <v>64.239999999999995</v>
      </c>
      <c r="I41" s="2"/>
      <c r="J41" s="6">
        <f t="shared" si="21"/>
        <v>2.2759158222915043E-3</v>
      </c>
      <c r="K41" s="2"/>
      <c r="L41" s="7">
        <f t="shared" si="22"/>
        <v>-64.239999999999995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64.239999999999995</v>
      </c>
      <c r="U41" s="2"/>
      <c r="V41" s="6">
        <f t="shared" si="25"/>
        <v>6.6838688197103373E-4</v>
      </c>
      <c r="W41" s="2"/>
      <c r="X41" s="7">
        <f t="shared" si="26"/>
        <v>-64.239999999999995</v>
      </c>
      <c r="Y41" s="2"/>
      <c r="Z41" s="6">
        <f t="shared" si="27"/>
        <v>-1</v>
      </c>
    </row>
    <row r="42" spans="1:26" s="27" customFormat="1" outlineLevel="1" collapsed="1" x14ac:dyDescent="0.25">
      <c r="A42" s="29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SUM(OSRRefD22_5x_0)</f>
        <v>0.5</v>
      </c>
      <c r="E42" s="1"/>
      <c r="F42" s="5">
        <f t="shared" si="20"/>
        <v>1.6550810989738498E-5</v>
      </c>
      <c r="G42" s="1"/>
      <c r="H42" s="1">
        <f>SUM(OSRRefH22_5x_0)</f>
        <v>0</v>
      </c>
      <c r="I42" s="1"/>
      <c r="J42" s="5">
        <f t="shared" si="21"/>
        <v>0</v>
      </c>
      <c r="K42" s="1"/>
      <c r="L42" s="1">
        <f t="shared" si="22"/>
        <v>0.5</v>
      </c>
      <c r="M42" s="1"/>
      <c r="N42" s="5">
        <f t="shared" si="23"/>
        <v>0</v>
      </c>
      <c r="O42" s="14"/>
      <c r="P42" s="1">
        <f>SUM(OSRRefP22_5x_0)</f>
        <v>0.79</v>
      </c>
      <c r="Q42" s="1"/>
      <c r="R42" s="5">
        <f t="shared" si="24"/>
        <v>6.6925331661611973E-6</v>
      </c>
      <c r="S42" s="1"/>
      <c r="T42" s="1">
        <f>SUM(OSRRefT22_5x_0)</f>
        <v>0</v>
      </c>
      <c r="U42" s="1"/>
      <c r="V42" s="5">
        <f t="shared" si="25"/>
        <v>0</v>
      </c>
      <c r="W42" s="1"/>
      <c r="X42" s="1">
        <f t="shared" si="26"/>
        <v>0.79</v>
      </c>
      <c r="Y42" s="1"/>
      <c r="Z42" s="5">
        <f t="shared" si="27"/>
        <v>0</v>
      </c>
    </row>
    <row r="43" spans="1:26" s="24" customFormat="1" hidden="1" outlineLevel="2" x14ac:dyDescent="0.25">
      <c r="A43" s="28"/>
      <c r="B43" s="11" t="str">
        <f>CONCATENATE("          ", "6305", " - ", "FREIGHT OUT")</f>
        <v xml:space="preserve">          6305 - FREIGHT OUT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0.28999999999999998</v>
      </c>
      <c r="Q43" s="2"/>
      <c r="R43" s="6">
        <f t="shared" si="24"/>
        <v>2.4567526812490469E-6</v>
      </c>
      <c r="S43" s="2"/>
      <c r="T43" s="7"/>
      <c r="U43" s="2"/>
      <c r="V43" s="6">
        <f t="shared" si="25"/>
        <v>0</v>
      </c>
      <c r="W43" s="2"/>
      <c r="X43" s="7">
        <f t="shared" si="26"/>
        <v>0.28999999999999998</v>
      </c>
      <c r="Y43" s="2"/>
      <c r="Z43" s="6">
        <f t="shared" si="27"/>
        <v>0</v>
      </c>
    </row>
    <row r="44" spans="1:26" s="24" customFormat="1" hidden="1" outlineLevel="2" x14ac:dyDescent="0.25">
      <c r="A44" s="28"/>
      <c r="B44" s="11" t="str">
        <f>CONCATENATE("          ", "6307", " - ", "POSTAGE")</f>
        <v xml:space="preserve">          6307 - POSTAGE</v>
      </c>
      <c r="C44" s="11"/>
      <c r="D44" s="7">
        <v>0.5</v>
      </c>
      <c r="E44" s="2"/>
      <c r="F44" s="6">
        <f t="shared" si="20"/>
        <v>1.6550810989738498E-5</v>
      </c>
      <c r="G44" s="2"/>
      <c r="H44" s="7"/>
      <c r="I44" s="2"/>
      <c r="J44" s="6">
        <f t="shared" si="21"/>
        <v>0</v>
      </c>
      <c r="K44" s="2"/>
      <c r="L44" s="7">
        <f t="shared" si="22"/>
        <v>0.5</v>
      </c>
      <c r="M44" s="2"/>
      <c r="N44" s="6">
        <f t="shared" si="23"/>
        <v>0</v>
      </c>
      <c r="O44" s="11"/>
      <c r="P44" s="7">
        <v>0.5</v>
      </c>
      <c r="Q44" s="2"/>
      <c r="R44" s="6">
        <f t="shared" si="24"/>
        <v>4.2357804849121496E-6</v>
      </c>
      <c r="S44" s="2"/>
      <c r="T44" s="7"/>
      <c r="U44" s="2"/>
      <c r="V44" s="6">
        <f t="shared" si="25"/>
        <v>0</v>
      </c>
      <c r="W44" s="2"/>
      <c r="X44" s="7">
        <f t="shared" si="26"/>
        <v>0.5</v>
      </c>
      <c r="Y44" s="2"/>
      <c r="Z44" s="6">
        <f t="shared" si="27"/>
        <v>0</v>
      </c>
    </row>
    <row r="45" spans="1:26" s="27" customFormat="1" outlineLevel="1" collapsed="1" x14ac:dyDescent="0.25">
      <c r="A45" s="29"/>
      <c r="B45" s="14" t="str">
        <f>CONCATENATE("     ","Insurance                                         ")</f>
        <v xml:space="preserve">     Insurance                                         </v>
      </c>
      <c r="C45" s="14"/>
      <c r="D45" s="1">
        <f>SUM(OSRRefD22_6x_0)</f>
        <v>29.01</v>
      </c>
      <c r="E45" s="1"/>
      <c r="F45" s="5">
        <f t="shared" ref="F45:F51" si="28">IF(D$12=0,0,D45/D$12)</f>
        <v>9.602780536246277E-4</v>
      </c>
      <c r="G45" s="1"/>
      <c r="H45" s="1">
        <f>SUM(OSRRefH22_6x_0)</f>
        <v>29.01</v>
      </c>
      <c r="I45" s="1"/>
      <c r="J45" s="5">
        <f t="shared" ref="J45:J51" si="29">IF(H$12=0,0,H45/H$12)</f>
        <v>1.027775809537306E-3</v>
      </c>
      <c r="K45" s="1"/>
      <c r="L45" s="1">
        <f t="shared" ref="L45:L51" si="30">+D45-H45</f>
        <v>0</v>
      </c>
      <c r="M45" s="1"/>
      <c r="N45" s="5">
        <f t="shared" ref="N45:N51" si="31">IF(H45=0,0,L45/H45)</f>
        <v>0</v>
      </c>
      <c r="O45" s="14"/>
      <c r="P45" s="1">
        <f>SUM(OSRRefP22_6x_0)</f>
        <v>87.03</v>
      </c>
      <c r="Q45" s="1"/>
      <c r="R45" s="5">
        <f t="shared" ref="R45:R51" si="32">IF(P$12=0,0,P45/P$12)</f>
        <v>7.3727995120380883E-4</v>
      </c>
      <c r="S45" s="1"/>
      <c r="T45" s="1">
        <f>SUM(OSRRefT22_6x_0)</f>
        <v>87.03</v>
      </c>
      <c r="U45" s="1"/>
      <c r="V45" s="5">
        <f t="shared" ref="V45:V51" si="33">IF(T$12=0,0,T45/T$12)</f>
        <v>9.0550607624438162E-4</v>
      </c>
      <c r="W45" s="1"/>
      <c r="X45" s="1">
        <f t="shared" ref="X45:X51" si="34">+P45-T45</f>
        <v>0</v>
      </c>
      <c r="Y45" s="1"/>
      <c r="Z45" s="5">
        <f t="shared" ref="Z45:Z51" si="35">IF(T45=0,0,X45/T45)</f>
        <v>0</v>
      </c>
    </row>
    <row r="46" spans="1:26" s="24" customFormat="1" hidden="1" outlineLevel="2" x14ac:dyDescent="0.25">
      <c r="A46" s="28"/>
      <c r="B46" s="11" t="str">
        <f>CONCATENATE("          ", "6314", " - ", "LIABILITY INSURANCE")</f>
        <v xml:space="preserve">          6314 - LIABILITY INSURANCE</v>
      </c>
      <c r="C46" s="11"/>
      <c r="D46" s="7">
        <v>29.01</v>
      </c>
      <c r="E46" s="2"/>
      <c r="F46" s="6">
        <f t="shared" si="28"/>
        <v>9.602780536246277E-4</v>
      </c>
      <c r="G46" s="2"/>
      <c r="H46" s="7">
        <v>29.01</v>
      </c>
      <c r="I46" s="2"/>
      <c r="J46" s="6">
        <f t="shared" si="29"/>
        <v>1.027775809537306E-3</v>
      </c>
      <c r="K46" s="2"/>
      <c r="L46" s="7">
        <f t="shared" si="30"/>
        <v>0</v>
      </c>
      <c r="M46" s="2"/>
      <c r="N46" s="6">
        <f t="shared" si="31"/>
        <v>0</v>
      </c>
      <c r="O46" s="11"/>
      <c r="P46" s="7">
        <v>87.03</v>
      </c>
      <c r="Q46" s="2"/>
      <c r="R46" s="6">
        <f t="shared" si="32"/>
        <v>7.3727995120380883E-4</v>
      </c>
      <c r="S46" s="2"/>
      <c r="T46" s="7">
        <v>87.03</v>
      </c>
      <c r="U46" s="2"/>
      <c r="V46" s="6">
        <f t="shared" si="33"/>
        <v>9.0550607624438162E-4</v>
      </c>
      <c r="W46" s="2"/>
      <c r="X46" s="7">
        <f t="shared" si="34"/>
        <v>0</v>
      </c>
      <c r="Y46" s="2"/>
      <c r="Z46" s="6">
        <f t="shared" si="35"/>
        <v>0</v>
      </c>
    </row>
    <row r="47" spans="1:26" s="27" customFormat="1" outlineLevel="1" collapsed="1" x14ac:dyDescent="0.25">
      <c r="A47" s="29"/>
      <c r="B47" s="14" t="str">
        <f>CONCATENATE("     ","Rent                                              ")</f>
        <v xml:space="preserve">     Rent                                              </v>
      </c>
      <c r="C47" s="14"/>
      <c r="D47" s="1">
        <f>SUM(OSRRefD22_7x_0)</f>
        <v>800</v>
      </c>
      <c r="E47" s="1"/>
      <c r="F47" s="5">
        <f t="shared" si="28"/>
        <v>2.6481297583581597E-2</v>
      </c>
      <c r="G47" s="1"/>
      <c r="H47" s="1">
        <f>SUM(OSRRefH22_7x_0)</f>
        <v>800</v>
      </c>
      <c r="I47" s="1"/>
      <c r="J47" s="5">
        <f t="shared" si="29"/>
        <v>2.8342662793169417E-2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SUM(OSRRefP22_7x_0)</f>
        <v>2400</v>
      </c>
      <c r="Q47" s="1"/>
      <c r="R47" s="5">
        <f t="shared" si="32"/>
        <v>2.033174632757832E-2</v>
      </c>
      <c r="S47" s="1"/>
      <c r="T47" s="1">
        <f>SUM(OSRRefT22_7x_0)</f>
        <v>2400</v>
      </c>
      <c r="U47" s="1"/>
      <c r="V47" s="5">
        <f t="shared" si="33"/>
        <v>2.4970867321458298E-2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8"/>
      <c r="B48" s="11" t="str">
        <f>CONCATENATE("          ", "6273", " - ", "RENT")</f>
        <v xml:space="preserve">          6273 - RENT</v>
      </c>
      <c r="C48" s="11"/>
      <c r="D48" s="7">
        <v>800</v>
      </c>
      <c r="E48" s="2"/>
      <c r="F48" s="6">
        <f t="shared" si="28"/>
        <v>2.6481297583581597E-2</v>
      </c>
      <c r="G48" s="2"/>
      <c r="H48" s="7">
        <v>800</v>
      </c>
      <c r="I48" s="2"/>
      <c r="J48" s="6">
        <f t="shared" si="29"/>
        <v>2.8342662793169417E-2</v>
      </c>
      <c r="K48" s="2"/>
      <c r="L48" s="7">
        <f t="shared" si="30"/>
        <v>0</v>
      </c>
      <c r="M48" s="2"/>
      <c r="N48" s="6">
        <f t="shared" si="31"/>
        <v>0</v>
      </c>
      <c r="O48" s="11"/>
      <c r="P48" s="7">
        <v>2400</v>
      </c>
      <c r="Q48" s="2"/>
      <c r="R48" s="6">
        <f t="shared" si="32"/>
        <v>2.033174632757832E-2</v>
      </c>
      <c r="S48" s="2"/>
      <c r="T48" s="7">
        <v>2400</v>
      </c>
      <c r="U48" s="2"/>
      <c r="V48" s="6">
        <f t="shared" si="33"/>
        <v>2.4970867321458298E-2</v>
      </c>
      <c r="W48" s="2"/>
      <c r="X48" s="7">
        <f t="shared" si="34"/>
        <v>0</v>
      </c>
      <c r="Y48" s="2"/>
      <c r="Z48" s="6">
        <f t="shared" si="35"/>
        <v>0</v>
      </c>
    </row>
    <row r="49" spans="1:26" s="27" customFormat="1" outlineLevel="1" collapsed="1" x14ac:dyDescent="0.25">
      <c r="A49" s="29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SUM(OSRRefD22_8x_0)</f>
        <v>6562</v>
      </c>
      <c r="E49" s="1"/>
      <c r="F49" s="5">
        <f t="shared" si="28"/>
        <v>0.21721284342932803</v>
      </c>
      <c r="G49" s="1"/>
      <c r="H49" s="1">
        <f>SUM(OSRRefH22_8x_0)</f>
        <v>437.31</v>
      </c>
      <c r="I49" s="1"/>
      <c r="J49" s="5">
        <f t="shared" si="29"/>
        <v>1.5493162332601148E-2</v>
      </c>
      <c r="K49" s="1"/>
      <c r="L49" s="1">
        <f t="shared" si="30"/>
        <v>6124.69</v>
      </c>
      <c r="M49" s="1"/>
      <c r="N49" s="5">
        <f t="shared" si="31"/>
        <v>14.005373762319635</v>
      </c>
      <c r="O49" s="14"/>
      <c r="P49" s="1">
        <f>SUM(OSRRefP22_8x_0)</f>
        <v>6562</v>
      </c>
      <c r="Q49" s="1"/>
      <c r="R49" s="5">
        <f t="shared" si="32"/>
        <v>5.5590383083987054E-2</v>
      </c>
      <c r="S49" s="1"/>
      <c r="T49" s="1">
        <f>SUM(OSRRefT22_8x_0)</f>
        <v>437.31</v>
      </c>
      <c r="U49" s="1"/>
      <c r="V49" s="5">
        <f t="shared" si="33"/>
        <v>4.5500041618112205E-3</v>
      </c>
      <c r="W49" s="1"/>
      <c r="X49" s="1">
        <f t="shared" si="34"/>
        <v>6124.69</v>
      </c>
      <c r="Y49" s="1"/>
      <c r="Z49" s="5">
        <f t="shared" si="35"/>
        <v>14.005373762319635</v>
      </c>
    </row>
    <row r="50" spans="1:26" s="24" customFormat="1" hidden="1" outlineLevel="2" x14ac:dyDescent="0.25">
      <c r="A50" s="28"/>
      <c r="B50" s="11" t="str">
        <f>CONCATENATE("          ", "6371", " - ", "COMPUTER SOFTWARE MAINTENANCE")</f>
        <v xml:space="preserve">          6371 - COMPUTER SOFTWARE MAINTENANCE</v>
      </c>
      <c r="C50" s="11"/>
      <c r="D50" s="7"/>
      <c r="E50" s="2"/>
      <c r="F50" s="6">
        <f t="shared" si="28"/>
        <v>0</v>
      </c>
      <c r="G50" s="2"/>
      <c r="H50" s="7">
        <v>437.31</v>
      </c>
      <c r="I50" s="2"/>
      <c r="J50" s="6">
        <f t="shared" si="29"/>
        <v>1.5493162332601148E-2</v>
      </c>
      <c r="K50" s="2"/>
      <c r="L50" s="7">
        <f t="shared" si="30"/>
        <v>-437.31</v>
      </c>
      <c r="M50" s="2"/>
      <c r="N50" s="6">
        <f t="shared" si="31"/>
        <v>-1</v>
      </c>
      <c r="O50" s="11"/>
      <c r="P50" s="7"/>
      <c r="Q50" s="2"/>
      <c r="R50" s="6">
        <f t="shared" si="32"/>
        <v>0</v>
      </c>
      <c r="S50" s="2"/>
      <c r="T50" s="7">
        <v>437.31</v>
      </c>
      <c r="U50" s="2"/>
      <c r="V50" s="6">
        <f t="shared" si="33"/>
        <v>4.5500041618112205E-3</v>
      </c>
      <c r="W50" s="2"/>
      <c r="X50" s="7">
        <f t="shared" si="34"/>
        <v>-437.31</v>
      </c>
      <c r="Y50" s="2"/>
      <c r="Z50" s="6">
        <f t="shared" si="35"/>
        <v>-1</v>
      </c>
    </row>
    <row r="51" spans="1:26" s="24" customFormat="1" hidden="1" outlineLevel="2" x14ac:dyDescent="0.25">
      <c r="A51" s="28"/>
      <c r="B51" s="11" t="str">
        <f>CONCATENATE("          ", "6375", " - ", "OUTSIDE REPAIRS &amp; MAINTENANCE")</f>
        <v xml:space="preserve">          6375 - OUTSIDE REPAIRS &amp; MAINTENANCE</v>
      </c>
      <c r="C51" s="11"/>
      <c r="D51" s="7">
        <v>6562</v>
      </c>
      <c r="E51" s="2"/>
      <c r="F51" s="6">
        <f t="shared" si="28"/>
        <v>0.21721284342932803</v>
      </c>
      <c r="G51" s="2"/>
      <c r="H51" s="7"/>
      <c r="I51" s="2"/>
      <c r="J51" s="6">
        <f t="shared" si="29"/>
        <v>0</v>
      </c>
      <c r="K51" s="2"/>
      <c r="L51" s="7">
        <f t="shared" si="30"/>
        <v>6562</v>
      </c>
      <c r="M51" s="2"/>
      <c r="N51" s="6">
        <f t="shared" si="31"/>
        <v>0</v>
      </c>
      <c r="O51" s="11"/>
      <c r="P51" s="7">
        <v>6562</v>
      </c>
      <c r="Q51" s="2"/>
      <c r="R51" s="6">
        <f t="shared" si="32"/>
        <v>5.5590383083987054E-2</v>
      </c>
      <c r="S51" s="2"/>
      <c r="T51" s="7"/>
      <c r="U51" s="2"/>
      <c r="V51" s="6">
        <f t="shared" si="33"/>
        <v>0</v>
      </c>
      <c r="W51" s="2"/>
      <c r="X51" s="7">
        <f t="shared" si="34"/>
        <v>6562</v>
      </c>
      <c r="Y51" s="2"/>
      <c r="Z51" s="6">
        <f t="shared" si="35"/>
        <v>0</v>
      </c>
    </row>
    <row r="52" spans="1:26" s="27" customFormat="1" outlineLevel="1" collapsed="1" x14ac:dyDescent="0.25">
      <c r="A52" s="29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0</v>
      </c>
      <c r="E52" s="1"/>
      <c r="F52" s="5">
        <f t="shared" ref="F52:F55" si="36">IF(D$12=0,0,D52/D$12)</f>
        <v>0</v>
      </c>
      <c r="G52" s="1"/>
      <c r="H52" s="1">
        <f>SUM(OSRRefH22_9x_0)</f>
        <v>3300.91</v>
      </c>
      <c r="I52" s="1"/>
      <c r="J52" s="5">
        <f t="shared" ref="J52:J55" si="37">IF(H$12=0,0,H52/H$12)</f>
        <v>0.11694572380075108</v>
      </c>
      <c r="K52" s="1"/>
      <c r="L52" s="1">
        <f t="shared" ref="L52:L55" si="38">+D52-H52</f>
        <v>-3300.91</v>
      </c>
      <c r="M52" s="1"/>
      <c r="N52" s="5">
        <f t="shared" ref="N52:N55" si="39">IF(H52=0,0,L52/H52)</f>
        <v>-1</v>
      </c>
      <c r="O52" s="14"/>
      <c r="P52" s="1">
        <f>SUM(OSRRefP22_9x_0)</f>
        <v>35183.15</v>
      </c>
      <c r="Q52" s="1"/>
      <c r="R52" s="5">
        <f t="shared" ref="R52:R55" si="40">IF(P$12=0,0,P52/P$12)</f>
        <v>0.29805620033547381</v>
      </c>
      <c r="S52" s="1"/>
      <c r="T52" s="1">
        <f>SUM(OSRRefT22_9x_0)</f>
        <v>18136.980000000003</v>
      </c>
      <c r="U52" s="1"/>
      <c r="V52" s="5">
        <f t="shared" ref="V52:V55" si="41">IF(T$12=0,0,T52/T$12)</f>
        <v>0.1887067171633095</v>
      </c>
      <c r="W52" s="1"/>
      <c r="X52" s="1">
        <f t="shared" ref="X52:X55" si="42">+P52-T52</f>
        <v>17046.169999999998</v>
      </c>
      <c r="Y52" s="1"/>
      <c r="Z52" s="5">
        <f t="shared" ref="Z52:Z55" si="43">IF(T52=0,0,X52/T52)</f>
        <v>0.93985713167241713</v>
      </c>
    </row>
    <row r="53" spans="1:26" s="24" customFormat="1" hidden="1" outlineLevel="2" x14ac:dyDescent="0.25">
      <c r="A53" s="28"/>
      <c r="B53" s="11" t="str">
        <f>CONCATENATE("          ", "6234", " - ", "EXPENDABLE SUPPLIES &amp; EQUIPMEN")</f>
        <v xml:space="preserve">          6234 - EXPENDABLE SUPPLIES &amp; EQUIPMEN</v>
      </c>
      <c r="C53" s="11"/>
      <c r="D53" s="7"/>
      <c r="E53" s="2"/>
      <c r="F53" s="6">
        <f t="shared" si="36"/>
        <v>0</v>
      </c>
      <c r="G53" s="2"/>
      <c r="H53" s="7"/>
      <c r="I53" s="2"/>
      <c r="J53" s="6">
        <f t="shared" si="37"/>
        <v>0</v>
      </c>
      <c r="K53" s="2"/>
      <c r="L53" s="7">
        <f t="shared" si="38"/>
        <v>0</v>
      </c>
      <c r="M53" s="2"/>
      <c r="N53" s="6">
        <f t="shared" si="39"/>
        <v>0</v>
      </c>
      <c r="O53" s="11"/>
      <c r="P53" s="7"/>
      <c r="Q53" s="2"/>
      <c r="R53" s="6">
        <f t="shared" si="40"/>
        <v>0</v>
      </c>
      <c r="S53" s="2"/>
      <c r="T53" s="7">
        <v>413.27</v>
      </c>
      <c r="U53" s="2"/>
      <c r="V53" s="6">
        <f t="shared" si="41"/>
        <v>4.299879307474613E-3</v>
      </c>
      <c r="W53" s="2"/>
      <c r="X53" s="7">
        <f t="shared" si="42"/>
        <v>-413.27</v>
      </c>
      <c r="Y53" s="2"/>
      <c r="Z53" s="6">
        <f t="shared" si="43"/>
        <v>-1</v>
      </c>
    </row>
    <row r="54" spans="1:26" s="24" customFormat="1" hidden="1" outlineLevel="2" x14ac:dyDescent="0.25">
      <c r="A54" s="28"/>
      <c r="B54" s="11" t="str">
        <f>CONCATENATE("          ", "6241", " - ", "OFFICE EXPENSE")</f>
        <v xml:space="preserve">          6241 - OFFICE EXPENSE</v>
      </c>
      <c r="C54" s="11"/>
      <c r="D54" s="7"/>
      <c r="E54" s="2"/>
      <c r="F54" s="6">
        <f t="shared" si="36"/>
        <v>0</v>
      </c>
      <c r="G54" s="2"/>
      <c r="H54" s="7">
        <v>3180.08</v>
      </c>
      <c r="I54" s="2"/>
      <c r="J54" s="6">
        <f t="shared" si="37"/>
        <v>0.11266491886912776</v>
      </c>
      <c r="K54" s="2"/>
      <c r="L54" s="7">
        <f t="shared" si="38"/>
        <v>-3180.08</v>
      </c>
      <c r="M54" s="2"/>
      <c r="N54" s="6">
        <f t="shared" si="39"/>
        <v>-1</v>
      </c>
      <c r="O54" s="11"/>
      <c r="P54" s="7">
        <v>35183.15</v>
      </c>
      <c r="Q54" s="2"/>
      <c r="R54" s="6">
        <f t="shared" si="40"/>
        <v>0.29805620033547381</v>
      </c>
      <c r="S54" s="2"/>
      <c r="T54" s="7">
        <v>17602.88</v>
      </c>
      <c r="U54" s="2"/>
      <c r="V54" s="6">
        <f t="shared" si="41"/>
        <v>0.18314965873147995</v>
      </c>
      <c r="W54" s="2"/>
      <c r="X54" s="7">
        <f t="shared" si="42"/>
        <v>17580.27</v>
      </c>
      <c r="Y54" s="2"/>
      <c r="Z54" s="6">
        <f t="shared" si="43"/>
        <v>0.99871555109163956</v>
      </c>
    </row>
    <row r="55" spans="1:26" s="24" customFormat="1" hidden="1" outlineLevel="2" x14ac:dyDescent="0.25">
      <c r="A55" s="28"/>
      <c r="B55" s="11" t="str">
        <f>CONCATENATE("          ", "6245", " - ", "PRINTING")</f>
        <v xml:space="preserve">          6245 - PRINTING</v>
      </c>
      <c r="C55" s="11"/>
      <c r="D55" s="7"/>
      <c r="E55" s="2"/>
      <c r="F55" s="6">
        <f t="shared" si="36"/>
        <v>0</v>
      </c>
      <c r="G55" s="2"/>
      <c r="H55" s="7">
        <v>120.83</v>
      </c>
      <c r="I55" s="2"/>
      <c r="J55" s="6">
        <f t="shared" si="37"/>
        <v>4.2808049316233263E-3</v>
      </c>
      <c r="K55" s="2"/>
      <c r="L55" s="7">
        <f t="shared" si="38"/>
        <v>-120.83</v>
      </c>
      <c r="M55" s="2"/>
      <c r="N55" s="6">
        <f t="shared" si="39"/>
        <v>-1</v>
      </c>
      <c r="O55" s="11"/>
      <c r="P55" s="7"/>
      <c r="Q55" s="2"/>
      <c r="R55" s="6">
        <f t="shared" si="40"/>
        <v>0</v>
      </c>
      <c r="S55" s="2"/>
      <c r="T55" s="7">
        <v>120.83</v>
      </c>
      <c r="U55" s="2"/>
      <c r="V55" s="6">
        <f t="shared" si="41"/>
        <v>1.2571791243549191E-3</v>
      </c>
      <c r="W55" s="2"/>
      <c r="X55" s="7">
        <f t="shared" si="42"/>
        <v>-120.83</v>
      </c>
      <c r="Y55" s="2"/>
      <c r="Z55" s="6">
        <f t="shared" si="43"/>
        <v>-1</v>
      </c>
    </row>
    <row r="56" spans="1:26" s="27" customFormat="1" outlineLevel="1" collapsed="1" x14ac:dyDescent="0.25">
      <c r="A56" s="29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SUM(OSRRefD22_10x_0)</f>
        <v>750</v>
      </c>
      <c r="E56" s="1"/>
      <c r="F56" s="5">
        <f t="shared" ref="F56:F57" si="44">IF(D$12=0,0,D56/D$12)</f>
        <v>2.4826216484607744E-2</v>
      </c>
      <c r="G56" s="1"/>
      <c r="H56" s="1">
        <f>SUM(OSRRefH22_10x_0)</f>
        <v>400</v>
      </c>
      <c r="I56" s="1"/>
      <c r="J56" s="5">
        <f t="shared" ref="J56:J57" si="45">IF(H$12=0,0,H56/H$12)</f>
        <v>1.4171331396584708E-2</v>
      </c>
      <c r="K56" s="1"/>
      <c r="L56" s="1">
        <f t="shared" ref="L56:L57" si="46">+D56-H56</f>
        <v>350</v>
      </c>
      <c r="M56" s="1"/>
      <c r="N56" s="5">
        <f t="shared" ref="N56:N57" si="47">IF(H56=0,0,L56/H56)</f>
        <v>0.875</v>
      </c>
      <c r="O56" s="14"/>
      <c r="P56" s="1">
        <f>SUM(OSRRefP22_10x_0)</f>
        <v>1042.08</v>
      </c>
      <c r="Q56" s="1"/>
      <c r="R56" s="5">
        <f t="shared" ref="R56:R57" si="48">IF(P$12=0,0,P56/P$12)</f>
        <v>8.8280442554345053E-3</v>
      </c>
      <c r="S56" s="1"/>
      <c r="T56" s="1">
        <f>SUM(OSRRefT22_10x_0)</f>
        <v>575.65</v>
      </c>
      <c r="U56" s="1"/>
      <c r="V56" s="5">
        <f t="shared" ref="V56:V57" si="49">IF(T$12=0,0,T56/T$12)</f>
        <v>5.9893665723322791E-3</v>
      </c>
      <c r="W56" s="1"/>
      <c r="X56" s="1">
        <f t="shared" ref="X56:X57" si="50">+P56-T56</f>
        <v>466.42999999999995</v>
      </c>
      <c r="Y56" s="1"/>
      <c r="Z56" s="5">
        <f t="shared" ref="Z56:Z57" si="51">IF(T56=0,0,X56/T56)</f>
        <v>0.8102666550855554</v>
      </c>
    </row>
    <row r="57" spans="1:26" s="24" customFormat="1" hidden="1" outlineLevel="2" x14ac:dyDescent="0.25">
      <c r="A57" s="28"/>
      <c r="B57" s="11" t="str">
        <f>CONCATENATE("          ", "6309", " - ", "TELEPHONE")</f>
        <v xml:space="preserve">          6309 - TELEPHONE</v>
      </c>
      <c r="C57" s="11"/>
      <c r="D57" s="7">
        <v>750</v>
      </c>
      <c r="E57" s="2"/>
      <c r="F57" s="6">
        <f t="shared" si="44"/>
        <v>2.4826216484607744E-2</v>
      </c>
      <c r="G57" s="2"/>
      <c r="H57" s="7">
        <v>400</v>
      </c>
      <c r="I57" s="2"/>
      <c r="J57" s="6">
        <f t="shared" si="45"/>
        <v>1.4171331396584708E-2</v>
      </c>
      <c r="K57" s="2"/>
      <c r="L57" s="7">
        <f t="shared" si="46"/>
        <v>350</v>
      </c>
      <c r="M57" s="2"/>
      <c r="N57" s="6">
        <f t="shared" si="47"/>
        <v>0.875</v>
      </c>
      <c r="O57" s="11"/>
      <c r="P57" s="7">
        <v>1042.08</v>
      </c>
      <c r="Q57" s="2"/>
      <c r="R57" s="6">
        <f t="shared" si="48"/>
        <v>8.8280442554345053E-3</v>
      </c>
      <c r="S57" s="2"/>
      <c r="T57" s="7">
        <v>575.65</v>
      </c>
      <c r="U57" s="2"/>
      <c r="V57" s="6">
        <f t="shared" si="49"/>
        <v>5.9893665723322791E-3</v>
      </c>
      <c r="W57" s="2"/>
      <c r="X57" s="7">
        <f t="shared" si="50"/>
        <v>466.42999999999995</v>
      </c>
      <c r="Y57" s="2"/>
      <c r="Z57" s="6">
        <f t="shared" si="51"/>
        <v>0.8102666550855554</v>
      </c>
    </row>
    <row r="58" spans="1:26" s="60" customFormat="1" x14ac:dyDescent="0.25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25">
      <c r="A59" s="10"/>
      <c r="B59" s="26" t="s">
        <v>0</v>
      </c>
      <c r="C59" s="10"/>
      <c r="D59" s="4">
        <f>SUM(OSRRefD25x_0)</f>
        <v>260</v>
      </c>
      <c r="E59" s="4"/>
      <c r="F59" s="12">
        <f t="shared" ref="F59:F60" si="52">IF(D$12=0,0,D59/D$12)</f>
        <v>8.6064217146640185E-3</v>
      </c>
      <c r="G59" s="4"/>
      <c r="H59" s="4">
        <f>SUM(OSRRefH25x_0)</f>
        <v>2661.9</v>
      </c>
      <c r="I59" s="4"/>
      <c r="J59" s="12">
        <f t="shared" ref="J59:J60" si="53">IF(H$12=0,0,H59/H$12)</f>
        <v>9.430666761142209E-2</v>
      </c>
      <c r="K59" s="4"/>
      <c r="L59" s="4">
        <f t="shared" ref="L59:L60" si="54">+D59-H59</f>
        <v>-2401.9</v>
      </c>
      <c r="M59" s="4"/>
      <c r="N59" s="12">
        <f t="shared" ref="N59:N60" si="55">IF(H59=0,0,L59/H59)</f>
        <v>-0.90232540666441263</v>
      </c>
      <c r="O59" s="10"/>
      <c r="P59" s="4">
        <f>SUM(OSRRefP25x_0)</f>
        <v>750</v>
      </c>
      <c r="Q59" s="4"/>
      <c r="R59" s="12">
        <f t="shared" ref="R59:R60" si="56">IF(P$12=0,0,P59/P$12)</f>
        <v>6.3536707273682252E-3</v>
      </c>
      <c r="S59" s="4"/>
      <c r="T59" s="4">
        <f>SUM(OSRRefT25x_0)</f>
        <v>7050.9</v>
      </c>
      <c r="U59" s="4"/>
      <c r="V59" s="12">
        <f t="shared" ref="V59:V60" si="57">IF(T$12=0,0,T59/T$12)</f>
        <v>7.336128683202929E-2</v>
      </c>
      <c r="W59" s="4"/>
      <c r="X59" s="4">
        <f t="shared" ref="X59:X60" si="58">+P59-T59</f>
        <v>-6300.9</v>
      </c>
      <c r="Y59" s="4"/>
      <c r="Z59" s="12">
        <f t="shared" ref="Z59:Z60" si="59">IF(T59=0,0,X59/T59)</f>
        <v>-0.89363060034889163</v>
      </c>
    </row>
    <row r="60" spans="1:26" s="24" customFormat="1" hidden="1" outlineLevel="1" x14ac:dyDescent="0.25">
      <c r="A60" s="44"/>
      <c r="B60" s="11" t="str">
        <f>CONCATENATE("          ", "9150", " - ", "MISC. INCOME")</f>
        <v xml:space="preserve">          9150 - MISC. INCOME</v>
      </c>
      <c r="C60" s="11"/>
      <c r="D60" s="2">
        <f>--260</f>
        <v>260</v>
      </c>
      <c r="E60" s="2"/>
      <c r="F60" s="19">
        <f t="shared" si="52"/>
        <v>8.6064217146640185E-3</v>
      </c>
      <c r="G60" s="2"/>
      <c r="H60" s="2">
        <f>--2661.9</f>
        <v>2661.9</v>
      </c>
      <c r="I60" s="2"/>
      <c r="J60" s="19">
        <f t="shared" si="53"/>
        <v>9.430666761142209E-2</v>
      </c>
      <c r="K60" s="2"/>
      <c r="L60" s="2">
        <f t="shared" si="54"/>
        <v>-2401.9</v>
      </c>
      <c r="M60" s="2"/>
      <c r="N60" s="19">
        <f t="shared" si="55"/>
        <v>-0.90232540666441263</v>
      </c>
      <c r="O60" s="11"/>
      <c r="P60" s="2">
        <f>--750</f>
        <v>750</v>
      </c>
      <c r="Q60" s="2"/>
      <c r="R60" s="19">
        <f t="shared" si="56"/>
        <v>6.3536707273682252E-3</v>
      </c>
      <c r="S60" s="2"/>
      <c r="T60" s="2">
        <f>--7050.9</f>
        <v>7050.9</v>
      </c>
      <c r="U60" s="2"/>
      <c r="V60" s="19">
        <f t="shared" si="57"/>
        <v>7.336128683202929E-2</v>
      </c>
      <c r="W60" s="2"/>
      <c r="X60" s="2">
        <f t="shared" si="58"/>
        <v>-6300.9</v>
      </c>
      <c r="Y60" s="2"/>
      <c r="Z60" s="19">
        <f t="shared" si="59"/>
        <v>-0.89363060034889163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5" t="s">
        <v>3</v>
      </c>
      <c r="C62" s="25"/>
      <c r="D62" s="22">
        <f>+D17-D19+D59</f>
        <v>4742.8300000000017</v>
      </c>
      <c r="E62" s="13"/>
      <c r="F62" s="21">
        <f>IF(D$12=0,0,D62/D$12)</f>
        <v>0.15699536577292292</v>
      </c>
      <c r="G62" s="13"/>
      <c r="H62" s="22">
        <f>+H17-H19+H59</f>
        <v>789.4899999999966</v>
      </c>
      <c r="I62" s="13"/>
      <c r="J62" s="21">
        <f>IF(H$12=0,0,H62/H$12)</f>
        <v>2.7970311060724035E-2</v>
      </c>
      <c r="K62" s="15"/>
      <c r="L62" s="22">
        <f>+D62-H62</f>
        <v>3953.3400000000051</v>
      </c>
      <c r="M62" s="15"/>
      <c r="N62" s="21">
        <f>IF(H62=0,0,L62/H62)</f>
        <v>5.00746051248277</v>
      </c>
      <c r="O62" s="26"/>
      <c r="P62" s="22">
        <f>+P17-P19+P59</f>
        <v>14829.009999999995</v>
      </c>
      <c r="Q62" s="13"/>
      <c r="R62" s="21">
        <f>IF(P$12=0,0,P62/P$12)</f>
        <v>0.12562486233713419</v>
      </c>
      <c r="S62" s="13"/>
      <c r="T62" s="22">
        <f>+T17-T19+T59</f>
        <v>8464.2899999999845</v>
      </c>
      <c r="U62" s="13"/>
      <c r="V62" s="21">
        <f>IF(T$12=0,0,T62/T$12)</f>
        <v>8.8066942733477455E-2</v>
      </c>
      <c r="W62" s="15"/>
      <c r="X62" s="22">
        <f>+P62-T62</f>
        <v>6364.7200000000103</v>
      </c>
      <c r="Y62" s="15"/>
      <c r="Z62" s="21">
        <f>IF(T62=0,0,X62/T62)</f>
        <v>0.75194966146008957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>
        <v>7038.6</v>
      </c>
      <c r="E64" s="4"/>
      <c r="F64" s="12">
        <f>IF(D$12=0,0,D64/D$12)</f>
        <v>0.23298907646474679</v>
      </c>
      <c r="G64" s="4"/>
      <c r="H64" s="4">
        <v>1859.55</v>
      </c>
      <c r="I64" s="4"/>
      <c r="J64" s="12">
        <f>IF(H$12=0,0,H64/H$12)</f>
        <v>6.5880748246297735E-2</v>
      </c>
      <c r="K64" s="4"/>
      <c r="L64" s="4">
        <f>+D64-H64</f>
        <v>5179.05</v>
      </c>
      <c r="M64" s="4"/>
      <c r="N64" s="12">
        <f>IF(H64=0,0,L64/H64)</f>
        <v>2.7851093006372509</v>
      </c>
      <c r="O64" s="10"/>
      <c r="P64" s="4">
        <v>21867.870000000003</v>
      </c>
      <c r="Q64" s="4"/>
      <c r="R64" s="12">
        <f>IF(P$12=0,0,P64/P$12)</f>
        <v>0.18525499398519174</v>
      </c>
      <c r="S64" s="4"/>
      <c r="T64" s="4">
        <v>10323.700000000001</v>
      </c>
      <c r="U64" s="4"/>
      <c r="V64" s="12">
        <f>IF(T$12=0,0,T64/T$12)</f>
        <v>0.10741322623605794</v>
      </c>
      <c r="W64" s="4"/>
      <c r="X64" s="4">
        <f>+P64-T64</f>
        <v>11544.170000000002</v>
      </c>
      <c r="Y64" s="4"/>
      <c r="Z64" s="12">
        <f>IF(T64=0,0,X64/T64)</f>
        <v>1.1182202117457889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5" t="s">
        <v>4</v>
      </c>
      <c r="C66" s="25"/>
      <c r="D66" s="33">
        <f>+D62-D64</f>
        <v>-2295.7699999999986</v>
      </c>
      <c r="E66" s="13"/>
      <c r="F66" s="32">
        <f>IF(D$12=0,0,D66/D$12)</f>
        <v>-7.5993710691823854E-2</v>
      </c>
      <c r="G66" s="13"/>
      <c r="H66" s="33">
        <f>+H62-H64</f>
        <v>-1070.0600000000034</v>
      </c>
      <c r="I66" s="13"/>
      <c r="J66" s="32">
        <f>IF(H$12=0,0,H66/H$12)</f>
        <v>-3.79104371855737E-2</v>
      </c>
      <c r="K66" s="15"/>
      <c r="L66" s="33">
        <f>D66-H66</f>
        <v>-1225.7099999999953</v>
      </c>
      <c r="M66" s="15"/>
      <c r="N66" s="32">
        <f>IF(H66=0,0,L66/H66)</f>
        <v>1.1454591331327135</v>
      </c>
      <c r="O66" s="26"/>
      <c r="P66" s="33">
        <f>+P62-P64</f>
        <v>-7038.8600000000079</v>
      </c>
      <c r="Q66" s="13"/>
      <c r="R66" s="32">
        <f>IF(P$12=0,0,P66/P$12)</f>
        <v>-5.9630131648057541E-2</v>
      </c>
      <c r="S66" s="13"/>
      <c r="T66" s="33">
        <f>+T62-T64</f>
        <v>-1859.4100000000162</v>
      </c>
      <c r="U66" s="13"/>
      <c r="V66" s="32">
        <f>IF(T$12=0,0,T66/T$12)</f>
        <v>-1.9346283502580493E-2</v>
      </c>
      <c r="W66" s="15"/>
      <c r="X66" s="33">
        <f>P66-T66</f>
        <v>-5179.4499999999916</v>
      </c>
      <c r="Y66" s="15"/>
      <c r="Z66" s="32">
        <f>IF(T66=0,0,X66/T66)</f>
        <v>2.7855341210383653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5" t="s">
        <v>5</v>
      </c>
      <c r="C69" s="25"/>
      <c r="D69" s="34">
        <f>SUM(D66:D68)</f>
        <v>-2295.7699999999986</v>
      </c>
      <c r="E69" s="13"/>
      <c r="F69" s="31">
        <f>IF(D$12=0,0,D69/D$12)</f>
        <v>-7.5993710691823854E-2</v>
      </c>
      <c r="G69" s="13"/>
      <c r="H69" s="34">
        <f>SUM(H66:H68)</f>
        <v>-1070.0600000000034</v>
      </c>
      <c r="I69" s="13"/>
      <c r="J69" s="31">
        <f>IF(H$12=0,0,H69/H$12)</f>
        <v>-3.79104371855737E-2</v>
      </c>
      <c r="K69" s="15"/>
      <c r="L69" s="34">
        <f>+D69-H69</f>
        <v>-1225.7099999999953</v>
      </c>
      <c r="M69" s="15"/>
      <c r="N69" s="31">
        <f>IF(H69=0,0,L69/H69)</f>
        <v>1.1454591331327135</v>
      </c>
      <c r="O69" s="26"/>
      <c r="P69" s="34">
        <f>SUM(P66:P68)</f>
        <v>-7038.8600000000079</v>
      </c>
      <c r="Q69" s="13"/>
      <c r="R69" s="31">
        <f>IF(P$12=0,0,P69/P$12)</f>
        <v>-5.9630131648057541E-2</v>
      </c>
      <c r="S69" s="13"/>
      <c r="T69" s="34">
        <f>SUM(T66:T68)</f>
        <v>-1859.4100000000162</v>
      </c>
      <c r="U69" s="13"/>
      <c r="V69" s="31">
        <f>IF(T$12=0,0,T69/T$12)</f>
        <v>-1.9346283502580493E-2</v>
      </c>
      <c r="W69" s="15"/>
      <c r="X69" s="34">
        <f>+P69-T69</f>
        <v>-5179.4499999999916</v>
      </c>
      <c r="Y69" s="15"/>
      <c r="Z69" s="31">
        <f>IF(T69=0,0,X69/T69)</f>
        <v>2.7855341210383653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2"/>
      <c r="K70" s="18"/>
      <c r="L70" s="18"/>
      <c r="M70" s="18"/>
      <c r="P70" s="18"/>
      <c r="Q70" s="18"/>
      <c r="R70" s="42"/>
      <c r="S70" s="18"/>
      <c r="T70" s="18"/>
      <c r="U70" s="18"/>
      <c r="V70" s="42"/>
      <c r="W70" s="18"/>
      <c r="X70" s="18"/>
    </row>
    <row r="71" spans="1:26" x14ac:dyDescent="0.25">
      <c r="A71" s="9"/>
      <c r="B71" s="54">
        <v>44123.56589140046</v>
      </c>
      <c r="D71" s="18"/>
      <c r="E71" s="18"/>
      <c r="G71" s="18"/>
      <c r="H71" s="18"/>
      <c r="I71" s="18"/>
      <c r="J71" s="42"/>
      <c r="K71" s="18"/>
      <c r="L71" s="18"/>
      <c r="M71" s="18"/>
      <c r="P71" s="18"/>
      <c r="Q71" s="18"/>
      <c r="R71" s="42"/>
      <c r="S71" s="18"/>
      <c r="T71" s="18"/>
      <c r="U71" s="18"/>
      <c r="V71" s="42"/>
      <c r="W71" s="18"/>
      <c r="X71" s="18"/>
    </row>
    <row r="72" spans="1:26" x14ac:dyDescent="0.25">
      <c r="A72" s="9"/>
      <c r="B72" s="59" t="s">
        <v>313</v>
      </c>
      <c r="D72" s="18"/>
      <c r="E72" s="18"/>
      <c r="G72" s="18"/>
      <c r="H72" s="18"/>
      <c r="I72" s="18"/>
      <c r="J72" s="42"/>
      <c r="K72" s="18"/>
      <c r="L72" s="18"/>
      <c r="M72" s="18"/>
      <c r="P72" s="18"/>
      <c r="Q72" s="18"/>
      <c r="R72" s="42"/>
      <c r="S72" s="18"/>
      <c r="T72" s="18"/>
      <c r="U72" s="18"/>
      <c r="V72" s="42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2"/>
      <c r="K73" s="18"/>
      <c r="L73" s="18"/>
      <c r="M73" s="18"/>
      <c r="P73" s="18"/>
      <c r="Q73" s="18"/>
      <c r="R73" s="42"/>
      <c r="S73" s="18"/>
      <c r="T73" s="18"/>
      <c r="U73" s="18"/>
      <c r="V73" s="42"/>
      <c r="W73" s="18"/>
      <c r="X73" s="18"/>
    </row>
    <row r="74" spans="1:26" x14ac:dyDescent="0.25">
      <c r="D74" s="18"/>
      <c r="E74" s="18"/>
      <c r="G74" s="18"/>
      <c r="H74" s="18"/>
      <c r="I74" s="18"/>
      <c r="J74" s="42"/>
      <c r="K74" s="18"/>
      <c r="L74" s="18"/>
      <c r="M74" s="18"/>
      <c r="P74" s="18"/>
      <c r="Q74" s="18"/>
      <c r="R74" s="42"/>
      <c r="S74" s="18"/>
      <c r="T74" s="18"/>
      <c r="U74" s="18"/>
      <c r="V74" s="42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102</vt:i4>
      </vt:variant>
      <vt:variant>
        <vt:lpstr>Named Ranges</vt:lpstr>
      </vt:variant>
      <vt:variant>
        <vt:i4>4156</vt:i4>
      </vt:variant>
    </vt:vector>
  </HeadingPairs>
  <TitlesOfParts>
    <vt:vector size="4258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207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335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'313'!OSRRefD22_12x_0</vt:lpstr>
      <vt:lpstr>'322'!OSRRefD22_12x_0</vt:lpstr>
      <vt:lpstr>'325'!OSRRefD22_12x_0</vt:lpstr>
      <vt:lpstr>'326'!OSRRefD22_12x_0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'331'!OSRRefD22_13x_0</vt:lpstr>
      <vt:lpstr>'332'!OSRRefD22_13x_0</vt:lpstr>
      <vt:lpstr>'405'!OSRRefD22_13x_0</vt:lpstr>
      <vt:lpstr>'411'!OSRRefD22_13x_0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'331'!OSRRefD22_14x_0</vt:lpstr>
      <vt:lpstr>'332'!OSRRefD22_14x_0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'415'!OSRRefD22_15x_0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'433'!OSRRefD22_16x_0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'415'!OSRRefD22_17x_0</vt:lpstr>
      <vt:lpstr>'450'!OSRRefD22_17x_0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'420'!OSRRefD22_1x_0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'Div 4'!OSRRefD22_24x_0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'320'!OSRRefD22_8x_0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'313'!OSRRefH22_12x_0</vt:lpstr>
      <vt:lpstr>'322'!OSRRefH22_12x_0</vt:lpstr>
      <vt:lpstr>'325'!OSRRefH22_12x_0</vt:lpstr>
      <vt:lpstr>'326'!OSRRefH22_12x_0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'331'!OSRRefH22_13x_0</vt:lpstr>
      <vt:lpstr>'332'!OSRRefH22_13x_0</vt:lpstr>
      <vt:lpstr>'405'!OSRRefH22_13x_0</vt:lpstr>
      <vt:lpstr>'411'!OSRRefH22_13x_0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'331'!OSRRefH22_14x_0</vt:lpstr>
      <vt:lpstr>'332'!OSRRefH22_14x_0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'415'!OSRRefH22_15x_0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'433'!OSRRefH22_16x_0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'415'!OSRRefH22_17x_0</vt:lpstr>
      <vt:lpstr>'450'!OSRRefH22_17x_0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'420'!OSRRefH22_1x_0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'Div 4'!OSRRefH22_24x_0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'320'!OSRRefH22_8x_0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'313'!OSRRefP22_12x_0</vt:lpstr>
      <vt:lpstr>'322'!OSRRefP22_12x_0</vt:lpstr>
      <vt:lpstr>'325'!OSRRefP22_12x_0</vt:lpstr>
      <vt:lpstr>'326'!OSRRefP22_12x_0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'331'!OSRRefP22_13x_0</vt:lpstr>
      <vt:lpstr>'332'!OSRRefP22_13x_0</vt:lpstr>
      <vt:lpstr>'405'!OSRRefP22_13x_0</vt:lpstr>
      <vt:lpstr>'411'!OSRRefP22_13x_0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'331'!OSRRefP22_14x_0</vt:lpstr>
      <vt:lpstr>'332'!OSRRefP22_14x_0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'415'!OSRRefP22_15x_0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'433'!OSRRefP22_16x_0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'415'!OSRRefP22_17x_0</vt:lpstr>
      <vt:lpstr>'450'!OSRRefP22_17x_0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'420'!OSRRefP22_1x_0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'Div 4'!OSRRefP22_24x_0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'320'!OSRRefP22_8x_0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'313'!OSRRefT22_12x_0</vt:lpstr>
      <vt:lpstr>'322'!OSRRefT22_12x_0</vt:lpstr>
      <vt:lpstr>'325'!OSRRefT22_12x_0</vt:lpstr>
      <vt:lpstr>'326'!OSRRefT22_12x_0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'331'!OSRRefT22_13x_0</vt:lpstr>
      <vt:lpstr>'332'!OSRRefT22_13x_0</vt:lpstr>
      <vt:lpstr>'405'!OSRRefT22_13x_0</vt:lpstr>
      <vt:lpstr>'411'!OSRRefT22_13x_0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'331'!OSRRefT22_14x_0</vt:lpstr>
      <vt:lpstr>'332'!OSRRefT22_14x_0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'415'!OSRRefT22_15x_0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'433'!OSRRefT22_16x_0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'415'!OSRRefT22_17x_0</vt:lpstr>
      <vt:lpstr>'450'!OSRRefT22_17x_0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'420'!OSRRefT22_1x_0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'Div 4'!OSRRefT22_24x_0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'320'!OSRRefT22_8x_0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'335'!Print_Area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'207'!Print_Titles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'335'!Print_Titles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2020-10-19T21:12:32Z</dcterms:modified>
</cp:coreProperties>
</file>